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https://mercyhousing.sharepoint.com/sites/CA/housingdev/Current/4995 Stockton/2.  FINANCE/CDLAC r2/Tab 40-Application/"/>
    </mc:Choice>
  </mc:AlternateContent>
  <xr:revisionPtr revIDLastSave="70" documentId="13_ncr:1_{A324213C-545A-E245-9D1B-F6F8B7DA3981}" xr6:coauthVersionLast="46" xr6:coauthVersionMax="47" xr10:uidLastSave="{4C5560D3-7597-4843-B32B-69262D72A657}"/>
  <bookViews>
    <workbookView xWindow="-110" yWindow="-10910" windowWidth="19420" windowHeight="1042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Basis &amp; Credits" sheetId="15" r:id="rId8"/>
    <sheet name="CalHFA Addendum" sheetId="23" r:id="rId9"/>
    <sheet name="CDLAC Points System" sheetId="20" r:id="rId10"/>
    <sheet name="CDLAC Tie Breaker" sheetId="21"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7">[2]Application!$BC$673:$BI$673</definedName>
    <definedName name="bedrooms" localSheetId="9">#REF!</definedName>
    <definedName name="bedrooms" localSheetId="10">#REF!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7">#REF!</definedName>
    <definedName name="Counties" localSheetId="9">#REF!</definedName>
    <definedName name="Counties" localSheetId="10">#REF!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7">#REF!</definedName>
    <definedName name="FMRS" localSheetId="9">#REF!</definedName>
    <definedName name="FMRS" localSheetId="10">#REF!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7">#REF!</definedName>
    <definedName name="importme" localSheetId="9">#REF!</definedName>
    <definedName name="importme" localSheetId="10">#REF!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7">#REF!</definedName>
    <definedName name="my_lookup_counties" localSheetId="9">#REF!</definedName>
    <definedName name="my_lookup_counties" localSheetId="10">#REF!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0">'[6]Basis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Forma'!$A$1:$R$78</definedName>
    <definedName name="_xlnm.Print_Area" localSheetId="4">Application!$A$1:$AS$1085</definedName>
    <definedName name="_xlnm.Print_Area" localSheetId="3">'Application Checklist'!$A$1:$I$1105</definedName>
    <definedName name="_xlnm.Print_Area" localSheetId="7">'Basis &amp; Credits'!$A$1:$AN$91</definedName>
    <definedName name="_xlnm.Print_Area" localSheetId="9">'CDLAC Points System'!$A$1:$AM$803</definedName>
    <definedName name="_xlnm.Print_Area" localSheetId="10">'CDLAC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0">[6]Feasibility!$X$4:$AL$75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9">[6]Feasibility!$X$78:$AM$145</definedName>
    <definedName name="PRINT2" localSheetId="10">[6]Feasibility!$X$78:$AM$145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9">[6]Feasibility!$A$152:$L$224</definedName>
    <definedName name="PRINT3" localSheetId="10">[6]Feasibility!$A$152:$L$224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9">[6]Feasibility!$A$225:$L$310</definedName>
    <definedName name="PRINT4" localSheetId="10">[6]Feasibility!$A$225:$L$310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7">[2]Application!$AP$211:$AP$220</definedName>
    <definedName name="set_aside" localSheetId="6">[2]Application!$AP$211:$AP$220</definedName>
    <definedName name="set_aside">[8]Application!$AP$210:$AP$219</definedName>
    <definedName name="TC_Rent" localSheetId="3">'[5]100%RENTS'!$A$5:$H$62</definedName>
    <definedName name="TC_Rent" localSheetId="7">[2]Application!$BC$674:$BI$731</definedName>
    <definedName name="TC_Rent" localSheetId="9">#REF!</definedName>
    <definedName name="TC_Rent" localSheetId="10">#REF!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7" hidden="1">'Basis &amp; Credits'!$AO:$IV</definedName>
    <definedName name="Z_48A1B9AA_9520_4513_968D_1FB22989E0AF_.wvu.Cols" localSheetId="9" hidden="1">'CDLAC Points System'!$AN:$CC</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9"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48A1B9AA_9520_4513_968D_1FB22989E0AF_.wvu.Rows" localSheetId="9"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Forma'!$A$1:$R$78</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39" i="3" l="1"/>
  <c r="A68" i="7" s="1"/>
  <c r="AB71" i="15"/>
  <c r="A67" i="7"/>
  <c r="E53" i="7"/>
  <c r="D53" i="7"/>
  <c r="D54" i="7" s="1"/>
  <c r="E85" i="7"/>
  <c r="F85" i="7" s="1"/>
  <c r="F53" i="7" s="1"/>
  <c r="C83" i="7"/>
  <c r="A83" i="7"/>
  <c r="AD182" i="20"/>
  <c r="E103" i="4"/>
  <c r="E102" i="4"/>
  <c r="E101" i="4"/>
  <c r="E100" i="4"/>
  <c r="E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15" i="4"/>
  <c r="E14" i="4"/>
  <c r="E13" i="4"/>
  <c r="E10" i="4"/>
  <c r="E9" i="4"/>
  <c r="E7" i="4"/>
  <c r="E6" i="4"/>
  <c r="E5" i="4"/>
  <c r="E4" i="4"/>
  <c r="I99" i="4"/>
  <c r="J53" i="4"/>
  <c r="G30" i="4"/>
  <c r="H30" i="4"/>
  <c r="F30" i="4"/>
  <c r="S103" i="4"/>
  <c r="S102" i="4"/>
  <c r="S101" i="4"/>
  <c r="S100" i="4"/>
  <c r="S99" i="4"/>
  <c r="S95" i="4"/>
  <c r="S94" i="4"/>
  <c r="S93" i="4"/>
  <c r="S91" i="4"/>
  <c r="S89" i="4"/>
  <c r="S87" i="4"/>
  <c r="S86" i="4"/>
  <c r="S85" i="4"/>
  <c r="S84" i="4"/>
  <c r="S80" i="4"/>
  <c r="S79" i="4"/>
  <c r="S69" i="4"/>
  <c r="S68" i="4"/>
  <c r="S67" i="4"/>
  <c r="S66" i="4"/>
  <c r="S52" i="4"/>
  <c r="S51" i="4"/>
  <c r="S50" i="4"/>
  <c r="S48" i="4"/>
  <c r="S47" i="4"/>
  <c r="S43" i="4"/>
  <c r="S41" i="4"/>
  <c r="S40" i="4"/>
  <c r="S37" i="4"/>
  <c r="S36" i="4"/>
  <c r="S35" i="4"/>
  <c r="S34" i="4"/>
  <c r="S33" i="4"/>
  <c r="S32" i="4"/>
  <c r="S31" i="4"/>
  <c r="S30" i="4"/>
  <c r="S29" i="4"/>
  <c r="S10" i="4"/>
  <c r="C53" i="4"/>
  <c r="AA933" i="3"/>
  <c r="AA932" i="3"/>
  <c r="I933" i="3"/>
  <c r="I932" i="3"/>
  <c r="AA916" i="3"/>
  <c r="AA915" i="3"/>
  <c r="AC888" i="3"/>
  <c r="C641" i="3"/>
  <c r="AM568" i="3"/>
  <c r="AO640" i="3" s="1"/>
  <c r="O637" i="3"/>
  <c r="AO641" i="3"/>
  <c r="C640" i="3"/>
  <c r="C638" i="3"/>
  <c r="B182" i="20" l="1"/>
  <c r="E54" i="7"/>
  <c r="G85" i="7"/>
  <c r="D83" i="7"/>
  <c r="G53" i="7" l="1"/>
  <c r="H85" i="7"/>
  <c r="E83" i="7"/>
  <c r="F54" i="7" s="1"/>
  <c r="I85" i="7" l="1"/>
  <c r="H53" i="7"/>
  <c r="F83" i="7"/>
  <c r="G54" i="7" s="1"/>
  <c r="J85" i="7" l="1"/>
  <c r="I53" i="7"/>
  <c r="G83" i="7"/>
  <c r="H54" i="7" s="1"/>
  <c r="J53" i="7" l="1"/>
  <c r="K85" i="7"/>
  <c r="H83" i="7"/>
  <c r="I54" i="7" s="1"/>
  <c r="L85" i="7" l="1"/>
  <c r="K53" i="7"/>
  <c r="J54" i="7"/>
  <c r="I83" i="7"/>
  <c r="M85" i="7" l="1"/>
  <c r="L53" i="7"/>
  <c r="J83" i="7"/>
  <c r="K54" i="7" s="1"/>
  <c r="N85" i="7" l="1"/>
  <c r="M53" i="7"/>
  <c r="K83" i="7"/>
  <c r="L54" i="7" s="1"/>
  <c r="N53" i="7" l="1"/>
  <c r="O85" i="7"/>
  <c r="L83" i="7"/>
  <c r="M54" i="7" s="1"/>
  <c r="O53" i="7" l="1"/>
  <c r="P85" i="7"/>
  <c r="M83" i="7"/>
  <c r="N54" i="7" s="1"/>
  <c r="Q85" i="7" l="1"/>
  <c r="P53" i="7"/>
  <c r="N83" i="7"/>
  <c r="O54" i="7" s="1"/>
  <c r="R85" i="7" l="1"/>
  <c r="R53" i="7" s="1"/>
  <c r="Q53" i="7"/>
  <c r="O83" i="7"/>
  <c r="P54" i="7" s="1"/>
  <c r="P83" i="7" l="1"/>
  <c r="Q54" i="7" s="1"/>
  <c r="Q83" i="7" l="1"/>
  <c r="R54" i="7" s="1"/>
  <c r="R83" i="7" l="1"/>
  <c r="AK267" i="20" l="1"/>
  <c r="B24" i="4"/>
  <c r="R36" i="4"/>
  <c r="B36" i="4"/>
  <c r="B66" i="4"/>
  <c r="B67" i="4"/>
  <c r="B68" i="4"/>
  <c r="B69" i="4"/>
  <c r="R66" i="4"/>
  <c r="R67" i="4"/>
  <c r="R68" i="4"/>
  <c r="R70" i="4" s="1"/>
  <c r="AD67" i="15"/>
  <c r="Y67" i="15"/>
  <c r="A104" i="11"/>
  <c r="C101" i="11"/>
  <c r="C102" i="11"/>
  <c r="C103" i="11"/>
  <c r="C104" i="11"/>
  <c r="B101" i="11"/>
  <c r="B102" i="11"/>
  <c r="B103" i="11"/>
  <c r="B104" i="11"/>
  <c r="C85" i="11"/>
  <c r="D85" i="11" s="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D31" i="11" s="1"/>
  <c r="C32" i="11"/>
  <c r="D32" i="11" s="1"/>
  <c r="C33" i="11"/>
  <c r="C34" i="11"/>
  <c r="C35" i="11"/>
  <c r="C36" i="11"/>
  <c r="C37" i="11"/>
  <c r="C38" i="11"/>
  <c r="B31" i="11"/>
  <c r="B32" i="11"/>
  <c r="B33" i="11"/>
  <c r="B39" i="11" s="1"/>
  <c r="B34" i="11"/>
  <c r="B35" i="11"/>
  <c r="B36" i="11"/>
  <c r="B37" i="11"/>
  <c r="B38" i="11"/>
  <c r="C24" i="11"/>
  <c r="C25" i="11"/>
  <c r="C26" i="11"/>
  <c r="B25" i="11"/>
  <c r="B26" i="11"/>
  <c r="D70" i="4"/>
  <c r="C70" i="4"/>
  <c r="C54" i="11"/>
  <c r="B54" i="11"/>
  <c r="D54" i="11" s="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V28" i="23"/>
  <c r="AB28" i="23"/>
  <c r="AH28" i="23"/>
  <c r="AN28" i="23"/>
  <c r="P28" i="23"/>
  <c r="J28" i="23"/>
  <c r="C104" i="4"/>
  <c r="B99" i="4"/>
  <c r="AB131" i="23"/>
  <c r="Q131" i="23"/>
  <c r="N10"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T128" i="23"/>
  <c r="S15" i="23"/>
  <c r="AB8" i="23"/>
  <c r="L6" i="23"/>
  <c r="L4" i="23"/>
  <c r="E69" i="7"/>
  <c r="F69" i="7" s="1"/>
  <c r="G69" i="7" s="1"/>
  <c r="H69" i="7" s="1"/>
  <c r="I69" i="7"/>
  <c r="J69" i="7"/>
  <c r="K69" i="7" s="1"/>
  <c r="L69" i="7" s="1"/>
  <c r="M69" i="7" s="1"/>
  <c r="N69" i="7" s="1"/>
  <c r="O69" i="7" s="1"/>
  <c r="P69" i="7" s="1"/>
  <c r="Q69" i="7" s="1"/>
  <c r="R69" i="7" s="1"/>
  <c r="E70" i="7"/>
  <c r="F70" i="7" s="1"/>
  <c r="G70" i="7" s="1"/>
  <c r="H70" i="7" s="1"/>
  <c r="I70" i="7" s="1"/>
  <c r="J70" i="7" s="1"/>
  <c r="K70" i="7" s="1"/>
  <c r="L70" i="7" s="1"/>
  <c r="M70" i="7" s="1"/>
  <c r="N70" i="7" s="1"/>
  <c r="O70" i="7" s="1"/>
  <c r="P70" i="7" s="1"/>
  <c r="Q70" i="7" s="1"/>
  <c r="R70" i="7" s="1"/>
  <c r="E55" i="7"/>
  <c r="F55" i="7" s="1"/>
  <c r="E56" i="7"/>
  <c r="F56" i="7" s="1"/>
  <c r="G56" i="7" s="1"/>
  <c r="H56" i="7" s="1"/>
  <c r="I56" i="7" s="1"/>
  <c r="J56" i="7" s="1"/>
  <c r="K56" i="7" s="1"/>
  <c r="L56" i="7" s="1"/>
  <c r="M56" i="7" s="1"/>
  <c r="N56" i="7" s="1"/>
  <c r="O56" i="7" s="1"/>
  <c r="P56" i="7" s="1"/>
  <c r="Q56" i="7" s="1"/>
  <c r="R56" i="7" s="1"/>
  <c r="E57" i="7"/>
  <c r="F57" i="7" s="1"/>
  <c r="G57" i="7" s="1"/>
  <c r="H57" i="7" s="1"/>
  <c r="I57" i="7" s="1"/>
  <c r="J57" i="7" s="1"/>
  <c r="K57" i="7" s="1"/>
  <c r="L57" i="7" s="1"/>
  <c r="M57" i="7" s="1"/>
  <c r="N57" i="7" s="1"/>
  <c r="O57" i="7" s="1"/>
  <c r="P57" i="7" s="1"/>
  <c r="Q57" i="7" s="1"/>
  <c r="R57" i="7" s="1"/>
  <c r="E58" i="7"/>
  <c r="F58" i="7" s="1"/>
  <c r="G58" i="7" s="1"/>
  <c r="H58" i="7" s="1"/>
  <c r="I58" i="7" s="1"/>
  <c r="J58" i="7" s="1"/>
  <c r="K58" i="7"/>
  <c r="L58" i="7"/>
  <c r="M58" i="7" s="1"/>
  <c r="N58" i="7" s="1"/>
  <c r="O58" i="7" s="1"/>
  <c r="P58" i="7" s="1"/>
  <c r="Q58" i="7" s="1"/>
  <c r="R58" i="7" s="1"/>
  <c r="E52" i="7"/>
  <c r="F52" i="7"/>
  <c r="G52" i="7" s="1"/>
  <c r="H52" i="7" s="1"/>
  <c r="A61" i="15"/>
  <c r="AF1005" i="3"/>
  <c r="BA500" i="3"/>
  <c r="BA492" i="3"/>
  <c r="E23" i="7"/>
  <c r="F23" i="7" s="1"/>
  <c r="G23" i="7" s="1"/>
  <c r="H23" i="7" s="1"/>
  <c r="I23" i="7" s="1"/>
  <c r="J23" i="7" s="1"/>
  <c r="K23" i="7"/>
  <c r="L23" i="7"/>
  <c r="M23" i="7" s="1"/>
  <c r="N23" i="7" s="1"/>
  <c r="O23" i="7" s="1"/>
  <c r="P23" i="7" s="1"/>
  <c r="Q23" i="7" s="1"/>
  <c r="R23" i="7" s="1"/>
  <c r="D30" i="7"/>
  <c r="E30" i="7" s="1"/>
  <c r="F30" i="7" s="1"/>
  <c r="G30" i="7" s="1"/>
  <c r="H30" i="7" s="1"/>
  <c r="I30" i="7" s="1"/>
  <c r="J30" i="7" s="1"/>
  <c r="K30" i="7" s="1"/>
  <c r="L30" i="7" s="1"/>
  <c r="M30" i="7" s="1"/>
  <c r="N30" i="7" s="1"/>
  <c r="O30" i="7" s="1"/>
  <c r="P30" i="7" s="1"/>
  <c r="Q30" i="7" s="1"/>
  <c r="R30" i="7" s="1"/>
  <c r="D28" i="7"/>
  <c r="D29" i="7"/>
  <c r="E29" i="7" s="1"/>
  <c r="F29" i="7" s="1"/>
  <c r="G29" i="7" s="1"/>
  <c r="H29" i="7" s="1"/>
  <c r="I29" i="7" s="1"/>
  <c r="J29" i="7" s="1"/>
  <c r="K29" i="7" s="1"/>
  <c r="L29" i="7" s="1"/>
  <c r="M29" i="7" s="1"/>
  <c r="N29" i="7" s="1"/>
  <c r="O29" i="7" s="1"/>
  <c r="P29" i="7" s="1"/>
  <c r="Q29" i="7" s="1"/>
  <c r="R29" i="7" s="1"/>
  <c r="O75" i="23"/>
  <c r="B64" i="23"/>
  <c r="B63" i="23"/>
  <c r="B62" i="23"/>
  <c r="B61" i="23"/>
  <c r="B60" i="23"/>
  <c r="AH57" i="23"/>
  <c r="Z57" i="23"/>
  <c r="R57" i="23"/>
  <c r="AO47" i="23"/>
  <c r="AO46" i="23"/>
  <c r="AO45" i="23"/>
  <c r="AO44" i="23"/>
  <c r="AO43" i="23"/>
  <c r="AO42" i="23"/>
  <c r="AO41" i="23"/>
  <c r="AO40" i="23"/>
  <c r="AO39" i="23"/>
  <c r="AO38" i="23"/>
  <c r="AO37" i="23"/>
  <c r="AU37" i="23" s="1"/>
  <c r="AO36" i="23"/>
  <c r="AU36" i="23" s="1"/>
  <c r="AN29" i="23"/>
  <c r="AH29" i="23"/>
  <c r="AB29" i="23"/>
  <c r="V29" i="23"/>
  <c r="P29" i="23"/>
  <c r="J27" i="23"/>
  <c r="J26" i="23"/>
  <c r="J25" i="23"/>
  <c r="J24" i="23"/>
  <c r="J23" i="23"/>
  <c r="J22" i="23"/>
  <c r="J21" i="23"/>
  <c r="J20" i="23"/>
  <c r="J19" i="23"/>
  <c r="J29" i="23"/>
  <c r="AU42" i="23"/>
  <c r="AT28" i="23"/>
  <c r="AU46" i="23"/>
  <c r="AT26" i="23"/>
  <c r="AU39" i="23"/>
  <c r="AT29" i="23"/>
  <c r="AU44" i="23"/>
  <c r="AT24" i="23"/>
  <c r="AT21" i="23"/>
  <c r="AU40" i="23"/>
  <c r="AU41" i="23"/>
  <c r="AT23" i="23"/>
  <c r="AU47" i="23"/>
  <c r="AT20" i="23"/>
  <c r="AU38" i="23"/>
  <c r="AT19" i="23"/>
  <c r="AT27" i="23"/>
  <c r="AT25" i="23"/>
  <c r="AT22" i="23"/>
  <c r="AU45" i="23"/>
  <c r="AU43"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AC742" i="3"/>
  <c r="AM742" i="3"/>
  <c r="BI717" i="3"/>
  <c r="BH714" i="3"/>
  <c r="BI714" i="3"/>
  <c r="BH705" i="3"/>
  <c r="BH703" i="3"/>
  <c r="BH720" i="3"/>
  <c r="BI720" i="3"/>
  <c r="BH704" i="3"/>
  <c r="BH711" i="3"/>
  <c r="AC736" i="3"/>
  <c r="AM736" i="3"/>
  <c r="BI711" i="3"/>
  <c r="BH723" i="3"/>
  <c r="BI723" i="3"/>
  <c r="BH712" i="3"/>
  <c r="AC737" i="3"/>
  <c r="AM737" i="3"/>
  <c r="BI712" i="3"/>
  <c r="BH715" i="3"/>
  <c r="AC740" i="3"/>
  <c r="AM740" i="3"/>
  <c r="BI715" i="3"/>
  <c r="BH727" i="3"/>
  <c r="BI727" i="3"/>
  <c r="BH708" i="3"/>
  <c r="BH724" i="3"/>
  <c r="BI724" i="3"/>
  <c r="BH707" i="3"/>
  <c r="BH719" i="3"/>
  <c r="BI719" i="3"/>
  <c r="BH716" i="3"/>
  <c r="AC741" i="3"/>
  <c r="AM741" i="3"/>
  <c r="BI716" i="3"/>
  <c r="BH710" i="3"/>
  <c r="BI710" i="3"/>
  <c r="BH713" i="3"/>
  <c r="AC738" i="3"/>
  <c r="AM738" i="3"/>
  <c r="BI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P581" i="20" s="1"/>
  <c r="AQ581" i="20" s="1"/>
  <c r="AJ549" i="20"/>
  <c r="AJ538" i="20"/>
  <c r="AJ522" i="20"/>
  <c r="AJ510" i="20"/>
  <c r="AJ494" i="20"/>
  <c r="AJ482" i="20"/>
  <c r="AJ468" i="20"/>
  <c r="AJ448" i="20"/>
  <c r="AJ413" i="20"/>
  <c r="AJ401" i="20"/>
  <c r="AJ382" i="20"/>
  <c r="AO358" i="20"/>
  <c r="AP278" i="20"/>
  <c r="AP277" i="20"/>
  <c r="AP279" i="20" s="1"/>
  <c r="AK320" i="20" s="1"/>
  <c r="T796" i="20" s="1"/>
  <c r="AP276" i="20"/>
  <c r="AP275" i="20"/>
  <c r="AJ163" i="20"/>
  <c r="T790" i="20" s="1"/>
  <c r="AJ149" i="20"/>
  <c r="T789" i="20" s="1"/>
  <c r="AO59" i="20"/>
  <c r="AO58" i="20"/>
  <c r="AO60" i="20" s="1"/>
  <c r="AK72" i="20" s="1"/>
  <c r="AO57" i="20"/>
  <c r="AO29" i="20"/>
  <c r="AO28" i="20"/>
  <c r="AO27" i="20"/>
  <c r="AO26" i="20"/>
  <c r="AO25" i="20"/>
  <c r="AO24" i="20"/>
  <c r="AO23" i="20"/>
  <c r="AO20" i="20"/>
  <c r="AO21" i="20"/>
  <c r="AO15" i="20"/>
  <c r="AO14" i="20"/>
  <c r="AO13" i="20"/>
  <c r="AO12" i="20"/>
  <c r="AO30" i="20"/>
  <c r="AP590" i="20"/>
  <c r="AQ590" i="20"/>
  <c r="AK750" i="20"/>
  <c r="T793" i="20"/>
  <c r="AF793" i="20"/>
  <c r="AO16" i="20"/>
  <c r="T794" i="20"/>
  <c r="AF794" i="20"/>
  <c r="AO32" i="20"/>
  <c r="AK51" i="20"/>
  <c r="T784" i="20"/>
  <c r="AF784" i="20"/>
  <c r="W860" i="3"/>
  <c r="A3" i="15"/>
  <c r="BA1000" i="3"/>
  <c r="AD64" i="15"/>
  <c r="T11" i="4"/>
  <c r="R10" i="4"/>
  <c r="R11" i="4" s="1"/>
  <c r="R91" i="4"/>
  <c r="R84" i="4"/>
  <c r="R96" i="4" s="1"/>
  <c r="T25" i="15"/>
  <c r="AI7" i="15"/>
  <c r="AG440" i="3"/>
  <c r="AG443" i="3"/>
  <c r="B59" i="4"/>
  <c r="C80" i="11"/>
  <c r="C82" i="11" s="1"/>
  <c r="C81" i="11"/>
  <c r="D81" i="11" s="1"/>
  <c r="B80" i="11"/>
  <c r="B81" i="11"/>
  <c r="B82" i="11" s="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C9" i="7"/>
  <c r="E9" i="7" s="1"/>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2" i="4"/>
  <c r="R77" i="4" s="1"/>
  <c r="R73" i="4"/>
  <c r="R74" i="4"/>
  <c r="R69" i="4"/>
  <c r="R65" i="4"/>
  <c r="R61" i="4"/>
  <c r="R60" i="4"/>
  <c r="R59" i="4"/>
  <c r="R58" i="4"/>
  <c r="R62" i="4" s="1"/>
  <c r="R57" i="4"/>
  <c r="R56" i="4"/>
  <c r="R53" i="4"/>
  <c r="R52" i="4"/>
  <c r="R51" i="4"/>
  <c r="R50" i="4"/>
  <c r="R49" i="4"/>
  <c r="R48" i="4"/>
  <c r="R47" i="4"/>
  <c r="R46" i="4"/>
  <c r="R54" i="4" s="1"/>
  <c r="R45" i="4"/>
  <c r="R43" i="4"/>
  <c r="R41" i="4"/>
  <c r="R40" i="4"/>
  <c r="R42" i="4" s="1"/>
  <c r="R37" i="4"/>
  <c r="R35" i="4"/>
  <c r="R34" i="4"/>
  <c r="R33" i="4"/>
  <c r="R32" i="4"/>
  <c r="R31" i="4"/>
  <c r="R30" i="4"/>
  <c r="R29" i="4"/>
  <c r="R38" i="4" s="1"/>
  <c r="R27" i="4"/>
  <c r="R25" i="4"/>
  <c r="R23" i="4"/>
  <c r="R22" i="4"/>
  <c r="R21" i="4"/>
  <c r="R20" i="4"/>
  <c r="R19" i="4"/>
  <c r="R18" i="4"/>
  <c r="R17" i="4"/>
  <c r="R15" i="4"/>
  <c r="R14" i="4"/>
  <c r="R13" i="4"/>
  <c r="R9" i="4"/>
  <c r="R7" i="4"/>
  <c r="R6" i="4"/>
  <c r="R5" i="4"/>
  <c r="R4" i="4"/>
  <c r="R8" i="4" s="1"/>
  <c r="B5" i="11"/>
  <c r="C5" i="11"/>
  <c r="B6" i="11"/>
  <c r="D6" i="11" s="1"/>
  <c r="C6" i="11"/>
  <c r="B7" i="11"/>
  <c r="D7" i="11" s="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C39" i="11" s="1"/>
  <c r="D30" i="11"/>
  <c r="D33" i="11"/>
  <c r="D34" i="11"/>
  <c r="B41" i="11"/>
  <c r="C41" i="11"/>
  <c r="C42" i="11"/>
  <c r="B42" i="11"/>
  <c r="B44" i="11"/>
  <c r="C44" i="11"/>
  <c r="B46" i="11"/>
  <c r="C46" i="11"/>
  <c r="C55" i="11" s="1"/>
  <c r="B47" i="11"/>
  <c r="C47" i="11"/>
  <c r="B48" i="11"/>
  <c r="B49" i="11"/>
  <c r="B50" i="11"/>
  <c r="D50" i="11" s="1"/>
  <c r="B51" i="11"/>
  <c r="D51" i="11"/>
  <c r="B52" i="11"/>
  <c r="B55" i="11" s="1"/>
  <c r="B53" i="11"/>
  <c r="C48" i="11"/>
  <c r="C49" i="11"/>
  <c r="C50" i="11"/>
  <c r="C51" i="11"/>
  <c r="C52" i="11"/>
  <c r="D52" i="11" s="1"/>
  <c r="C53" i="11"/>
  <c r="D53" i="11" s="1"/>
  <c r="B57" i="11"/>
  <c r="C57" i="11"/>
  <c r="B58" i="11"/>
  <c r="C58" i="11"/>
  <c r="B59" i="11"/>
  <c r="B63" i="11" s="1"/>
  <c r="C59" i="11"/>
  <c r="D59" i="11" s="1"/>
  <c r="B60" i="11"/>
  <c r="C60" i="11"/>
  <c r="B61" i="11"/>
  <c r="C61" i="11"/>
  <c r="B62" i="11"/>
  <c r="C62" i="11"/>
  <c r="B66" i="11"/>
  <c r="C66" i="11"/>
  <c r="B73" i="11"/>
  <c r="C73" i="11"/>
  <c r="B74" i="11"/>
  <c r="C74" i="11"/>
  <c r="B75" i="11"/>
  <c r="C75" i="11"/>
  <c r="B76" i="11"/>
  <c r="C76" i="11"/>
  <c r="B77" i="11"/>
  <c r="C77" i="11"/>
  <c r="B84" i="11"/>
  <c r="C84" i="11"/>
  <c r="C97" i="11" s="1"/>
  <c r="B100"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D8" i="7"/>
  <c r="E8" i="7"/>
  <c r="W845" i="3"/>
  <c r="D14" i="7"/>
  <c r="D15" i="7"/>
  <c r="E15" i="7" s="1"/>
  <c r="F15" i="7" s="1"/>
  <c r="G15" i="7"/>
  <c r="H15" i="7"/>
  <c r="I15" i="7" s="1"/>
  <c r="J15" i="7" s="1"/>
  <c r="K15" i="7" s="1"/>
  <c r="L15" i="7" s="1"/>
  <c r="M15" i="7" s="1"/>
  <c r="N15" i="7" s="1"/>
  <c r="O15" i="7" s="1"/>
  <c r="P15" i="7" s="1"/>
  <c r="Q15" i="7" s="1"/>
  <c r="R15" i="7" s="1"/>
  <c r="W853" i="3"/>
  <c r="D16" i="7"/>
  <c r="E16" i="7" s="1"/>
  <c r="F16" i="7" s="1"/>
  <c r="G16" i="7" s="1"/>
  <c r="H16" i="7" s="1"/>
  <c r="I16" i="7" s="1"/>
  <c r="J16" i="7" s="1"/>
  <c r="K16" i="7" s="1"/>
  <c r="L16" i="7" s="1"/>
  <c r="M16" i="7" s="1"/>
  <c r="N16" i="7" s="1"/>
  <c r="O16" i="7" s="1"/>
  <c r="P16" i="7" s="1"/>
  <c r="Q16" i="7" s="1"/>
  <c r="R16" i="7" s="1"/>
  <c r="D17" i="7"/>
  <c r="E17" i="7"/>
  <c r="F17" i="7" s="1"/>
  <c r="G17" i="7" s="1"/>
  <c r="H17" i="7" s="1"/>
  <c r="I17" i="7" s="1"/>
  <c r="J17" i="7" s="1"/>
  <c r="K17" i="7" s="1"/>
  <c r="L17" i="7" s="1"/>
  <c r="M17" i="7" s="1"/>
  <c r="N17" i="7" s="1"/>
  <c r="O17" i="7" s="1"/>
  <c r="P17" i="7" s="1"/>
  <c r="Q17" i="7" s="1"/>
  <c r="R17" i="7" s="1"/>
  <c r="D18" i="7"/>
  <c r="E18" i="7"/>
  <c r="F18" i="7"/>
  <c r="G18" i="7" s="1"/>
  <c r="H18" i="7" s="1"/>
  <c r="I18" i="7" s="1"/>
  <c r="J18" i="7" s="1"/>
  <c r="K18" i="7" s="1"/>
  <c r="L18" i="7" s="1"/>
  <c r="M18" i="7" s="1"/>
  <c r="N18" i="7" s="1"/>
  <c r="O18" i="7" s="1"/>
  <c r="P18" i="7" s="1"/>
  <c r="Q18" i="7" s="1"/>
  <c r="R18" i="7" s="1"/>
  <c r="W870" i="3"/>
  <c r="D19" i="7"/>
  <c r="E19" i="7"/>
  <c r="F19" i="7"/>
  <c r="G19" i="7"/>
  <c r="H19" i="7"/>
  <c r="I19" i="7" s="1"/>
  <c r="J19" i="7" s="1"/>
  <c r="K19" i="7" s="1"/>
  <c r="L19" i="7" s="1"/>
  <c r="M19" i="7" s="1"/>
  <c r="N19" i="7"/>
  <c r="O19" i="7"/>
  <c r="P19" i="7"/>
  <c r="Q19" i="7" s="1"/>
  <c r="R19" i="7" s="1"/>
  <c r="W877" i="3"/>
  <c r="D20" i="7"/>
  <c r="E20" i="7"/>
  <c r="F20" i="7"/>
  <c r="G20" i="7"/>
  <c r="H20" i="7"/>
  <c r="I20" i="7" s="1"/>
  <c r="J20" i="7" s="1"/>
  <c r="K20" i="7" s="1"/>
  <c r="L20" i="7" s="1"/>
  <c r="M20" i="7" s="1"/>
  <c r="N20" i="7"/>
  <c r="O20" i="7"/>
  <c r="P20" i="7" s="1"/>
  <c r="Q20" i="7" s="1"/>
  <c r="R20" i="7" s="1"/>
  <c r="D25" i="7"/>
  <c r="E25" i="7"/>
  <c r="F25" i="7"/>
  <c r="G25" i="7" s="1"/>
  <c r="H25" i="7" s="1"/>
  <c r="I25" i="7" s="1"/>
  <c r="J25" i="7" s="1"/>
  <c r="K25" i="7" s="1"/>
  <c r="L25" i="7" s="1"/>
  <c r="M25" i="7" s="1"/>
  <c r="N25" i="7" s="1"/>
  <c r="O25" i="7" s="1"/>
  <c r="P25" i="7" s="1"/>
  <c r="Q25" i="7" s="1"/>
  <c r="R25" i="7" s="1"/>
  <c r="D26" i="7"/>
  <c r="E26" i="7"/>
  <c r="F26" i="7"/>
  <c r="G26" i="7"/>
  <c r="H26" i="7"/>
  <c r="I26" i="7"/>
  <c r="J26" i="7" s="1"/>
  <c r="K26" i="7" s="1"/>
  <c r="L26" i="7" s="1"/>
  <c r="M26" i="7" s="1"/>
  <c r="N26" i="7" s="1"/>
  <c r="O26" i="7" s="1"/>
  <c r="P26" i="7" s="1"/>
  <c r="Q26" i="7" s="1"/>
  <c r="R26" i="7" s="1"/>
  <c r="D27" i="7"/>
  <c r="Q27" i="7" s="1"/>
  <c r="A31" i="7"/>
  <c r="D31" i="7"/>
  <c r="E31" i="7" s="1"/>
  <c r="F31" i="7" s="1"/>
  <c r="G31" i="7" s="1"/>
  <c r="H31" i="7" s="1"/>
  <c r="I31" i="7" s="1"/>
  <c r="J31" i="7" s="1"/>
  <c r="K31" i="7" s="1"/>
  <c r="L31" i="7" s="1"/>
  <c r="M31" i="7" s="1"/>
  <c r="N31" i="7" s="1"/>
  <c r="O31" i="7" s="1"/>
  <c r="P31" i="7" s="1"/>
  <c r="Q31" i="7" s="1"/>
  <c r="R31" i="7" s="1"/>
  <c r="A32" i="7"/>
  <c r="D32" i="7"/>
  <c r="E32" i="7" s="1"/>
  <c r="F32" i="7" s="1"/>
  <c r="G32" i="7" s="1"/>
  <c r="H32" i="7" s="1"/>
  <c r="I32" i="7" s="1"/>
  <c r="J32" i="7" s="1"/>
  <c r="K32" i="7" s="1"/>
  <c r="L32" i="7" s="1"/>
  <c r="M32" i="7" s="1"/>
  <c r="N32" i="7" s="1"/>
  <c r="O32" i="7" s="1"/>
  <c r="P32" i="7" s="1"/>
  <c r="Q32" i="7" s="1"/>
  <c r="R32" i="7" s="1"/>
  <c r="A39" i="7"/>
  <c r="D39" i="7"/>
  <c r="E40" i="7"/>
  <c r="F40" i="7"/>
  <c r="G40" i="7"/>
  <c r="H40" i="7"/>
  <c r="I40" i="7"/>
  <c r="J40" i="7"/>
  <c r="K40" i="7"/>
  <c r="L40" i="7"/>
  <c r="M40" i="7"/>
  <c r="N40" i="7"/>
  <c r="O40" i="7"/>
  <c r="P40" i="7"/>
  <c r="Q40" i="7"/>
  <c r="R40" i="7"/>
  <c r="E41" i="7"/>
  <c r="F41" i="7"/>
  <c r="G41" i="7"/>
  <c r="H41" i="7"/>
  <c r="I41" i="7"/>
  <c r="J41" i="7"/>
  <c r="K41" i="7"/>
  <c r="L41" i="7"/>
  <c r="M41" i="7"/>
  <c r="N41" i="7"/>
  <c r="O41" i="7"/>
  <c r="P41" i="7"/>
  <c r="Q41" i="7"/>
  <c r="R41" i="7"/>
  <c r="D59" i="7"/>
  <c r="H11" i="13"/>
  <c r="T26" i="4"/>
  <c r="H26" i="13"/>
  <c r="T38" i="4"/>
  <c r="H38" i="13"/>
  <c r="T42" i="4"/>
  <c r="H42" i="13"/>
  <c r="T54" i="4"/>
  <c r="H54" i="13"/>
  <c r="T70" i="4"/>
  <c r="H70" i="13"/>
  <c r="T96" i="4"/>
  <c r="H96" i="13"/>
  <c r="CB799"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4" s="1"/>
  <c r="B38" i="13"/>
  <c r="C54" i="4"/>
  <c r="B54" i="4" s="1"/>
  <c r="B54" i="13"/>
  <c r="C62" i="4"/>
  <c r="B62" i="13" s="1"/>
  <c r="C77" i="4"/>
  <c r="B77" i="4" s="1"/>
  <c r="C96" i="4"/>
  <c r="B96" i="13" s="1"/>
  <c r="B104" i="13"/>
  <c r="D8" i="4"/>
  <c r="D11" i="4"/>
  <c r="D26" i="4"/>
  <c r="D38" i="4"/>
  <c r="D42" i="4"/>
  <c r="D54" i="4"/>
  <c r="D62" i="4"/>
  <c r="D77" i="4"/>
  <c r="D96" i="4"/>
  <c r="D104" i="4"/>
  <c r="B104" i="4"/>
  <c r="AO649" i="3"/>
  <c r="AO651" i="3" s="1"/>
  <c r="S26" i="4"/>
  <c r="E26" i="13"/>
  <c r="S38" i="4"/>
  <c r="E38" i="13" s="1"/>
  <c r="S42" i="4"/>
  <c r="E42" i="13"/>
  <c r="S54" i="4"/>
  <c r="S63" i="4" s="1"/>
  <c r="E54" i="13"/>
  <c r="S96" i="4"/>
  <c r="E96" i="13"/>
  <c r="S104" i="4"/>
  <c r="E104" i="13" s="1"/>
  <c r="F2" i="4"/>
  <c r="G2" i="4"/>
  <c r="H2" i="4"/>
  <c r="I2" i="4"/>
  <c r="J2" i="4"/>
  <c r="K2" i="4"/>
  <c r="L2" i="4"/>
  <c r="M2" i="4"/>
  <c r="N2" i="4"/>
  <c r="O2" i="4"/>
  <c r="P2" i="4"/>
  <c r="Q2" i="4"/>
  <c r="B4" i="4"/>
  <c r="B5" i="4"/>
  <c r="B6" i="4"/>
  <c r="B7" i="4"/>
  <c r="E8" i="4"/>
  <c r="E63" i="4" s="1"/>
  <c r="E97" i="4" s="1"/>
  <c r="E105"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4" i="3" s="1"/>
  <c r="B76" i="4"/>
  <c r="E77" i="4"/>
  <c r="F77" i="4"/>
  <c r="G77" i="4"/>
  <c r="H77" i="4"/>
  <c r="I77" i="4"/>
  <c r="K77" i="4"/>
  <c r="L77" i="4"/>
  <c r="Q77" i="4"/>
  <c r="B79" i="4"/>
  <c r="B83" i="4"/>
  <c r="B84" i="4"/>
  <c r="B85" i="4"/>
  <c r="AJ1004" i="3" s="1"/>
  <c r="B86" i="4"/>
  <c r="B87" i="4"/>
  <c r="B88" i="4"/>
  <c r="B89" i="4"/>
  <c r="B90" i="4"/>
  <c r="B91" i="4"/>
  <c r="B92" i="4"/>
  <c r="S92" i="4" s="1"/>
  <c r="E92" i="13" s="1"/>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9" i="3"/>
  <c r="AM739"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N153" i="23"/>
  <c r="R81" i="4"/>
  <c r="E6" i="21"/>
  <c r="E92" i="20"/>
  <c r="E93" i="20"/>
  <c r="DC658" i="3"/>
  <c r="DH658" i="3"/>
  <c r="DM658" i="3"/>
  <c r="CS658" i="3"/>
  <c r="DR658" i="3"/>
  <c r="CX658" i="3"/>
  <c r="B27" i="11"/>
  <c r="D49" i="11"/>
  <c r="C27" i="11"/>
  <c r="EH635" i="3"/>
  <c r="EM635" i="3"/>
  <c r="ER635" i="3"/>
  <c r="EW635" i="3"/>
  <c r="DX635" i="3"/>
  <c r="EC635" i="3"/>
  <c r="AM734" i="3"/>
  <c r="BI709" i="3"/>
  <c r="I63" i="13"/>
  <c r="I97" i="13"/>
  <c r="I105" i="13"/>
  <c r="I107" i="13"/>
  <c r="B81" i="13"/>
  <c r="J63" i="13"/>
  <c r="J97" i="13"/>
  <c r="J105" i="13"/>
  <c r="J107" i="13"/>
  <c r="L12" i="4"/>
  <c r="D48" i="11"/>
  <c r="AL10" i="23"/>
  <c r="R970" i="3"/>
  <c r="R973" i="3"/>
  <c r="R971" i="3"/>
  <c r="AD1035" i="3"/>
  <c r="R972" i="3"/>
  <c r="R969" i="3"/>
  <c r="AM729" i="3"/>
  <c r="BI704" i="3"/>
  <c r="AG444" i="3"/>
  <c r="AI27" i="15"/>
  <c r="AM732" i="3"/>
  <c r="BI707" i="3"/>
  <c r="D5" i="11"/>
  <c r="D70" i="11"/>
  <c r="D80" i="11"/>
  <c r="I12" i="4"/>
  <c r="G12" i="4"/>
  <c r="L63" i="4"/>
  <c r="L97" i="4"/>
  <c r="L105" i="4"/>
  <c r="Q12" i="4"/>
  <c r="B11" i="4"/>
  <c r="O63" i="4"/>
  <c r="O97" i="4"/>
  <c r="O105" i="4"/>
  <c r="D18" i="11"/>
  <c r="B8" i="4"/>
  <c r="D10" i="11"/>
  <c r="D36" i="11"/>
  <c r="G63" i="13"/>
  <c r="G97" i="13"/>
  <c r="G105" i="13"/>
  <c r="G107" i="13"/>
  <c r="D61" i="11"/>
  <c r="D57" i="11"/>
  <c r="D20" i="11"/>
  <c r="D8" i="11"/>
  <c r="B43" i="11"/>
  <c r="D102" i="11"/>
  <c r="D94" i="11"/>
  <c r="K12" i="4"/>
  <c r="C43" i="11"/>
  <c r="D43" i="11" s="1"/>
  <c r="C12" i="13"/>
  <c r="D63" i="4"/>
  <c r="D97" i="4"/>
  <c r="D105" i="4"/>
  <c r="B78" i="11"/>
  <c r="J12" i="4"/>
  <c r="D22" i="11"/>
  <c r="O12" i="4"/>
  <c r="I63" i="4"/>
  <c r="I97" i="4"/>
  <c r="D95" i="11"/>
  <c r="D25" i="11"/>
  <c r="B11" i="13"/>
  <c r="D12" i="4"/>
  <c r="H12" i="4"/>
  <c r="B9" i="11"/>
  <c r="B13" i="11" s="1"/>
  <c r="D13" i="11" s="1"/>
  <c r="D23" i="11"/>
  <c r="D19" i="11"/>
  <c r="D73" i="11"/>
  <c r="D44" i="11"/>
  <c r="D35" i="11"/>
  <c r="D76" i="11"/>
  <c r="D15" i="11"/>
  <c r="D63" i="13"/>
  <c r="D97" i="13"/>
  <c r="D105" i="13"/>
  <c r="D14" i="11"/>
  <c r="Q63" i="4"/>
  <c r="Q97" i="4"/>
  <c r="Q105" i="4"/>
  <c r="C105" i="11"/>
  <c r="D105" i="11" s="1"/>
  <c r="D87" i="11"/>
  <c r="N63" i="4"/>
  <c r="N97" i="4"/>
  <c r="N105" i="4"/>
  <c r="N12" i="4"/>
  <c r="H63" i="4"/>
  <c r="H97" i="4" s="1"/>
  <c r="H105" i="4" s="1"/>
  <c r="F12" i="4"/>
  <c r="D60" i="11"/>
  <c r="M12" i="4"/>
  <c r="D74" i="11"/>
  <c r="D38" i="11"/>
  <c r="P63" i="4"/>
  <c r="P97" i="4"/>
  <c r="P105" i="4"/>
  <c r="C9" i="11"/>
  <c r="D12" i="13"/>
  <c r="D58" i="11"/>
  <c r="D100" i="11"/>
  <c r="D62" i="11"/>
  <c r="D24" i="11"/>
  <c r="D101" i="11"/>
  <c r="D90" i="11"/>
  <c r="D66" i="11"/>
  <c r="C63" i="13"/>
  <c r="C97" i="13"/>
  <c r="C105" i="13"/>
  <c r="D92" i="11"/>
  <c r="D75" i="11"/>
  <c r="B71" i="11"/>
  <c r="D28" i="11"/>
  <c r="D103" i="11"/>
  <c r="D88" i="11"/>
  <c r="C78" i="11"/>
  <c r="D42" i="11"/>
  <c r="D21" i="11"/>
  <c r="D16" i="11"/>
  <c r="B12" i="11"/>
  <c r="R26" i="4"/>
  <c r="D86" i="11"/>
  <c r="F63" i="13"/>
  <c r="F97" i="13"/>
  <c r="F105" i="13"/>
  <c r="F107" i="13"/>
  <c r="AM733" i="3"/>
  <c r="BI708" i="3"/>
  <c r="AM731" i="3"/>
  <c r="BI706" i="3"/>
  <c r="AM730" i="3"/>
  <c r="BI705" i="3"/>
  <c r="AM728" i="3"/>
  <c r="BI703" i="3"/>
  <c r="AD193" i="20"/>
  <c r="AD194" i="20"/>
  <c r="B42" i="4"/>
  <c r="D77" i="11"/>
  <c r="D47" i="11"/>
  <c r="C71" i="11"/>
  <c r="D71" i="11" s="1"/>
  <c r="N150" i="23"/>
  <c r="M63" i="4"/>
  <c r="M97" i="4"/>
  <c r="M105" i="4"/>
  <c r="G63" i="4"/>
  <c r="G97" i="4"/>
  <c r="G105" i="4"/>
  <c r="D91" i="11"/>
  <c r="J63" i="4"/>
  <c r="J97" i="4"/>
  <c r="J105" i="4" s="1"/>
  <c r="D41" i="11"/>
  <c r="C12" i="11"/>
  <c r="K63" i="4"/>
  <c r="K97" i="4"/>
  <c r="K105" i="4"/>
  <c r="B62" i="4"/>
  <c r="B105" i="11"/>
  <c r="N39" i="7"/>
  <c r="N42" i="7" s="1"/>
  <c r="AD7" i="15"/>
  <c r="E39" i="7"/>
  <c r="BN644" i="3"/>
  <c r="BR645" i="3"/>
  <c r="CM644" i="3"/>
  <c r="CQ645" i="3"/>
  <c r="CH644" i="3"/>
  <c r="CL645" i="3"/>
  <c r="BS644" i="3"/>
  <c r="BW645" i="3"/>
  <c r="DH635" i="3"/>
  <c r="BX644" i="3"/>
  <c r="CB645" i="3"/>
  <c r="Y7" i="15"/>
  <c r="AI11" i="15"/>
  <c r="AI23" i="15"/>
  <c r="AI26" i="15"/>
  <c r="T7" i="15"/>
  <c r="G27" i="7"/>
  <c r="I27" i="7"/>
  <c r="F27" i="7"/>
  <c r="M27" i="7"/>
  <c r="K27" i="7"/>
  <c r="N27" i="7"/>
  <c r="P27" i="7"/>
  <c r="R27" i="7"/>
  <c r="H27" i="7"/>
  <c r="E27" i="7"/>
  <c r="O27" i="7"/>
  <c r="J27" i="7"/>
  <c r="L27" i="7"/>
  <c r="CC635" i="3"/>
  <c r="CM635" i="3"/>
  <c r="BX658" i="3"/>
  <c r="CB659" i="3"/>
  <c r="BX635" i="3"/>
  <c r="I30" i="8"/>
  <c r="Z807" i="3"/>
  <c r="D6" i="7"/>
  <c r="AC882" i="3"/>
  <c r="AC776" i="3"/>
  <c r="AC881" i="3"/>
  <c r="BA987" i="3"/>
  <c r="I1027" i="3"/>
  <c r="DR635" i="3"/>
  <c r="CX635" i="3"/>
  <c r="BA995" i="3"/>
  <c r="CS635" i="3"/>
  <c r="AC796" i="3"/>
  <c r="BS635" i="3"/>
  <c r="BN658" i="3"/>
  <c r="BN635" i="3"/>
  <c r="CC644" i="3"/>
  <c r="CG645" i="3"/>
  <c r="CH658" i="3"/>
  <c r="CL659" i="3"/>
  <c r="CM658" i="3"/>
  <c r="CQ659" i="3"/>
  <c r="CC658" i="3"/>
  <c r="CG659" i="3"/>
  <c r="BG696" i="3"/>
  <c r="BH675" i="3"/>
  <c r="BI675" i="3"/>
  <c r="DC635" i="3"/>
  <c r="DM635" i="3"/>
  <c r="BS658" i="3"/>
  <c r="BW659" i="3"/>
  <c r="CH635" i="3"/>
  <c r="T753" i="3"/>
  <c r="BK635" i="3"/>
  <c r="X1031" i="3"/>
  <c r="BA990" i="3"/>
  <c r="BN663" i="3"/>
  <c r="AB969" i="3"/>
  <c r="AJ969" i="3"/>
  <c r="BS663" i="3"/>
  <c r="AB970" i="3"/>
  <c r="AJ970" i="3"/>
  <c r="BX663" i="3"/>
  <c r="AB971" i="3"/>
  <c r="AJ971" i="3"/>
  <c r="CC663" i="3"/>
  <c r="AB972" i="3"/>
  <c r="AJ972" i="3"/>
  <c r="CM663" i="3"/>
  <c r="CH663" i="3"/>
  <c r="AB973" i="3"/>
  <c r="AJ973" i="3"/>
  <c r="AJ975" i="3"/>
  <c r="AJ1028" i="3"/>
  <c r="BG635" i="3"/>
  <c r="X1027" i="3"/>
  <c r="BA989" i="3"/>
  <c r="AJ1024" i="3"/>
  <c r="F30" i="8"/>
  <c r="F8" i="7"/>
  <c r="G8" i="7" s="1"/>
  <c r="D104" i="11"/>
  <c r="B96" i="4"/>
  <c r="T63" i="4"/>
  <c r="T97" i="4"/>
  <c r="D11" i="11"/>
  <c r="C12" i="4"/>
  <c r="B12" i="13" s="1"/>
  <c r="E11" i="21"/>
  <c r="AD1037" i="3"/>
  <c r="E4" i="21" s="1"/>
  <c r="E12" i="21"/>
  <c r="DR660" i="3"/>
  <c r="E14" i="21"/>
  <c r="E13" i="21"/>
  <c r="E15" i="21"/>
  <c r="EW650" i="3"/>
  <c r="CQ637" i="3"/>
  <c r="EM662" i="3"/>
  <c r="CG637" i="3"/>
  <c r="DX650" i="3"/>
  <c r="BR637" i="3"/>
  <c r="EC660" i="3"/>
  <c r="BW637" i="3"/>
  <c r="EH638" i="3"/>
  <c r="CB637" i="3"/>
  <c r="ER658" i="3"/>
  <c r="CL637" i="3"/>
  <c r="BR659" i="3"/>
  <c r="CS661" i="3"/>
  <c r="CS660" i="3"/>
  <c r="CS645" i="3"/>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AI28" i="15"/>
  <c r="T27" i="15"/>
  <c r="AD27" i="15"/>
  <c r="Y27" i="15"/>
  <c r="BI728" i="3"/>
  <c r="AM753" i="3"/>
  <c r="B12" i="4"/>
  <c r="D9" i="11"/>
  <c r="D12" i="11"/>
  <c r="C13" i="11"/>
  <c r="D26" i="11"/>
  <c r="D27" i="11"/>
  <c r="CM636" i="3"/>
  <c r="Y798" i="3"/>
  <c r="AC883" i="3"/>
  <c r="BH694" i="3"/>
  <c r="BI694" i="3"/>
  <c r="I1031" i="3"/>
  <c r="Y799" i="3"/>
  <c r="D4" i="7"/>
  <c r="E4" i="7" s="1"/>
  <c r="C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H63" i="13"/>
  <c r="T105" i="4"/>
  <c r="H97" i="13"/>
  <c r="CS637" i="3"/>
  <c r="D96" i="11"/>
  <c r="EH663" i="3"/>
  <c r="O118" i="20"/>
  <c r="O121" i="20"/>
  <c r="O124" i="20"/>
  <c r="EC663" i="3"/>
  <c r="J118" i="20"/>
  <c r="J121" i="20"/>
  <c r="J124" i="20" s="1"/>
  <c r="EM663" i="3"/>
  <c r="T118" i="20"/>
  <c r="T121" i="20"/>
  <c r="T124" i="20"/>
  <c r="DX663" i="3"/>
  <c r="E118" i="20"/>
  <c r="E121" i="20"/>
  <c r="E124" i="20"/>
  <c r="EW663" i="3"/>
  <c r="AD118" i="20"/>
  <c r="AD121" i="20"/>
  <c r="AD124" i="20"/>
  <c r="ER663" i="3"/>
  <c r="Y118" i="20"/>
  <c r="Y121" i="20"/>
  <c r="Y124" i="20"/>
  <c r="BH696" i="3"/>
  <c r="I12" i="21"/>
  <c r="I13" i="21"/>
  <c r="Z816" i="3"/>
  <c r="BI671" i="3"/>
  <c r="BI696" i="3"/>
  <c r="AH753" i="3"/>
  <c r="T107" i="4"/>
  <c r="H105" i="13"/>
  <c r="CS663" i="3"/>
  <c r="J8" i="22"/>
  <c r="J10" i="22"/>
  <c r="U588" i="20"/>
  <c r="P420" i="3"/>
  <c r="H107" i="13"/>
  <c r="AD11" i="15"/>
  <c r="AD23" i="15"/>
  <c r="AD26" i="15"/>
  <c r="AD28" i="15"/>
  <c r="E91" i="20"/>
  <c r="E81" i="20"/>
  <c r="E82" i="20"/>
  <c r="E83" i="20"/>
  <c r="AP83" i="20"/>
  <c r="I11" i="21"/>
  <c r="E16" i="21"/>
  <c r="AB974" i="3"/>
  <c r="AJ1015" i="3"/>
  <c r="AJ1011" i="3"/>
  <c r="AJ1008" i="3"/>
  <c r="AJ1020" i="3"/>
  <c r="AJ977" i="3"/>
  <c r="AJ986" i="3"/>
  <c r="AJ995" i="3"/>
  <c r="AP765" i="20"/>
  <c r="AJ992" i="3"/>
  <c r="AP768" i="20"/>
  <c r="AP767" i="20"/>
  <c r="B1039" i="3"/>
  <c r="I15" i="21"/>
  <c r="I14" i="21"/>
  <c r="AZ846" i="3"/>
  <c r="AZ849" i="3"/>
  <c r="AJ1032" i="3"/>
  <c r="T24" i="15" s="1"/>
  <c r="I16" i="21"/>
  <c r="AP769" i="20"/>
  <c r="AZ854" i="3"/>
  <c r="AS153" i="23"/>
  <c r="BG243" i="3" l="1"/>
  <c r="BO245" i="3" s="1"/>
  <c r="T266" i="3" s="1"/>
  <c r="G55" i="7"/>
  <c r="H55" i="7" s="1"/>
  <c r="I55" i="7" s="1"/>
  <c r="J55" i="7" s="1"/>
  <c r="K55" i="7" s="1"/>
  <c r="L55" i="7" s="1"/>
  <c r="M55" i="7" s="1"/>
  <c r="N55" i="7" s="1"/>
  <c r="O55" i="7" s="1"/>
  <c r="P55" i="7" s="1"/>
  <c r="Q55" i="7" s="1"/>
  <c r="R55" i="7" s="1"/>
  <c r="F59" i="7"/>
  <c r="E59" i="7"/>
  <c r="D5" i="7"/>
  <c r="H8" i="7"/>
  <c r="G9" i="7"/>
  <c r="D9" i="7"/>
  <c r="F4" i="7"/>
  <c r="E5" i="7"/>
  <c r="E42" i="7"/>
  <c r="I52" i="7"/>
  <c r="E14" i="7"/>
  <c r="D21" i="7"/>
  <c r="D34" i="7" s="1"/>
  <c r="F9" i="7"/>
  <c r="D7" i="7"/>
  <c r="D10" i="7" s="1"/>
  <c r="E6" i="7"/>
  <c r="G59" i="7"/>
  <c r="H39" i="7"/>
  <c r="H42" i="7" s="1"/>
  <c r="Q39" i="7"/>
  <c r="Q42" i="7" s="1"/>
  <c r="R39" i="7"/>
  <c r="R42" i="7" s="1"/>
  <c r="K39" i="7"/>
  <c r="K42" i="7" s="1"/>
  <c r="M39" i="7"/>
  <c r="M42" i="7" s="1"/>
  <c r="J28" i="7"/>
  <c r="R28" i="7"/>
  <c r="N28" i="7"/>
  <c r="P28" i="7"/>
  <c r="L28" i="7"/>
  <c r="R12" i="4"/>
  <c r="R63" i="4"/>
  <c r="R97" i="4" s="1"/>
  <c r="R105" i="4" s="1"/>
  <c r="E12" i="4"/>
  <c r="B97" i="11"/>
  <c r="D93" i="11"/>
  <c r="D97" i="11"/>
  <c r="E63" i="13"/>
  <c r="S97" i="4"/>
  <c r="D84" i="11"/>
  <c r="D89" i="11"/>
  <c r="D82" i="11"/>
  <c r="C63" i="11"/>
  <c r="D63" i="11" s="1"/>
  <c r="D55" i="11"/>
  <c r="D46" i="11"/>
  <c r="D39" i="11"/>
  <c r="C64" i="11"/>
  <c r="C98" i="11" s="1"/>
  <c r="C63" i="4"/>
  <c r="B63" i="13" s="1"/>
  <c r="B63" i="4"/>
  <c r="N154" i="23"/>
  <c r="N160" i="23" s="1"/>
  <c r="N161" i="23" s="1"/>
  <c r="B64" i="11"/>
  <c r="B98" i="11" s="1"/>
  <c r="B106" i="11" s="1"/>
  <c r="B77" i="13"/>
  <c r="AP772" i="20"/>
  <c r="AP771" i="20" s="1"/>
  <c r="AP774" i="20" s="1"/>
  <c r="AF767" i="20" s="1"/>
  <c r="G28" i="7"/>
  <c r="M28" i="7"/>
  <c r="E28" i="7"/>
  <c r="I28" i="7"/>
  <c r="K28" i="7"/>
  <c r="Q28" i="7"/>
  <c r="O28" i="7"/>
  <c r="F28" i="7"/>
  <c r="H28" i="7"/>
  <c r="AB48" i="15"/>
  <c r="L39" i="7"/>
  <c r="L42" i="7" s="1"/>
  <c r="P39" i="7"/>
  <c r="P42" i="7" s="1"/>
  <c r="G39" i="7"/>
  <c r="G42" i="7" s="1"/>
  <c r="J39" i="7"/>
  <c r="J42" i="7" s="1"/>
  <c r="O39" i="7"/>
  <c r="O42" i="7" s="1"/>
  <c r="I39" i="7"/>
  <c r="I42" i="7" s="1"/>
  <c r="F39" i="7"/>
  <c r="F42" i="7" s="1"/>
  <c r="D42" i="7"/>
  <c r="E126" i="20"/>
  <c r="E127" i="20" s="1"/>
  <c r="AK131" i="20" s="1"/>
  <c r="T787" i="20" s="1"/>
  <c r="AF787" i="20" s="1"/>
  <c r="T785" i="20"/>
  <c r="AF785" i="20" s="1"/>
  <c r="AK174" i="20"/>
  <c r="T791" i="20" s="1"/>
  <c r="AF791" i="20" s="1"/>
  <c r="AS575" i="20"/>
  <c r="AS577" i="20"/>
  <c r="AS573" i="20" s="1"/>
  <c r="AK684" i="20" s="1"/>
  <c r="T798" i="20" s="1"/>
  <c r="AF798" i="20" s="1"/>
  <c r="T788" i="20"/>
  <c r="AF788" i="20" s="1"/>
  <c r="AK166" i="20"/>
  <c r="AK551" i="20"/>
  <c r="T797" i="20" s="1"/>
  <c r="E94" i="20"/>
  <c r="AP94" i="20" s="1"/>
  <c r="AK97" i="20" s="1"/>
  <c r="T786" i="20" s="1"/>
  <c r="AF786" i="20" s="1"/>
  <c r="H59" i="7" l="1"/>
  <c r="G4" i="7"/>
  <c r="F5" i="7"/>
  <c r="F14" i="7"/>
  <c r="E21" i="7"/>
  <c r="E34" i="7" s="1"/>
  <c r="D36" i="7"/>
  <c r="D44" i="7" s="1"/>
  <c r="F6" i="7"/>
  <c r="E7" i="7"/>
  <c r="E10" i="7" s="1"/>
  <c r="I59" i="7"/>
  <c r="J52" i="7"/>
  <c r="H9" i="7"/>
  <c r="I8" i="7"/>
  <c r="E97" i="13"/>
  <c r="S105" i="4"/>
  <c r="D98" i="11"/>
  <c r="C97" i="4"/>
  <c r="C105" i="4" s="1"/>
  <c r="C106" i="11"/>
  <c r="D106" i="11" s="1"/>
  <c r="D64" i="11"/>
  <c r="B97" i="4"/>
  <c r="AK553" i="20"/>
  <c r="T795" i="20" s="1"/>
  <c r="AF795" i="20" s="1"/>
  <c r="E36" i="7" l="1"/>
  <c r="H4" i="7"/>
  <c r="G5" i="7"/>
  <c r="I9" i="7"/>
  <c r="J8" i="7"/>
  <c r="G14" i="7"/>
  <c r="F21" i="7"/>
  <c r="F34" i="7" s="1"/>
  <c r="F7" i="7"/>
  <c r="F10" i="7" s="1"/>
  <c r="G6" i="7"/>
  <c r="J59" i="7"/>
  <c r="K52" i="7"/>
  <c r="D48" i="7"/>
  <c r="B97" i="13"/>
  <c r="S107" i="4"/>
  <c r="E105" i="13"/>
  <c r="AG252" i="20"/>
  <c r="AC454" i="3"/>
  <c r="B105" i="4"/>
  <c r="B105" i="13"/>
  <c r="D61" i="7"/>
  <c r="D47" i="7"/>
  <c r="D46" i="7"/>
  <c r="D68" i="7" l="1"/>
  <c r="D67" i="7"/>
  <c r="H14" i="7"/>
  <c r="G21" i="7"/>
  <c r="G34" i="7" s="1"/>
  <c r="J9" i="7"/>
  <c r="K8" i="7"/>
  <c r="L52" i="7"/>
  <c r="K59" i="7"/>
  <c r="H6" i="7"/>
  <c r="G7" i="7"/>
  <c r="G10" i="7" s="1"/>
  <c r="H5" i="7"/>
  <c r="I4" i="7"/>
  <c r="F36" i="7"/>
  <c r="E48" i="7"/>
  <c r="E44" i="7"/>
  <c r="AF766" i="20"/>
  <c r="AF768" i="20" s="1"/>
  <c r="AK774" i="20" s="1"/>
  <c r="T799" i="20" s="1"/>
  <c r="AF799" i="20" s="1"/>
  <c r="E107" i="13"/>
  <c r="AC455" i="3"/>
  <c r="AB47" i="15"/>
  <c r="AB49" i="15" s="1"/>
  <c r="AC453" i="3"/>
  <c r="AB249" i="20"/>
  <c r="AG251" i="20" s="1"/>
  <c r="AG253" i="20" s="1"/>
  <c r="AK256" i="20" s="1"/>
  <c r="T792" i="20" s="1"/>
  <c r="AF792" i="20" s="1"/>
  <c r="AF801" i="20" s="1"/>
  <c r="D63" i="7"/>
  <c r="D71" i="7" l="1"/>
  <c r="D73" i="7" s="1"/>
  <c r="H7" i="7"/>
  <c r="H10" i="7" s="1"/>
  <c r="I6" i="7"/>
  <c r="E47" i="7"/>
  <c r="E46" i="7"/>
  <c r="E61" i="7"/>
  <c r="L59" i="7"/>
  <c r="M52" i="7"/>
  <c r="F48" i="7"/>
  <c r="F44" i="7"/>
  <c r="K9" i="7"/>
  <c r="L8" i="7"/>
  <c r="I5" i="7"/>
  <c r="J4" i="7"/>
  <c r="G36" i="7"/>
  <c r="I14" i="7"/>
  <c r="H21" i="7"/>
  <c r="H34" i="7" s="1"/>
  <c r="Y11" i="15"/>
  <c r="Y23" i="15" s="1"/>
  <c r="Y26" i="15" s="1"/>
  <c r="Y28" i="15" s="1"/>
  <c r="T11" i="15"/>
  <c r="T23" i="15" s="1"/>
  <c r="AB54" i="15"/>
  <c r="AB55" i="15" s="1"/>
  <c r="E67" i="7" l="1"/>
  <c r="E68" i="7"/>
  <c r="G44" i="7"/>
  <c r="G48" i="7"/>
  <c r="N52" i="7"/>
  <c r="M59" i="7"/>
  <c r="K4" i="7"/>
  <c r="J5" i="7"/>
  <c r="E63" i="7"/>
  <c r="L9" i="7"/>
  <c r="M8" i="7"/>
  <c r="I7" i="7"/>
  <c r="I10" i="7" s="1"/>
  <c r="J6" i="7"/>
  <c r="H36" i="7"/>
  <c r="F47" i="7"/>
  <c r="F46" i="7"/>
  <c r="F61" i="7"/>
  <c r="I21" i="7"/>
  <c r="I34" i="7" s="1"/>
  <c r="J14" i="7"/>
  <c r="Y64" i="15"/>
  <c r="Y68" i="15" s="1"/>
  <c r="T26" i="15"/>
  <c r="T28" i="15" s="1"/>
  <c r="T29" i="15" s="1"/>
  <c r="AD38" i="15"/>
  <c r="AD40" i="15" s="1"/>
  <c r="F67" i="7" l="1"/>
  <c r="F68" i="7"/>
  <c r="H44" i="7"/>
  <c r="H48" i="7"/>
  <c r="K6" i="7"/>
  <c r="J7" i="7"/>
  <c r="J10" i="7" s="1"/>
  <c r="L4" i="7"/>
  <c r="K5" i="7"/>
  <c r="J21" i="7"/>
  <c r="J34" i="7" s="1"/>
  <c r="J36" i="7" s="1"/>
  <c r="K14" i="7"/>
  <c r="N8" i="7"/>
  <c r="M9" i="7"/>
  <c r="I36" i="7"/>
  <c r="O52" i="7"/>
  <c r="N59" i="7"/>
  <c r="F63" i="7"/>
  <c r="E71" i="7"/>
  <c r="E73" i="7" s="1"/>
  <c r="G47" i="7"/>
  <c r="G61" i="7"/>
  <c r="G46" i="7"/>
  <c r="Y38" i="15"/>
  <c r="Y40" i="15" s="1"/>
  <c r="Y41" i="15" s="1"/>
  <c r="AB56" i="15" s="1"/>
  <c r="G68" i="7" l="1"/>
  <c r="G67" i="7"/>
  <c r="J48" i="7"/>
  <c r="J44" i="7"/>
  <c r="P52" i="7"/>
  <c r="O59" i="7"/>
  <c r="M4" i="7"/>
  <c r="L5" i="7"/>
  <c r="G63" i="7"/>
  <c r="I44" i="7"/>
  <c r="I48" i="7"/>
  <c r="K7" i="7"/>
  <c r="K10" i="7" s="1"/>
  <c r="L6" i="7"/>
  <c r="O8" i="7"/>
  <c r="N9" i="7"/>
  <c r="F71" i="7"/>
  <c r="F73" i="7" s="1"/>
  <c r="K21" i="7"/>
  <c r="K34" i="7" s="1"/>
  <c r="L14" i="7"/>
  <c r="H61" i="7"/>
  <c r="H47" i="7"/>
  <c r="H46" i="7"/>
  <c r="M26" i="3"/>
  <c r="P203" i="3" s="1"/>
  <c r="AB57" i="15"/>
  <c r="AB59" i="15" s="1"/>
  <c r="AB76" i="15" s="1"/>
  <c r="AB77" i="15" s="1"/>
  <c r="H68" i="7" l="1"/>
  <c r="H67" i="7"/>
  <c r="G71" i="7"/>
  <c r="G73" i="7" s="1"/>
  <c r="N4" i="7"/>
  <c r="M5" i="7"/>
  <c r="M14" i="7"/>
  <c r="L21" i="7"/>
  <c r="L34" i="7" s="1"/>
  <c r="I61" i="7"/>
  <c r="I46" i="7"/>
  <c r="I47" i="7"/>
  <c r="K36" i="7"/>
  <c r="J46" i="7"/>
  <c r="J61" i="7"/>
  <c r="J47" i="7"/>
  <c r="P8" i="7"/>
  <c r="O9" i="7"/>
  <c r="L7" i="7"/>
  <c r="L10" i="7" s="1"/>
  <c r="M6" i="7"/>
  <c r="H63" i="7"/>
  <c r="H71" i="7"/>
  <c r="H73" i="7" s="1"/>
  <c r="P59" i="7"/>
  <c r="Q52" i="7"/>
  <c r="AB78" i="15"/>
  <c r="AB80" i="15" s="1"/>
  <c r="J81" i="15" s="1"/>
  <c r="M27" i="3"/>
  <c r="P204" i="3" s="1"/>
  <c r="E3" i="21"/>
  <c r="E7" i="21" s="1"/>
  <c r="E18" i="21" s="1"/>
  <c r="I68" i="7" l="1"/>
  <c r="I67" i="7"/>
  <c r="J68" i="7"/>
  <c r="J67" i="7"/>
  <c r="I63" i="7"/>
  <c r="I71" i="7"/>
  <c r="I73" i="7" s="1"/>
  <c r="Q59" i="7"/>
  <c r="R52" i="7"/>
  <c r="R59" i="7" s="1"/>
  <c r="Q8" i="7"/>
  <c r="P9" i="7"/>
  <c r="L36" i="7"/>
  <c r="M21" i="7"/>
  <c r="M34" i="7" s="1"/>
  <c r="N14" i="7"/>
  <c r="J71" i="7"/>
  <c r="J63" i="7"/>
  <c r="J73" i="7" s="1"/>
  <c r="K44" i="7"/>
  <c r="K48" i="7"/>
  <c r="O4" i="7"/>
  <c r="N5" i="7"/>
  <c r="M7" i="7"/>
  <c r="M10" i="7" s="1"/>
  <c r="N6" i="7"/>
  <c r="O6" i="7" l="1"/>
  <c r="N7" i="7"/>
  <c r="N10" i="7" s="1"/>
  <c r="P4" i="7"/>
  <c r="O5" i="7"/>
  <c r="K47" i="7"/>
  <c r="K46" i="7"/>
  <c r="K61" i="7"/>
  <c r="R8" i="7"/>
  <c r="R9" i="7" s="1"/>
  <c r="Q9" i="7"/>
  <c r="N21" i="7"/>
  <c r="N34" i="7" s="1"/>
  <c r="N36" i="7" s="1"/>
  <c r="O14" i="7"/>
  <c r="M36" i="7"/>
  <c r="L48" i="7"/>
  <c r="L44" i="7"/>
  <c r="K68" i="7" l="1"/>
  <c r="K67" i="7"/>
  <c r="M48" i="7"/>
  <c r="M44" i="7"/>
  <c r="O21" i="7"/>
  <c r="O34" i="7" s="1"/>
  <c r="P14" i="7"/>
  <c r="P5" i="7"/>
  <c r="Q4" i="7"/>
  <c r="N44" i="7"/>
  <c r="N48" i="7"/>
  <c r="L61" i="7"/>
  <c r="L47" i="7"/>
  <c r="L46" i="7"/>
  <c r="O7" i="7"/>
  <c r="O10" i="7" s="1"/>
  <c r="P6" i="7"/>
  <c r="K63" i="7"/>
  <c r="L67" i="7" l="1"/>
  <c r="L68" i="7"/>
  <c r="K71" i="7"/>
  <c r="K73" i="7" s="1"/>
  <c r="O36" i="7"/>
  <c r="P7" i="7"/>
  <c r="P10" i="7" s="1"/>
  <c r="Q6" i="7"/>
  <c r="Q14" i="7"/>
  <c r="P21" i="7"/>
  <c r="P34" i="7" s="1"/>
  <c r="P36" i="7" s="1"/>
  <c r="L63" i="7"/>
  <c r="M46" i="7"/>
  <c r="M61" i="7"/>
  <c r="M47" i="7"/>
  <c r="R4" i="7"/>
  <c r="Q5" i="7"/>
  <c r="N47" i="7"/>
  <c r="N46" i="7"/>
  <c r="N61" i="7"/>
  <c r="M67" i="7" l="1"/>
  <c r="M68" i="7"/>
  <c r="N67" i="7"/>
  <c r="N68" i="7"/>
  <c r="L71" i="7"/>
  <c r="L73" i="7" s="1"/>
  <c r="P48" i="7"/>
  <c r="P44" i="7"/>
  <c r="R14" i="7"/>
  <c r="R21" i="7" s="1"/>
  <c r="R34" i="7" s="1"/>
  <c r="Q21" i="7"/>
  <c r="Q34" i="7" s="1"/>
  <c r="M71" i="7"/>
  <c r="M63" i="7"/>
  <c r="R5" i="7"/>
  <c r="Q7" i="7"/>
  <c r="Q10" i="7" s="1"/>
  <c r="R6" i="7"/>
  <c r="R7" i="7" s="1"/>
  <c r="N63" i="7"/>
  <c r="O44" i="7"/>
  <c r="O48" i="7"/>
  <c r="M73" i="7" l="1"/>
  <c r="R10" i="7"/>
  <c r="Q36" i="7"/>
  <c r="R36" i="7"/>
  <c r="P46" i="7"/>
  <c r="P47" i="7"/>
  <c r="P61" i="7"/>
  <c r="O61" i="7"/>
  <c r="O47" i="7"/>
  <c r="O46" i="7"/>
  <c r="N71" i="7"/>
  <c r="N73" i="7" s="1"/>
  <c r="O68" i="7" l="1"/>
  <c r="O67" i="7"/>
  <c r="P68" i="7"/>
  <c r="P67" i="7"/>
  <c r="R44" i="7"/>
  <c r="R48" i="7"/>
  <c r="O63" i="7"/>
  <c r="O71" i="7"/>
  <c r="Q48" i="7"/>
  <c r="Q44" i="7"/>
  <c r="P63" i="7"/>
  <c r="Q46" i="7" l="1"/>
  <c r="Q61" i="7"/>
  <c r="Q47" i="7"/>
  <c r="O73" i="7"/>
  <c r="P71" i="7"/>
  <c r="P73" i="7" s="1"/>
  <c r="R46" i="7"/>
  <c r="R61" i="7"/>
  <c r="R47" i="7"/>
  <c r="R68" i="7" l="1"/>
  <c r="R67" i="7"/>
  <c r="R71" i="7" s="1"/>
  <c r="Q68" i="7"/>
  <c r="Q67" i="7"/>
  <c r="R63" i="7"/>
  <c r="Q71" i="7"/>
  <c r="Q63" i="7"/>
  <c r="R73" i="7" l="1"/>
  <c r="Q7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3" authorId="0" shapeId="0" xr:uid="{00000000-0006-0000-0C00-000001000000}">
      <text>
        <r>
          <rPr>
            <sz val="9"/>
            <color rgb="FF000000"/>
            <rFont val="Tahoma"/>
            <family val="2"/>
          </rPr>
          <t>INSERT PERCENTAGE SHARE OF RESIDUAL RECEIPTS CASH FLOW</t>
        </r>
      </text>
    </comment>
    <comment ref="C66"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<sst xmlns="http://schemas.openxmlformats.org/spreadsheetml/2006/main" count="5093" uniqueCount="2677">
  <si>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</si>
  <si>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</si>
  <si>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</si>
  <si>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</si>
  <si>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</si>
  <si>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</si>
  <si>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</si>
  <si>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</si>
  <si>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</si>
  <si>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</si>
  <si>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</si>
  <si>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</si>
  <si>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</si>
  <si>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</si>
  <si>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</si>
  <si>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</si>
  <si>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</si>
  <si>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</si>
  <si>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</si>
  <si>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</si>
  <si>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</si>
  <si>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</si>
  <si>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</si>
  <si>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</si>
  <si>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</si>
  <si>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</si>
  <si>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</si>
  <si>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</si>
  <si>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</si>
  <si>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</si>
  <si>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</si>
  <si>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</si>
  <si>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</si>
  <si>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</si>
  <si>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</si>
  <si>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</si>
  <si>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</si>
  <si>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</si>
  <si>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</si>
  <si>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</si>
  <si>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</si>
  <si>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</si>
  <si>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</si>
  <si>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</si>
  <si>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</si>
  <si>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</si>
  <si>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</si>
  <si>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</si>
  <si>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</si>
  <si>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</si>
  <si>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</si>
  <si>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</si>
  <si>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</si>
  <si>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</si>
  <si>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</si>
  <si>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</si>
  <si>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</si>
  <si>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</si>
  <si>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</si>
  <si>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</si>
  <si>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</si>
  <si>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</si>
  <si>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</si>
  <si>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</si>
  <si>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</si>
  <si>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</si>
  <si>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</si>
  <si>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</si>
  <si>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</si>
  <si>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</si>
  <si>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</si>
  <si>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</si>
  <si>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</si>
  <si>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</si>
  <si>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</si>
  <si>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</si>
  <si>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</si>
  <si>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</si>
  <si>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</si>
  <si>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</si>
  <si>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</si>
  <si>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</si>
  <si>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</si>
  <si>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</si>
  <si>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</si>
  <si>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</si>
  <si>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</si>
  <si>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</si>
  <si>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</si>
  <si>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</si>
  <si>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</si>
  <si>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</si>
  <si>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</si>
  <si>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</si>
  <si>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</si>
  <si>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</si>
  <si>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</si>
  <si>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</si>
  <si>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</si>
  <si>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</si>
  <si>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</si>
  <si>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</si>
  <si>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</si>
  <si>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</si>
  <si>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</si>
  <si>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</si>
  <si>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</si>
  <si>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</si>
  <si>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</si>
  <si>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</si>
  <si>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</si>
  <si>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</si>
  <si>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</si>
  <si>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</si>
  <si>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</si>
  <si>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</si>
  <si>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</si>
  <si>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</si>
  <si>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</si>
  <si>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</si>
  <si>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</si>
  <si>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</si>
  <si>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</si>
  <si>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</si>
  <si>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</si>
  <si>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</si>
  <si>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</si>
  <si>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</si>
  <si>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</si>
  <si>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</si>
  <si>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</si>
  <si>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</si>
  <si>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</si>
  <si>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</si>
  <si>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</si>
  <si>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</si>
  <si>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</si>
  <si>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</si>
  <si>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</si>
  <si>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</si>
  <si>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</si>
  <si>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</si>
  <si>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</si>
  <si>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</si>
  <si>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</si>
  <si>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</si>
  <si>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</si>
  <si>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</si>
  <si>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</si>
  <si>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</si>
  <si>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</si>
  <si>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</si>
  <si>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</si>
  <si>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</si>
  <si>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</si>
  <si>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</si>
  <si>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</si>
  <si>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</si>
  <si>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</si>
  <si>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</si>
  <si>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</si>
  <si>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</si>
  <si>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</si>
  <si>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</si>
  <si>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</si>
  <si>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</si>
  <si>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</si>
  <si>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</si>
  <si>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</si>
  <si>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</si>
  <si>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</si>
  <si>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</si>
  <si>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</si>
  <si>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</si>
  <si>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</si>
  <si>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</si>
  <si>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</si>
  <si>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</si>
  <si>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</si>
  <si>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</si>
  <si>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</si>
  <si>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</si>
  <si>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</si>
  <si>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</si>
  <si>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</si>
  <si>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</si>
  <si>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</si>
  <si>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</si>
  <si>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</si>
  <si>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</si>
  <si>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</si>
  <si>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</si>
  <si>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</si>
  <si>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</si>
  <si>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</si>
  <si>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</si>
  <si>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</si>
  <si>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</si>
  <si>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</si>
  <si>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</si>
  <si>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</si>
  <si>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</si>
  <si>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</si>
  <si>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</si>
  <si>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</si>
  <si>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</si>
  <si>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</si>
  <si>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</si>
  <si>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</si>
  <si>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</si>
  <si>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</si>
  <si>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</si>
  <si>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</si>
  <si>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</si>
  <si>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</si>
  <si>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</si>
  <si>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</si>
  <si>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</si>
  <si>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</si>
  <si>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</si>
  <si>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</si>
  <si>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</si>
  <si>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</si>
  <si>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</si>
  <si>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</si>
  <si>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</si>
  <si>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</si>
  <si>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</si>
  <si>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</si>
  <si>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</si>
  <si>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</si>
  <si>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</si>
  <si>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</si>
  <si>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</si>
  <si>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</si>
  <si>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</si>
  <si>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</si>
  <si>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</si>
  <si>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</si>
  <si>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</si>
  <si>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</si>
  <si>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</si>
  <si>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</si>
  <si>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</si>
  <si>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</si>
  <si>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</si>
  <si>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</si>
  <si>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</si>
  <si>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</si>
  <si>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</si>
  <si>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</si>
  <si>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</si>
  <si>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</si>
  <si>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</si>
  <si>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</si>
  <si>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</si>
  <si>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</si>
  <si>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</si>
  <si>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</si>
  <si>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</si>
  <si>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</si>
  <si>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</si>
  <si>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</si>
  <si>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</si>
  <si>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</si>
  <si>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</si>
  <si>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</si>
  <si>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</si>
  <si>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</si>
  <si>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</si>
  <si>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</si>
  <si>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</si>
  <si>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</si>
  <si>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</si>
  <si>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</si>
  <si>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</si>
  <si>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</si>
  <si>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</si>
  <si>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</si>
  <si>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</si>
  <si>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</si>
  <si>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</si>
  <si>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</si>
  <si>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</si>
  <si>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</si>
  <si>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</si>
  <si>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</si>
  <si>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</si>
  <si>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</si>
  <si>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</si>
  <si>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</si>
  <si>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</si>
  <si>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</si>
  <si>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</si>
  <si>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</si>
  <si>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</si>
  <si>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</si>
  <si>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</si>
  <si>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</si>
  <si>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</si>
  <si>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</si>
  <si>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</si>
  <si>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</si>
  <si>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</si>
  <si>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</si>
  <si>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</si>
  <si>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</si>
  <si>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</si>
  <si>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</si>
  <si>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</si>
  <si>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</si>
  <si>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</si>
  <si>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</si>
  <si>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</si>
  <si>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</si>
  <si>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</si>
  <si>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</si>
  <si>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</si>
  <si>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</si>
  <si>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</si>
  <si>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</si>
  <si>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</si>
  <si>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</si>
  <si>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</si>
  <si>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</si>
  <si>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</si>
  <si>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</si>
  <si>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</si>
  <si>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</si>
  <si>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</si>
  <si>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</si>
  <si>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</si>
  <si>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</si>
  <si>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</si>
  <si>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</si>
  <si>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</si>
  <si>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</si>
  <si>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</si>
  <si>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</si>
  <si>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</si>
  <si>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</si>
  <si>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</si>
  <si>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</si>
  <si>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</si>
  <si>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</si>
  <si>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</si>
  <si>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</si>
  <si>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</si>
  <si>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</si>
  <si>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</si>
  <si>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</si>
  <si>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</si>
  <si>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</si>
  <si>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</si>
  <si>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</si>
  <si>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</si>
  <si>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</si>
  <si>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</si>
  <si>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</si>
  <si>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</si>
  <si>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</si>
  <si>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</si>
  <si>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</si>
  <si>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</si>
  <si>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</si>
  <si>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</si>
  <si>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</si>
  <si>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</si>
  <si>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</si>
  <si>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</si>
  <si>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</si>
  <si>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</si>
  <si>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</si>
  <si>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</si>
  <si>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</si>
  <si>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</si>
  <si>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</si>
  <si>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</si>
  <si>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</si>
  <si>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</si>
  <si>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</si>
  <si>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</si>
  <si>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</si>
  <si>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</si>
  <si>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</si>
  <si>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</si>
  <si>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</si>
  <si>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</si>
  <si>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</si>
  <si>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</si>
  <si>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</si>
  <si>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</si>
  <si>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</si>
  <si>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</si>
  <si>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</si>
  <si>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</si>
  <si>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</si>
  <si>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</si>
  <si>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</si>
  <si>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</si>
  <si>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</si>
  <si>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</si>
  <si>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</si>
  <si>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</si>
  <si>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</si>
  <si>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</si>
  <si>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</si>
  <si>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</si>
  <si>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</si>
  <si>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</si>
  <si>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</si>
  <si>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</si>
  <si>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</si>
  <si>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</si>
  <si>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</si>
  <si>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</si>
  <si>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</si>
  <si>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</si>
  <si>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</si>
  <si>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</si>
  <si>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</si>
  <si>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</si>
  <si>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</si>
  <si>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</si>
  <si>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</si>
  <si>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</si>
  <si>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</si>
  <si>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</si>
  <si>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</si>
  <si>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</si>
  <si>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</si>
  <si>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</si>
  <si>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</si>
  <si>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</si>
  <si>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</si>
  <si>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</si>
  <si>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</si>
  <si>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</si>
  <si>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</si>
  <si>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</si>
  <si>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</si>
  <si>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</si>
  <si>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</si>
  <si>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</si>
  <si>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</si>
  <si>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</si>
  <si>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</si>
  <si>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</si>
  <si>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</si>
  <si>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</si>
  <si>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</si>
  <si>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</si>
  <si>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</si>
  <si>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</si>
  <si>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</si>
  <si>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</si>
  <si>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</si>
  <si>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</si>
  <si>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</si>
  <si>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</si>
  <si>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</si>
  <si>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</si>
  <si>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</si>
  <si>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</si>
  <si>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</si>
  <si>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</si>
  <si>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</si>
  <si>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</si>
  <si>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</si>
  <si>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</si>
  <si>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</si>
  <si>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</si>
  <si>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</si>
  <si>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</si>
  <si>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</si>
  <si>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</si>
  <si>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</si>
  <si>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</si>
  <si>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</si>
  <si>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</si>
  <si>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</si>
  <si>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</si>
  <si>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</si>
  <si>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</si>
  <si>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</si>
  <si>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</si>
  <si>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</si>
  <si>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</si>
  <si>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</si>
  <si>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</si>
  <si>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</si>
  <si>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</si>
  <si>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</si>
  <si>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</si>
  <si>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</si>
  <si>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</si>
  <si>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</si>
  <si>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</si>
  <si>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</si>
  <si>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</si>
  <si>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</si>
  <si>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</si>
  <si>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</si>
  <si>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</si>
  <si>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</si>
  <si>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</si>
  <si>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</si>
  <si>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</si>
  <si>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</si>
  <si>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</si>
  <si>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</si>
  <si>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</si>
  <si>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</si>
  <si>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</si>
  <si>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</si>
  <si>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</si>
  <si>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</si>
  <si>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</si>
  <si>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</si>
  <si>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</si>
  <si>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</si>
  <si>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</si>
  <si>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</si>
  <si>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</si>
  <si>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</si>
  <si>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</si>
  <si>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</si>
  <si>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</si>
  <si>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</si>
  <si>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</si>
  <si>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</si>
  <si>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</si>
  <si>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</si>
  <si>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</si>
  <si>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</si>
  <si>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</si>
  <si>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</si>
  <si>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</si>
  <si>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</si>
  <si>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</si>
  <si>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</si>
  <si>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</si>
  <si>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</si>
  <si>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</si>
  <si>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</si>
  <si>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</si>
  <si>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</si>
  <si>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</si>
  <si>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</si>
  <si>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</si>
  <si>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</si>
  <si>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</si>
  <si>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</si>
  <si>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</si>
  <si>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</si>
  <si>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</si>
  <si>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</si>
  <si>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</si>
  <si>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</si>
  <si>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</si>
  <si>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</si>
  <si>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</si>
  <si>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</si>
  <si>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</si>
  <si>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</si>
  <si>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</si>
  <si>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</si>
  <si>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</si>
  <si>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</si>
  <si>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</si>
  <si>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</si>
  <si>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</si>
  <si>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</si>
  <si>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</si>
  <si>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</si>
  <si>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</si>
  <si>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</si>
  <si>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</si>
  <si>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</si>
  <si>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</si>
  <si>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</si>
  <si>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</si>
  <si>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</si>
  <si>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</si>
  <si>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</si>
  <si>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</si>
  <si>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</si>
  <si>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</si>
  <si>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</si>
  <si>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</si>
  <si>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</si>
  <si>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</si>
  <si>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</si>
  <si>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</si>
  <si>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</si>
  <si>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</si>
  <si>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</si>
  <si>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</si>
  <si>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</si>
  <si>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</si>
  <si>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</si>
  <si>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</si>
  <si>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</si>
  <si>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</si>
  <si>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</si>
  <si>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</si>
  <si>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</si>
  <si>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</si>
  <si>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</si>
  <si>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</si>
  <si>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</si>
  <si>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</si>
  <si>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</si>
  <si>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</si>
  <si>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</si>
  <si>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</si>
  <si>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</si>
  <si>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</si>
  <si>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</si>
  <si>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</si>
  <si>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</si>
  <si>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</si>
  <si>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</si>
  <si>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</si>
  <si>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</si>
  <si>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</si>
  <si>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</si>
  <si>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</si>
  <si>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</si>
  <si>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</si>
  <si>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</si>
  <si>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</si>
  <si>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</si>
  <si>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</si>
  <si>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</si>
  <si>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</si>
  <si>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</si>
  <si>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</si>
  <si>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</si>
  <si>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</si>
  <si>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</si>
  <si>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</si>
  <si>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</si>
  <si>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</si>
  <si>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</si>
  <si>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</si>
  <si>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</si>
  <si>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</si>
  <si>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</si>
  <si>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</si>
  <si>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</si>
  <si>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</si>
  <si>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</si>
  <si>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</si>
  <si>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</si>
  <si>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</si>
  <si>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</si>
  <si>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</si>
  <si>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</si>
  <si>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</si>
  <si>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</si>
  <si>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</si>
  <si>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</si>
  <si>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</si>
  <si>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</si>
  <si>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</si>
  <si>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</si>
  <si>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</si>
  <si>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</si>
  <si>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</si>
  <si>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</si>
  <si>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</si>
  <si>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</si>
  <si>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</si>
  <si>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</si>
  <si>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</si>
  <si>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</si>
  <si>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</si>
  <si>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</si>
  <si>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</si>
  <si>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</si>
  <si>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</si>
  <si>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</si>
  <si>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</si>
  <si>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</si>
  <si>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</si>
  <si>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</si>
  <si>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</si>
  <si>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</si>
  <si>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</si>
  <si>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</si>
  <si>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</si>
  <si>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</si>
  <si>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</si>
  <si>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</si>
  <si>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</si>
  <si>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</si>
  <si>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</si>
  <si>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</si>
  <si>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</si>
  <si>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</si>
  <si>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</si>
  <si>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</si>
  <si>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</si>
  <si>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</si>
  <si>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</si>
  <si>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</si>
  <si>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</si>
  <si>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</si>
  <si>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</si>
  <si>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</si>
  <si>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</si>
  <si>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</si>
  <si>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</si>
  <si>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</si>
  <si>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</si>
  <si>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</si>
  <si>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</si>
  <si>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</si>
  <si>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</si>
  <si>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</si>
  <si>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</si>
  <si>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</si>
  <si>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</si>
  <si>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</si>
  <si>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</si>
  <si>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</si>
  <si>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</si>
  <si>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</si>
  <si>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</si>
  <si>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</si>
  <si>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</si>
  <si>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</si>
  <si>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</si>
  <si>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</si>
  <si>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</si>
  <si>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</si>
  <si>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</si>
  <si>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</si>
  <si>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</si>
  <si>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</si>
  <si>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</si>
  <si>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</si>
  <si>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</si>
  <si>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</si>
  <si>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</si>
  <si>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</si>
  <si>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</si>
  <si>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</si>
  <si>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</si>
  <si>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</si>
  <si>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</si>
  <si>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</si>
  <si>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</si>
  <si>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</si>
  <si>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</si>
  <si>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</si>
  <si>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</si>
  <si>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</si>
  <si>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</si>
  <si>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</si>
  <si>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</si>
  <si>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</si>
  <si>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</si>
  <si>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</si>
  <si>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</si>
  <si>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</si>
  <si>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</si>
  <si>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</si>
  <si>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</si>
  <si>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</si>
  <si>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</si>
  <si>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</si>
  <si>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</si>
  <si>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</si>
  <si>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</si>
  <si>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</si>
  <si>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</si>
  <si>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</si>
  <si>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</si>
  <si>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</si>
  <si>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</si>
  <si>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</si>
  <si>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</si>
  <si>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</si>
  <si>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</si>
  <si>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</si>
  <si>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</si>
  <si>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</si>
  <si>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</si>
  <si>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</si>
  <si>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</si>
  <si>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</si>
  <si>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</si>
  <si>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</si>
  <si>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</si>
  <si>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</si>
  <si>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</si>
  <si>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</si>
  <si>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</si>
  <si>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</si>
  <si>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</si>
  <si>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</si>
  <si>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</si>
  <si>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</si>
  <si>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</si>
  <si>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</si>
  <si>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</si>
  <si>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</si>
  <si>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</si>
  <si>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</si>
  <si>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</si>
  <si>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</si>
  <si>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</si>
  <si>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</si>
  <si>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</si>
  <si>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</si>
  <si>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</si>
  <si>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</si>
  <si>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</si>
  <si>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</si>
  <si>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</si>
  <si>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</si>
  <si>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</si>
  <si>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</si>
  <si>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</si>
  <si>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</si>
  <si>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</si>
  <si>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</si>
  <si>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</si>
  <si>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</si>
  <si>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</si>
  <si>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</si>
  <si>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</si>
  <si>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</si>
  <si>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</si>
  <si>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</si>
  <si>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</si>
  <si>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</si>
  <si>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</si>
  <si>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</si>
  <si>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</si>
  <si>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</si>
  <si>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</si>
  <si>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</si>
  <si>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</si>
  <si>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</si>
  <si>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</si>
  <si>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</si>
  <si>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</si>
  <si>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</si>
  <si>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</si>
  <si>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</si>
  <si>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</si>
  <si>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</si>
  <si>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</si>
  <si>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</si>
  <si>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</si>
  <si>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</si>
  <si>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</si>
  <si>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</si>
  <si>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</si>
  <si>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</si>
  <si>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</si>
  <si>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</si>
  <si>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</si>
  <si>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</si>
  <si>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</si>
  <si>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</si>
  <si>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</si>
  <si>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</si>
  <si>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</si>
  <si>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</si>
  <si>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</si>
  <si>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</si>
  <si>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</si>
  <si>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</si>
  <si>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</si>
  <si>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</si>
  <si>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</si>
  <si>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</si>
  <si>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</si>
  <si>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</si>
  <si>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</si>
  <si>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</si>
  <si>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</si>
  <si>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</si>
  <si>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</si>
  <si>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</si>
  <si>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</si>
  <si>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</si>
  <si>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</si>
  <si>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</si>
  <si>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</si>
  <si>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</si>
  <si>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</si>
  <si>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</si>
  <si>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</si>
  <si>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</si>
  <si>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</si>
  <si>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</si>
  <si>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</si>
  <si>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</si>
  <si>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</si>
  <si>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</si>
  <si>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</si>
  <si>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</si>
  <si>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</si>
  <si>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</si>
  <si>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</si>
  <si>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</si>
  <si>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</si>
  <si>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</si>
  <si>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</si>
  <si>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</si>
  <si>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</si>
  <si>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</si>
  <si>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</si>
  <si>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</si>
  <si>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</si>
  <si>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</si>
  <si>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</si>
  <si>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</si>
  <si>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</si>
  <si>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</si>
  <si>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</si>
  <si>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</si>
  <si>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</si>
  <si>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</si>
  <si>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</si>
  <si>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</si>
  <si>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</si>
  <si>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</si>
  <si>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</si>
  <si>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</si>
  <si>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</si>
  <si>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</si>
  <si>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</si>
  <si>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</si>
  <si>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</si>
  <si>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</si>
  <si>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</si>
  <si>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</si>
  <si>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</si>
  <si>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</si>
  <si>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</si>
  <si>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</si>
  <si>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</si>
  <si>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</si>
  <si>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</si>
  <si>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</si>
  <si>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</si>
  <si>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</si>
  <si>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</si>
  <si>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</si>
  <si>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</si>
  <si>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</si>
  <si>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</si>
  <si>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</si>
  <si>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</si>
  <si>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</si>
  <si>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</si>
  <si>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</si>
  <si>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</si>
  <si>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</si>
  <si>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</si>
  <si>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</si>
  <si>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</si>
  <si>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</si>
  <si>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</si>
  <si>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</si>
  <si>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</si>
  <si>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</si>
  <si>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</si>
  <si>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</si>
  <si>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</si>
  <si>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</si>
  <si>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</si>
  <si>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</si>
  <si>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</si>
  <si>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</si>
  <si>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</si>
  <si>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</si>
  <si>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</si>
  <si>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</si>
  <si>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</si>
  <si>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</si>
  <si>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</si>
  <si>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</si>
  <si>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</si>
  <si>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</si>
  <si>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</si>
  <si>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</si>
  <si>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</si>
  <si>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</si>
  <si>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</si>
  <si>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</si>
  <si>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</si>
  <si>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</si>
  <si>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</si>
  <si>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</si>
  <si>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</si>
  <si>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</si>
  <si>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</si>
  <si>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</si>
  <si>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</si>
  <si>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</si>
  <si>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</si>
  <si>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</si>
  <si>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</si>
  <si>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</si>
  <si>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</si>
  <si>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</si>
  <si>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</si>
  <si>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</si>
  <si>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</si>
  <si>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</si>
  <si>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</si>
  <si>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</si>
  <si>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</si>
  <si>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</si>
  <si>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</si>
  <si>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</si>
  <si>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</si>
  <si>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</si>
  <si>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</si>
  <si>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</si>
  <si>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</si>
  <si>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</si>
  <si>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</si>
  <si>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</si>
  <si>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</si>
  <si>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</si>
  <si>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</si>
  <si>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</si>
  <si>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</si>
  <si>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</si>
  <si>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</si>
  <si>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</si>
  <si>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</si>
  <si>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</si>
  <si>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</si>
  <si>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</si>
  <si>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</si>
  <si>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</si>
  <si>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</si>
  <si>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</si>
  <si>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</si>
  <si>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</si>
  <si>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</si>
  <si>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</si>
  <si>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</si>
  <si>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</si>
  <si>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</si>
  <si>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</si>
  <si>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</si>
  <si>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</si>
  <si>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</si>
  <si>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</si>
  <si>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</si>
  <si>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</si>
  <si>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</si>
  <si>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</si>
  <si>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</si>
  <si>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</si>
  <si>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</si>
  <si>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</si>
  <si>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</si>
  <si>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</si>
  <si>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</si>
  <si>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</si>
  <si>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</si>
  <si>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</si>
  <si>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</si>
  <si>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</si>
  <si>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</si>
  <si>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</si>
  <si>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</si>
  <si>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</si>
  <si>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</si>
  <si>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</si>
  <si>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</si>
  <si>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</si>
  <si>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</si>
  <si>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</si>
  <si>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</si>
  <si>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</si>
  <si>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</si>
  <si>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</si>
  <si>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</si>
  <si>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</si>
  <si>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</si>
  <si>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</si>
  <si>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</si>
  <si>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</si>
  <si>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</si>
  <si>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</si>
  <si>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</si>
  <si>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</si>
  <si>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</si>
  <si>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</si>
  <si>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</si>
  <si>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</si>
  <si>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</si>
  <si>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</si>
  <si>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</si>
  <si>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</si>
  <si>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</si>
  <si>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</si>
  <si>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</si>
  <si>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</si>
  <si>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</si>
  <si>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</si>
  <si>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</si>
  <si>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</si>
  <si>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</si>
  <si>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</si>
  <si>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</si>
  <si>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</si>
  <si>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</si>
  <si>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</si>
  <si>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</si>
  <si>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</si>
  <si>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</si>
  <si>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</si>
  <si>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</si>
  <si>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</si>
  <si>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</si>
  <si>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</si>
  <si>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</si>
  <si>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</si>
  <si>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</si>
  <si>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</si>
  <si>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</si>
  <si>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</si>
  <si>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</si>
  <si>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</si>
  <si>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</si>
  <si>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</si>
  <si>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</si>
  <si>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</si>
  <si>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</si>
  <si>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</si>
  <si>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</si>
  <si>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</si>
  <si>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</si>
  <si>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</si>
  <si>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</si>
  <si>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</si>
  <si>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</si>
  <si>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</si>
  <si>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</si>
  <si>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</si>
  <si>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</si>
  <si>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</si>
  <si>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</si>
  <si>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</si>
  <si>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</si>
  <si>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</si>
  <si>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</si>
  <si>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</si>
  <si>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</si>
  <si>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</si>
  <si>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</si>
  <si>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</si>
  <si>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</si>
  <si>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</si>
  <si>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</si>
  <si>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</si>
  <si>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</si>
  <si>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</si>
  <si>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</si>
  <si>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</si>
  <si>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</si>
  <si>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</si>
  <si>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</si>
  <si>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</si>
  <si>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</si>
  <si>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</si>
  <si>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</si>
  <si>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</si>
  <si>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</si>
  <si>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</si>
  <si>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</si>
  <si>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</si>
  <si>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</si>
  <si>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</si>
  <si>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</si>
  <si>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</si>
  <si>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</si>
  <si>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</si>
  <si>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</si>
  <si>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</si>
  <si>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</si>
  <si>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</si>
  <si>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</si>
  <si>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</si>
  <si>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</si>
  <si>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</si>
  <si>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</si>
  <si>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</si>
  <si>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</si>
  <si>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</si>
  <si>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</si>
  <si>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</si>
  <si>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</si>
  <si>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</si>
  <si>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</si>
  <si>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</si>
  <si>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</si>
  <si>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</si>
  <si>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</si>
  <si>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</si>
  <si>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</si>
  <si>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</si>
  <si>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</si>
  <si>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</si>
  <si>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</si>
  <si>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</si>
  <si>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</si>
  <si>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</si>
  <si>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</si>
  <si>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</si>
  <si>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</si>
  <si>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</si>
  <si>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</si>
  <si>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</si>
  <si>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</si>
  <si>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</si>
  <si>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</si>
  <si>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</si>
  <si>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</si>
  <si>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</si>
  <si>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</si>
  <si>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</si>
  <si>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</si>
  <si>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</si>
  <si>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</si>
  <si>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</si>
  <si>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</si>
  <si>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</si>
  <si>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</si>
  <si>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</si>
  <si>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</si>
  <si>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</si>
  <si>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</si>
  <si>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</si>
  <si>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</si>
  <si>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</si>
  <si>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</si>
  <si>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</si>
  <si>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</si>
  <si>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</si>
  <si>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</si>
  <si>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</si>
  <si>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</si>
  <si>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</si>
  <si>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</si>
  <si>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</si>
  <si>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</si>
  <si>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</si>
  <si>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</si>
  <si>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</si>
  <si>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</si>
  <si>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</si>
  <si>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</si>
  <si>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</si>
  <si>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</si>
  <si>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</si>
  <si>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</si>
  <si>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</si>
  <si>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</si>
  <si>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</si>
  <si>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</si>
  <si>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</si>
  <si>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</si>
  <si>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</si>
  <si>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</si>
  <si>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</si>
  <si>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</si>
  <si>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</si>
  <si>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</si>
  <si>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</si>
  <si>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</si>
  <si>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</si>
  <si>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</si>
  <si>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</si>
  <si>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</si>
  <si>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</si>
  <si>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</si>
  <si>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</si>
  <si>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</si>
  <si>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</si>
  <si>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</si>
  <si>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</si>
  <si>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</si>
  <si>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</si>
  <si>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</si>
  <si>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</si>
  <si>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</si>
  <si>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</si>
  <si>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</si>
  <si>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</si>
  <si>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</si>
  <si>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</si>
  <si>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</si>
  <si>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</si>
  <si>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</si>
  <si>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</si>
  <si>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</si>
  <si>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</si>
  <si>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</si>
  <si>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</si>
  <si>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</si>
  <si>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</si>
  <si>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</si>
  <si>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</si>
  <si>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</si>
  <si>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</si>
  <si>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</si>
  <si>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</si>
  <si>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</si>
  <si>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</si>
  <si>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</si>
  <si>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</si>
  <si>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</si>
  <si>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</si>
  <si>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</si>
  <si>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</si>
  <si>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</si>
  <si>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</si>
  <si>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</si>
  <si>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</si>
  <si>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</si>
  <si>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</si>
  <si>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</si>
  <si>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</si>
  <si>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</si>
  <si>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</si>
  <si>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</si>
  <si>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</si>
  <si>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</si>
  <si>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</si>
  <si>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</si>
  <si>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</si>
  <si>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</si>
  <si>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</si>
  <si>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</si>
  <si>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</si>
  <si>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</si>
  <si>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</si>
  <si>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</si>
  <si>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</si>
  <si>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</si>
  <si>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</si>
  <si>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</si>
  <si>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</si>
  <si>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</si>
  <si>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</si>
  <si>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</si>
  <si>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</si>
  <si>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</si>
  <si>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</si>
  <si>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</si>
  <si>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</si>
  <si>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</si>
  <si>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</si>
  <si>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</si>
  <si>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</si>
  <si>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</si>
  <si>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</si>
  <si>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</si>
  <si>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</si>
  <si>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</si>
  <si>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</si>
  <si>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</si>
  <si>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</si>
  <si>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</si>
  <si>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</si>
  <si>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</si>
  <si>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</si>
  <si>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</si>
  <si>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</si>
  <si>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</si>
  <si>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</si>
  <si>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</si>
  <si>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</si>
  <si>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</si>
  <si>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</si>
  <si>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</si>
  <si>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</si>
  <si>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</si>
  <si>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</si>
  <si>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</si>
  <si>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</si>
  <si>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</si>
  <si>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</si>
  <si>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</si>
  <si>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</si>
  <si>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</si>
  <si>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</si>
  <si>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</si>
  <si>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</si>
  <si>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</si>
  <si>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</si>
  <si>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</si>
  <si>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</si>
  <si>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</si>
  <si>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</si>
  <si>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</si>
  <si>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</si>
  <si>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</si>
  <si>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</si>
  <si>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</si>
  <si>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</si>
  <si>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</si>
  <si>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</si>
  <si>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</si>
  <si>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</si>
  <si>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</si>
  <si>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</si>
  <si>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</si>
  <si>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</si>
  <si>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</si>
  <si>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</si>
  <si>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</si>
  <si>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</si>
  <si>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</si>
  <si>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</si>
  <si>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</si>
  <si>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</si>
  <si>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</si>
  <si>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</si>
  <si>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</si>
  <si>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</si>
  <si>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</si>
  <si>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</si>
  <si>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</si>
  <si>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</si>
  <si>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</si>
  <si>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</si>
  <si>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</si>
  <si>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</si>
  <si>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</si>
  <si>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</si>
  <si>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</si>
  <si>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</si>
  <si>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</si>
  <si>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</si>
  <si>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</si>
  <si>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</si>
  <si>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</si>
  <si>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</si>
  <si>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</si>
  <si>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</si>
  <si>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</si>
  <si>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</si>
  <si>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</si>
  <si>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</si>
  <si>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</si>
  <si>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</si>
  <si>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</si>
  <si>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</si>
  <si>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</si>
  <si>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</si>
  <si>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</si>
  <si>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</si>
  <si>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</si>
  <si>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</si>
  <si>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</si>
  <si>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</si>
  <si>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</si>
  <si>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</si>
  <si>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</si>
  <si>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</si>
  <si>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</si>
  <si>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</si>
  <si>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</si>
  <si>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</si>
  <si>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</si>
  <si>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</si>
  <si>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</si>
  <si>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</si>
  <si>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</si>
  <si>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</si>
  <si>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</si>
  <si>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</si>
  <si>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</si>
  <si>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</si>
  <si>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</si>
  <si>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</si>
  <si>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</si>
  <si>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</si>
  <si>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</si>
  <si>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</si>
  <si>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</si>
  <si>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</si>
  <si>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</si>
  <si>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</si>
  <si>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</si>
  <si>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</si>
  <si>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</si>
  <si>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</si>
  <si>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</si>
  <si>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</si>
  <si>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</si>
  <si>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</si>
  <si>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</si>
  <si>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</si>
  <si>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</si>
  <si>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</si>
  <si>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</si>
  <si>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</si>
  <si>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</si>
  <si>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</si>
  <si>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</si>
  <si>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</si>
  <si>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</si>
  <si>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</si>
  <si>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</si>
  <si>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</si>
  <si>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</si>
  <si>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</si>
  <si>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</si>
  <si>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</si>
  <si>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</si>
  <si>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</si>
  <si>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</si>
  <si>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</si>
  <si>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</si>
  <si>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</si>
  <si>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</si>
  <si>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</si>
  <si>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</si>
  <si>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</si>
  <si>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</si>
  <si>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</si>
  <si>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</si>
  <si>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</si>
  <si>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</si>
  <si>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</si>
  <si>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</si>
  <si>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</si>
  <si>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</si>
  <si>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</si>
  <si>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</si>
  <si>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</si>
  <si>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</si>
  <si>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</si>
  <si>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</si>
  <si>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</si>
  <si>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</si>
  <si>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</si>
  <si>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</si>
  <si>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</si>
  <si>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</si>
  <si>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</si>
  <si>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</si>
  <si>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</si>
  <si>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</si>
  <si>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</si>
  <si>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</si>
  <si>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</si>
  <si>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</si>
  <si>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</si>
  <si>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</si>
  <si>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</si>
  <si>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</si>
  <si>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</si>
  <si>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</si>
  <si>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</si>
  <si>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</si>
  <si>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</si>
  <si>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</si>
  <si>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</si>
  <si>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</si>
  <si>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</si>
  <si>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</si>
  <si>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</si>
  <si>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</si>
  <si>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</si>
  <si>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</si>
  <si>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</si>
  <si>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</si>
  <si>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</si>
  <si>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</si>
  <si>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</si>
  <si>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</si>
  <si>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</si>
  <si>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</si>
  <si>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</si>
  <si>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</si>
  <si>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</si>
  <si>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</si>
  <si>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</si>
  <si>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</si>
  <si>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</si>
  <si>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</si>
  <si>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</si>
  <si>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</si>
  <si>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</si>
  <si>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</si>
  <si>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</si>
  <si>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</si>
  <si>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</si>
  <si>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</si>
  <si>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</si>
  <si>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</si>
  <si>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</si>
  <si>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</si>
  <si>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</si>
  <si>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</si>
  <si>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</si>
  <si>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</si>
  <si>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</si>
  <si>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</si>
  <si>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</si>
  <si>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</si>
  <si>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</si>
  <si>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</si>
  <si>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</si>
  <si>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</si>
  <si>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</si>
  <si>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</si>
  <si>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</si>
  <si>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</si>
  <si>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</si>
  <si>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</si>
  <si>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</si>
  <si>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</si>
  <si>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</si>
  <si>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</si>
  <si>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</si>
  <si>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</si>
  <si>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</si>
  <si>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</si>
  <si>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</si>
  <si>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</si>
  <si>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</si>
  <si>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</si>
  <si>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</si>
  <si>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</si>
  <si>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</si>
  <si>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</si>
  <si>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</si>
  <si>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</si>
  <si>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</si>
  <si>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</si>
  <si>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</si>
  <si>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</si>
  <si>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</si>
  <si>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</si>
  <si>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</si>
  <si>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</si>
  <si>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</si>
  <si>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</si>
  <si>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</si>
  <si>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</si>
  <si>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</si>
  <si>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</si>
  <si>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</si>
  <si>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</si>
  <si>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</si>
  <si>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</si>
  <si>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</si>
  <si>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</si>
  <si>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</si>
  <si>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</si>
  <si>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</si>
  <si>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</si>
  <si>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</si>
  <si>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</si>
  <si>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</si>
  <si>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</si>
  <si>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</si>
  <si>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</si>
  <si>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</si>
  <si>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</si>
  <si>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</si>
  <si>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</si>
  <si>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</si>
  <si>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</si>
  <si>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</si>
  <si>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</si>
  <si>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</si>
  <si>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</si>
  <si>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</si>
  <si>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</si>
  <si>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</si>
  <si>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</si>
  <si>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</si>
  <si>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</si>
  <si>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</si>
  <si>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</si>
  <si>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</si>
  <si>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</si>
  <si>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</si>
  <si>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</si>
  <si>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</si>
  <si>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</si>
  <si>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</si>
  <si>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</si>
  <si>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</si>
  <si>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</si>
  <si>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</si>
  <si>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</si>
  <si>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</si>
  <si>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</si>
  <si>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</si>
  <si>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</si>
  <si>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</si>
  <si>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</si>
  <si>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</si>
  <si>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</si>
  <si>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</si>
  <si>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</si>
  <si>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</si>
  <si>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</si>
  <si>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</si>
  <si>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</si>
  <si>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</si>
  <si>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</si>
  <si>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</si>
  <si>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</si>
  <si>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</si>
  <si>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</si>
  <si>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</si>
  <si>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</si>
  <si>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</si>
  <si>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</si>
  <si>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</si>
  <si>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</si>
  <si>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</si>
  <si>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</si>
  <si>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</si>
  <si>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</si>
  <si>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</si>
  <si>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</si>
  <si>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</si>
  <si>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</si>
  <si>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</si>
  <si>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</si>
  <si>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</si>
  <si>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</si>
  <si>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</si>
  <si>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</si>
  <si>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</si>
  <si>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</si>
  <si>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</si>
  <si>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</si>
  <si>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</si>
  <si>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</si>
  <si>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</si>
  <si>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</si>
  <si>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</si>
  <si>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</si>
  <si>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</si>
  <si>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</si>
  <si>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</si>
  <si>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</si>
  <si>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</si>
  <si>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</si>
  <si>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</si>
  <si>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</si>
  <si>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</si>
  <si>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</si>
  <si>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</si>
  <si>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</si>
  <si>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</si>
  <si>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</si>
  <si>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</si>
  <si>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</si>
  <si>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</si>
  <si>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</si>
  <si>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</si>
  <si>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</si>
  <si>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</si>
  <si>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</si>
  <si>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</si>
  <si>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</si>
  <si>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</si>
  <si>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</si>
  <si>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</si>
  <si>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</si>
  <si>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</si>
  <si>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</si>
  <si>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</si>
  <si>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</si>
  <si>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</si>
  <si>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</si>
  <si>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</si>
  <si>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</si>
  <si>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</si>
  <si>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</si>
  <si>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</si>
  <si>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</si>
  <si>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</si>
  <si>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</si>
  <si>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</si>
  <si>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</si>
  <si>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</si>
  <si>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</si>
  <si>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</si>
  <si>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</si>
  <si>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</si>
  <si>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</si>
  <si>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</si>
  <si>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</si>
  <si>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</si>
  <si>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</si>
  <si>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</si>
  <si>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</si>
  <si>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</si>
  <si>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</si>
  <si>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</si>
  <si>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</si>
  <si>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</si>
  <si>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</si>
  <si>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</si>
  <si>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</si>
  <si>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</si>
  <si>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</si>
  <si>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</si>
  <si>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</si>
  <si>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</si>
  <si>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</si>
  <si>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</si>
  <si>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</si>
  <si>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</si>
  <si>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</si>
  <si>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</si>
  <si>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</si>
  <si>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</si>
  <si>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</si>
  <si>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</si>
  <si>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</si>
  <si>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</si>
  <si>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</si>
  <si>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</si>
  <si>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</si>
  <si>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</si>
  <si>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</si>
  <si>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</si>
  <si>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</si>
  <si>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</si>
  <si>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</si>
  <si>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</si>
  <si>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</si>
  <si>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</si>
  <si>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</si>
  <si>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</si>
  <si>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</si>
  <si>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</si>
  <si>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</si>
  <si>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</si>
  <si>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</si>
  <si>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</si>
  <si>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</si>
  <si>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</si>
  <si>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</si>
  <si>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</si>
  <si>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</si>
  <si>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</si>
  <si>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</si>
  <si>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</si>
  <si>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</si>
  <si>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</si>
  <si>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</si>
  <si>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</si>
  <si>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</si>
  <si>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</si>
  <si>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</si>
  <si>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</si>
  <si>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</si>
  <si>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</si>
  <si>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</si>
  <si>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</si>
  <si>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</si>
  <si>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</si>
  <si>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</si>
  <si>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</si>
  <si>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</si>
  <si>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</si>
  <si>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</si>
  <si>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</si>
  <si>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</si>
  <si>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</si>
  <si>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</si>
  <si>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</si>
  <si>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</si>
  <si>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</si>
  <si>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</si>
  <si>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</si>
  <si>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</si>
  <si>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</si>
  <si>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</si>
  <si>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</si>
  <si>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</si>
  <si>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</si>
  <si>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</si>
  <si>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</si>
  <si>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</si>
  <si>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</si>
  <si>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</si>
  <si>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</si>
  <si>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</si>
  <si>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</si>
  <si>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</si>
  <si>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</si>
  <si>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</si>
  <si>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</si>
  <si>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</si>
  <si>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</si>
  <si>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</si>
  <si>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</si>
  <si>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</si>
  <si>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</si>
  <si>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</si>
  <si>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</si>
  <si>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</si>
  <si>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</si>
  <si>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</si>
  <si>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</si>
  <si>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</si>
  <si>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</si>
  <si>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</si>
  <si>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</si>
  <si>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</si>
  <si>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</si>
  <si>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</si>
  <si>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</si>
  <si>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</si>
  <si>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</si>
  <si>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</si>
  <si>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</si>
  <si>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</si>
  <si>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</si>
  <si>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</si>
  <si>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</si>
  <si>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</si>
  <si>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</si>
  <si>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</si>
  <si>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</si>
  <si>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</si>
  <si>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</si>
  <si>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</si>
  <si>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</si>
  <si>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</si>
  <si>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</si>
  <si>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</si>
  <si>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</si>
  <si>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</si>
  <si>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</si>
  <si>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</si>
  <si>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</si>
  <si>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</si>
  <si>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</si>
  <si>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</si>
  <si>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</si>
  <si>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</si>
  <si>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</si>
  <si>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</si>
  <si>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</si>
  <si>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</si>
  <si>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</si>
  <si>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</si>
  <si>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</si>
  <si>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</si>
  <si>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</si>
  <si>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</si>
  <si>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</si>
  <si>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</si>
  <si>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</si>
  <si>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</si>
  <si>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</si>
  <si>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</si>
  <si>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</si>
  <si>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</si>
  <si>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</si>
  <si>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</si>
  <si>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</si>
  <si>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</si>
  <si>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</si>
  <si>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</si>
  <si>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</si>
  <si>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</si>
  <si>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</si>
  <si>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</si>
  <si>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</si>
  <si>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</si>
  <si>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</si>
  <si>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</si>
  <si>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</si>
  <si>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</si>
  <si>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</si>
  <si>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</si>
  <si>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</si>
  <si>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</si>
  <si>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</si>
  <si>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</si>
  <si>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</si>
  <si>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</si>
  <si>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</si>
  <si>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</si>
  <si>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</si>
  <si>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</si>
  <si>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</si>
  <si>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</si>
  <si>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</si>
  <si>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</si>
  <si>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</si>
  <si>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</si>
  <si>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</si>
  <si>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</si>
  <si>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</si>
  <si>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</si>
  <si>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</si>
  <si>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</si>
  <si>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</si>
  <si>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</si>
  <si>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</si>
  <si>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</si>
  <si>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</si>
  <si>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</si>
  <si>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</si>
  <si>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</si>
  <si>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</si>
  <si>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</si>
  <si>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</si>
  <si>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</si>
  <si>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</si>
  <si>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</si>
  <si>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</si>
  <si>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</si>
  <si>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</si>
  <si>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</si>
  <si>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</si>
  <si>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</si>
  <si>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</si>
  <si>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</si>
  <si>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</si>
  <si>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</si>
  <si>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</si>
  <si>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</si>
  <si>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</si>
  <si>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</si>
  <si>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</si>
  <si>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</si>
  <si>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</si>
  <si>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</si>
  <si>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</si>
  <si>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</si>
  <si>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</si>
  <si>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</si>
  <si>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</si>
  <si>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</si>
  <si>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</si>
  <si>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</si>
  <si>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</si>
  <si>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 xml:space="preserve">CalHFA MIP </t>
  </si>
  <si>
    <t>TCAC</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</si>
  <si>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</si>
  <si>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</si>
  <si>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</si>
  <si>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</si>
  <si>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</si>
  <si>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</si>
  <si>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</si>
  <si>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</si>
  <si>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</si>
  <si>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</si>
  <si>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</si>
  <si>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</si>
  <si>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</si>
  <si>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</si>
  <si>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</si>
  <si>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</si>
  <si>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</si>
  <si>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</si>
  <si>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</si>
  <si>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</si>
  <si>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</si>
  <si>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</si>
  <si>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</si>
  <si>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</si>
  <si>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</si>
  <si>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</si>
  <si>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</si>
  <si>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</si>
  <si>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</si>
  <si>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</si>
  <si>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</si>
  <si>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</si>
  <si>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</si>
  <si>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</si>
  <si>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</si>
  <si>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</si>
  <si>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</si>
  <si>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</si>
  <si>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</si>
  <si>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</si>
  <si>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</si>
  <si>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</si>
  <si>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</si>
  <si>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</si>
  <si>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</si>
  <si>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</si>
  <si>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</si>
  <si>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</si>
  <si>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</si>
  <si>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</si>
  <si>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</si>
  <si>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</si>
  <si>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</si>
  <si>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</si>
  <si>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</si>
  <si>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</si>
  <si>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</si>
  <si>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</si>
  <si>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</si>
  <si>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</si>
  <si>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</si>
  <si>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</si>
  <si>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</si>
  <si>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</si>
  <si>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</si>
  <si>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</si>
  <si>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</si>
  <si>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</si>
  <si>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</si>
  <si>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</si>
  <si>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</si>
  <si>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</si>
  <si>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</si>
  <si>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</si>
  <si>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</si>
  <si>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</si>
  <si>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</si>
  <si>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</si>
  <si>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</si>
  <si>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</si>
  <si>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</si>
  <si>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</si>
  <si>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</si>
  <si>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</si>
  <si>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</si>
  <si>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</si>
  <si>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</si>
  <si>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</si>
  <si>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</si>
  <si>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</si>
  <si>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</si>
  <si>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</si>
  <si>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</si>
  <si>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</si>
  <si>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</si>
  <si>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</si>
  <si>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</si>
  <si>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</si>
  <si>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</si>
  <si>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</si>
  <si>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</si>
  <si>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</si>
  <si>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</si>
  <si>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</si>
  <si>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</si>
  <si>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</si>
  <si>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</si>
  <si>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</si>
  <si>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</si>
  <si>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</si>
  <si>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</si>
  <si>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</si>
  <si>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</si>
  <si>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</si>
  <si>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</si>
  <si>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</si>
  <si>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</si>
  <si>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</si>
  <si>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</si>
  <si>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</si>
  <si>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</si>
  <si>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</si>
  <si>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</si>
  <si>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</si>
  <si>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</si>
  <si>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</si>
  <si>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</si>
  <si>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</si>
  <si>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</si>
  <si>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</si>
  <si>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</si>
  <si>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</si>
  <si>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</si>
  <si>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</si>
  <si>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</si>
  <si>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</si>
  <si>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</si>
  <si>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</si>
  <si>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</si>
  <si>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</si>
  <si>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</si>
  <si>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</si>
  <si>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</si>
  <si>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</si>
  <si>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</si>
  <si>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</si>
  <si>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</si>
  <si>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</si>
  <si>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</si>
  <si>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</si>
  <si>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</si>
  <si>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</si>
  <si>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</si>
  <si>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</si>
  <si>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</si>
  <si>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</si>
  <si>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</si>
  <si>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</si>
  <si>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</si>
  <si>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</si>
  <si>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</si>
  <si>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</si>
  <si>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</si>
  <si>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</si>
  <si>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</si>
  <si>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</si>
  <si>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</si>
  <si>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</si>
  <si>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</si>
  <si>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</si>
  <si>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</si>
  <si>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</si>
  <si>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</si>
  <si>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</si>
  <si>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</si>
  <si>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</si>
  <si>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</si>
  <si>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</si>
  <si>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</si>
  <si>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</si>
  <si>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</si>
  <si>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</si>
  <si>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</si>
  <si>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</si>
  <si>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</si>
  <si>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</si>
  <si>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</si>
  <si>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</si>
  <si>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</si>
  <si>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</si>
  <si>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</si>
  <si>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</si>
  <si>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</si>
  <si>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</si>
  <si>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</si>
  <si>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</si>
  <si>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</si>
  <si>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</si>
  <si>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</si>
  <si>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</si>
  <si>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</si>
  <si>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</si>
  <si>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</si>
  <si>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</si>
  <si>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</si>
  <si>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</si>
  <si>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</si>
  <si>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</si>
  <si>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</si>
  <si>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</si>
  <si>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</si>
  <si>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</si>
  <si>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</si>
  <si>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</si>
  <si>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</si>
  <si>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</si>
  <si>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</si>
  <si>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</si>
  <si>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</si>
  <si>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</si>
  <si>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</si>
  <si>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</si>
  <si>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</si>
  <si>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</si>
  <si>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</si>
  <si>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</si>
  <si>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</si>
  <si>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</si>
  <si>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</si>
  <si>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</si>
  <si>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</si>
  <si>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</si>
  <si>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</si>
  <si>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</si>
  <si>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</si>
  <si>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</si>
  <si>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</si>
  <si>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</si>
  <si>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</si>
  <si>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</si>
  <si>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</si>
  <si>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</si>
  <si>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</si>
  <si>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</si>
  <si>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</si>
  <si>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</si>
  <si>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</si>
  <si>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</si>
  <si>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</si>
  <si>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</si>
  <si>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</si>
  <si>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</si>
  <si>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</si>
  <si>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</si>
  <si>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</si>
  <si>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</si>
  <si>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</si>
  <si>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</si>
  <si>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</si>
  <si>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</si>
  <si>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</si>
  <si>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</si>
  <si>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</si>
  <si>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</si>
  <si>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</si>
  <si>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</si>
  <si>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</si>
  <si>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</si>
  <si>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</si>
  <si>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</si>
  <si>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</si>
  <si>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</si>
  <si>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</si>
  <si>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</si>
  <si>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</si>
  <si>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</si>
  <si>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</si>
  <si>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</si>
  <si>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</si>
  <si>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</si>
  <si>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</si>
  <si>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</si>
  <si>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</si>
  <si>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</si>
  <si>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</si>
  <si>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</si>
  <si>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</si>
  <si>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</si>
  <si>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</si>
  <si>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</si>
  <si>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</si>
  <si>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</si>
  <si>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</si>
  <si>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</si>
  <si>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</si>
  <si>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</si>
  <si>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</si>
  <si>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</si>
  <si>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</si>
  <si>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</si>
  <si>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</si>
  <si>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</si>
  <si>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</si>
  <si>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</si>
  <si>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</si>
  <si>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</si>
  <si>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</si>
  <si>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</si>
  <si>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</si>
  <si>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</si>
  <si>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</si>
  <si>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</si>
  <si>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</si>
  <si>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</si>
  <si>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</si>
  <si>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</si>
  <si>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</si>
  <si>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</si>
  <si>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</si>
  <si>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</si>
  <si>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</si>
  <si>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</si>
  <si>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</si>
  <si>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</si>
  <si>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</si>
  <si>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</si>
  <si>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</si>
  <si>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</si>
  <si>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</si>
  <si>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</si>
  <si>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</si>
  <si>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</si>
  <si>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</si>
  <si>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</si>
  <si>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</si>
  <si>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</si>
  <si>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</si>
  <si>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</si>
  <si>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</si>
  <si>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</si>
  <si>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</si>
  <si>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</si>
  <si>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</si>
  <si>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</si>
  <si>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</si>
  <si>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</si>
  <si>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</si>
  <si>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</si>
  <si>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</si>
  <si>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</si>
  <si>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</si>
  <si>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</si>
  <si>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</si>
  <si>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</si>
  <si>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</si>
  <si>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</si>
  <si>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</si>
  <si>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</si>
  <si>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</si>
  <si>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</si>
  <si>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</si>
  <si>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</si>
  <si>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</si>
  <si>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</si>
  <si>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</si>
  <si>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</si>
  <si>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</si>
  <si>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</si>
  <si>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</si>
  <si>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</si>
  <si>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</si>
  <si>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</si>
  <si>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</si>
  <si>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</si>
  <si>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</si>
  <si>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</si>
  <si>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</si>
  <si>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</si>
  <si>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</si>
  <si>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</si>
  <si>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</si>
  <si>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</si>
  <si>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</si>
  <si>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</si>
  <si>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</si>
  <si>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</si>
  <si>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</si>
  <si>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</si>
  <si>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</si>
  <si>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</si>
  <si>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</si>
  <si>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</si>
  <si>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</si>
  <si>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</si>
  <si>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</si>
  <si>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</si>
  <si>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</si>
  <si>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</si>
  <si>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</si>
  <si>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</si>
  <si>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</si>
  <si>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</si>
  <si>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</si>
  <si>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</si>
  <si>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</si>
  <si>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</si>
  <si>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</si>
  <si>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</si>
  <si>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</si>
  <si>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</si>
  <si>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</si>
  <si>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</si>
  <si>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</si>
  <si>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</si>
  <si>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</si>
  <si>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</si>
  <si>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</si>
  <si>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</si>
  <si>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</si>
  <si>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</si>
  <si>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</si>
  <si>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</si>
  <si>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</si>
  <si>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</si>
  <si>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</si>
  <si>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</si>
  <si>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</si>
  <si>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</si>
  <si>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</si>
  <si>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</si>
  <si>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</si>
  <si>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</si>
  <si>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</si>
  <si>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</si>
  <si>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</si>
  <si>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</si>
  <si>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</si>
  <si>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</si>
  <si>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</si>
  <si>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</si>
  <si>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</si>
  <si>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</si>
  <si>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</si>
  <si>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</si>
  <si>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</si>
  <si>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</si>
  <si>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</si>
  <si>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</si>
  <si>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</si>
  <si>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</si>
  <si>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</si>
  <si>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</si>
  <si>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</si>
  <si>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</si>
  <si>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</si>
  <si>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Not Applicable</t>
  </si>
  <si>
    <t xml:space="preserve">Mercy Housing California </t>
  </si>
  <si>
    <t xml:space="preserve">4995 Stockton Boulevard </t>
  </si>
  <si>
    <t xml:space="preserve">Sacramento </t>
  </si>
  <si>
    <t xml:space="preserve">Howard Chan </t>
  </si>
  <si>
    <t>916-808-7488</t>
  </si>
  <si>
    <t xml:space="preserve">hchan@cityof sacramento.org </t>
  </si>
  <si>
    <t>CDLAC-TCAC Joint Application (submitting concurrently)</t>
  </si>
  <si>
    <t>4995 Stockton Boulevard</t>
  </si>
  <si>
    <t>023-0026-026</t>
  </si>
  <si>
    <t>Low Resource</t>
  </si>
  <si>
    <t>$500M</t>
  </si>
  <si>
    <t>40%/60% Average Income</t>
  </si>
  <si>
    <t xml:space="preserve">2512 River Plaza Drive, Suite 200 </t>
  </si>
  <si>
    <t xml:space="preserve">CA </t>
  </si>
  <si>
    <t xml:space="preserve">Stephan Daues </t>
  </si>
  <si>
    <t>916-414-4440</t>
  </si>
  <si>
    <t>sdaues@mercyhousing.org</t>
  </si>
  <si>
    <t xml:space="preserve">Mercy Housing, Inc. </t>
  </si>
  <si>
    <t>CA</t>
  </si>
  <si>
    <t>Developer/GP</t>
  </si>
  <si>
    <t xml:space="preserve">2512 River Plaza Drive </t>
  </si>
  <si>
    <t>Sacramento, CA 95833</t>
  </si>
  <si>
    <t xml:space="preserve">sdaues@mercyhousing.org </t>
  </si>
  <si>
    <t xml:space="preserve">Mogavero Architects </t>
  </si>
  <si>
    <t xml:space="preserve">1331 T Street </t>
  </si>
  <si>
    <t>Sacramento, CA 95811</t>
  </si>
  <si>
    <t xml:space="preserve">Craig Stradley </t>
  </si>
  <si>
    <t>916-443-1033</t>
  </si>
  <si>
    <t xml:space="preserve">mogaveroarchitects.com </t>
  </si>
  <si>
    <t>TBD</t>
  </si>
  <si>
    <t>Law Offices of Gubb and Barshay</t>
  </si>
  <si>
    <t xml:space="preserve">505 14th Street, Suite 1050 </t>
  </si>
  <si>
    <t xml:space="preserve">Oakland, CA 94612 </t>
  </si>
  <si>
    <t xml:space="preserve">Nicole Kline </t>
  </si>
  <si>
    <t>415-781-6600</t>
  </si>
  <si>
    <t>415-781-6967</t>
  </si>
  <si>
    <t xml:space="preserve">nkline@gubbandbarshay.com </t>
  </si>
  <si>
    <t>Charlotte, North Carolina 28202</t>
  </si>
  <si>
    <t xml:space="preserve">Nic Mathias </t>
  </si>
  <si>
    <t>704-900-2013</t>
  </si>
  <si>
    <t>704-900-2014</t>
  </si>
  <si>
    <t>Nic.mathias@cohnreznick.com</t>
  </si>
  <si>
    <t>Cohn Reznick</t>
  </si>
  <si>
    <t>505 14th Street, Suite 1050</t>
  </si>
  <si>
    <t>Oakland, CA 94612</t>
  </si>
  <si>
    <t xml:space="preserve">California Housing Partnership </t>
  </si>
  <si>
    <t>369 Pine Street, Ste. 300</t>
  </si>
  <si>
    <t>525 North Tyron Street, Ste. 1000</t>
  </si>
  <si>
    <t>San Francisco, CA 94104</t>
  </si>
  <si>
    <t xml:space="preserve">Laura Kobler </t>
  </si>
  <si>
    <t>916-683-1180</t>
  </si>
  <si>
    <t xml:space="preserve">lkobler@chpc.net </t>
  </si>
  <si>
    <t xml:space="preserve">BBG - Sacramento Office </t>
  </si>
  <si>
    <t xml:space="preserve">1708 Q Street </t>
  </si>
  <si>
    <t xml:space="preserve">Scott Beebe </t>
  </si>
  <si>
    <t>916-949-7376</t>
  </si>
  <si>
    <t xml:space="preserve">N/A </t>
  </si>
  <si>
    <t xml:space="preserve">sbeebe@bbgres.com </t>
  </si>
  <si>
    <t xml:space="preserve">The Concord Group </t>
  </si>
  <si>
    <t>251 Kerny Street, 6th Floor</t>
  </si>
  <si>
    <t>San Francisco, CA 94108</t>
  </si>
  <si>
    <t xml:space="preserve">Michael D. Reynolds </t>
  </si>
  <si>
    <t>415-397-5490</t>
  </si>
  <si>
    <t>Mercy Housing Management Group</t>
  </si>
  <si>
    <t>2512 River Plaza Drive, Suite 200</t>
  </si>
  <si>
    <t xml:space="preserve">Sacramento, CA 95833 </t>
  </si>
  <si>
    <t>Michael Liebe</t>
  </si>
  <si>
    <t>916-414-4442</t>
  </si>
  <si>
    <t>916-414-4490</t>
  </si>
  <si>
    <t xml:space="preserve">mliebe@mercyhousing.org </t>
  </si>
  <si>
    <t xml:space="preserve">Above </t>
  </si>
  <si>
    <t xml:space="preserve">Trustees </t>
  </si>
  <si>
    <t>712 Bell Russel Way, Sacramento, CA 95831</t>
  </si>
  <si>
    <t>The Jeffrey Dean Ota and Julie K. Ota Living Trust dated January 7, 2004 and Norma W. On, as Trustee of the John L. On and Norma W. On Revocable Trust established August 2, 1991</t>
  </si>
  <si>
    <t xml:space="preserve">Jeffrey D. Ota, Julie K. Ota, Norma W. On </t>
  </si>
  <si>
    <t>(916) 798-5798</t>
  </si>
  <si>
    <t>Inner City Infill Site</t>
  </si>
  <si>
    <t>Project includes 1 4 story Boulevard building, 9 3-story walk-up buildings, and 13 Triplex Townhomes buildings</t>
  </si>
  <si>
    <t xml:space="preserve">Auditory Accessible </t>
  </si>
  <si>
    <t>C-2</t>
  </si>
  <si>
    <t xml:space="preserve">No </t>
  </si>
  <si>
    <t xml:space="preserve">.5 spaces per DU </t>
  </si>
  <si>
    <t xml:space="preserve">Local - SHRA </t>
  </si>
  <si>
    <t xml:space="preserve">Local City ATF </t>
  </si>
  <si>
    <t>Variable</t>
  </si>
  <si>
    <t>Interest Only</t>
  </si>
  <si>
    <t>Fixed</t>
  </si>
  <si>
    <t>Defered Developer Fee</t>
  </si>
  <si>
    <t xml:space="preserve">Accrued/Deferred Interest </t>
  </si>
  <si>
    <t xml:space="preserve">LP Equity </t>
  </si>
  <si>
    <t xml:space="preserve">Costs Deferred til Perm Conversion </t>
  </si>
  <si>
    <t xml:space="preserve">Construction </t>
  </si>
  <si>
    <t xml:space="preserve">801 12th Street </t>
  </si>
  <si>
    <t xml:space="preserve">Christine Weichert </t>
  </si>
  <si>
    <t>916-440-1353</t>
  </si>
  <si>
    <t xml:space="preserve">Soft </t>
  </si>
  <si>
    <t xml:space="preserve">915 I Street, 4th Floor </t>
  </si>
  <si>
    <t xml:space="preserve">Danielle Foster </t>
  </si>
  <si>
    <t>916-808-1869</t>
  </si>
  <si>
    <t>916-414-4404</t>
  </si>
  <si>
    <t>Infrastructure Fee</t>
  </si>
  <si>
    <t xml:space="preserve">Sacramento Housing and Redevelopment Agency </t>
  </si>
  <si>
    <t>Misc. Admin</t>
  </si>
  <si>
    <t>Fire Protection/Misc.</t>
  </si>
  <si>
    <t>Provided</t>
  </si>
  <si>
    <t>The sponsor has previously developed affordable housing within the community in which the QRRP will be located in the past 20 years</t>
  </si>
  <si>
    <t>Mercy Housing Calwest</t>
  </si>
  <si>
    <t xml:space="preserve">Wells Fargo Tax-Exempt Construction Loan </t>
  </si>
  <si>
    <t xml:space="preserve">Wells Fargo Taxable Construction Loan </t>
  </si>
  <si>
    <t>SHRA - Housing Trust Fund + MIHF</t>
  </si>
  <si>
    <t xml:space="preserve">CCRC Tax Exempt Perm Loan </t>
  </si>
  <si>
    <t>Payroll Taxes, Benefits</t>
  </si>
  <si>
    <t>Accrued/Deferred Interest</t>
  </si>
  <si>
    <t>Perm Legal/Exp - Lender/Borrower</t>
  </si>
  <si>
    <t>Construction Legal - Borrower</t>
  </si>
  <si>
    <t>3rd Party Construction Supervision</t>
  </si>
  <si>
    <t>Potential GP PMF</t>
  </si>
  <si>
    <t>Borrower Distribution</t>
  </si>
  <si>
    <t>Mercy Housing California</t>
  </si>
  <si>
    <t>Managing GP</t>
  </si>
  <si>
    <t>1256 Market Street</t>
  </si>
  <si>
    <t>Stephan Daues</t>
  </si>
  <si>
    <t>916 414 4440</t>
  </si>
  <si>
    <t>NA</t>
  </si>
  <si>
    <t>Redwood Energy</t>
  </si>
  <si>
    <t>1887 Q Street</t>
  </si>
  <si>
    <t>Arcata, CA 95521</t>
  </si>
  <si>
    <t>Sean Armstrong</t>
  </si>
  <si>
    <t>707 826 1450</t>
  </si>
  <si>
    <t>seanarmstrongpm@gmail.com</t>
  </si>
  <si>
    <t>California Municipal Finance Authority</t>
  </si>
  <si>
    <t>2111 Palomar Airport Rd, Suite 320</t>
  </si>
  <si>
    <t>Carlsbad, CA 92011</t>
  </si>
  <si>
    <t>Anthony Stubbs</t>
  </si>
  <si>
    <t>760 930 1221</t>
  </si>
  <si>
    <t>760 683 3390</t>
  </si>
  <si>
    <t>infor@cmfa-ca.com</t>
  </si>
  <si>
    <t>333 Market Street 17th Floor</t>
  </si>
  <si>
    <t>415 801 8521</t>
  </si>
  <si>
    <t>LIBOR</t>
  </si>
  <si>
    <t>100 West Broadway, Suite 1000</t>
  </si>
  <si>
    <t>Glendale</t>
  </si>
  <si>
    <t>Mark Niles</t>
  </si>
  <si>
    <t>818 550 9800</t>
  </si>
  <si>
    <t>Cash from Operations</t>
  </si>
  <si>
    <t>Training, IT Equipment, Travel Transport</t>
  </si>
  <si>
    <t xml:space="preserve">Supplies, Curriculum, </t>
  </si>
  <si>
    <t>1 FTE</t>
  </si>
  <si>
    <t>Cashe From Operation</t>
  </si>
  <si>
    <t>Cash From Operation</t>
  </si>
  <si>
    <t>Tax exempt perm</t>
  </si>
  <si>
    <t>915 I St</t>
  </si>
  <si>
    <t>60 ft</t>
  </si>
  <si>
    <t xml:space="preserve">Mercy Housing Calwest as Sole Member / Manager of To be Formed LLC </t>
  </si>
  <si>
    <t>20th</t>
  </si>
  <si>
    <t>May</t>
  </si>
  <si>
    <t>Vice President</t>
  </si>
  <si>
    <t xml:space="preserve">WebID </t>
  </si>
  <si>
    <t xml:space="preserve">SHRA/City of Sacramento Loan </t>
  </si>
  <si>
    <t>Lori Saito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</si>
</sst>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3" fontId="10" fillId="0" borderId="6" xfId="0" applyNumberFormat="1" applyFont="1" applyFill="1" applyBorder="1"/>
    <xf numFmtId="10" fontId="10" fillId="0" borderId="0" xfId="0" applyNumberFormat="1" applyFont="1" applyFill="1" applyAlignment="1">
      <alignment horizontal="center"/>
    </xf>
    <xf numFmtId="168" fontId="10" fillId="0" borderId="0" xfId="0" applyNumberFormat="1" applyFont="1" applyFill="1" applyAlignment="1">
      <alignment horizontal="center"/>
    </xf>
    <xf numFmtId="9" fontId="10" fillId="0" borderId="0" xfId="4495" applyFont="1" applyFill="1" applyAlignment="1">
      <alignment horizontal="center"/>
    </xf>
    <xf numFmtId="3" fontId="99" fillId="0" borderId="0" xfId="0" applyNumberFormat="1" applyFont="1" applyFill="1"/>
    <xf numFmtId="3" fontId="19" fillId="0" borderId="0" xfId="0" applyNumberFormat="1" applyFont="1" applyFill="1"/>
    <xf numFmtId="3" fontId="19" fillId="0" borderId="0" xfId="0" applyNumberFormat="1" applyFont="1" applyFill="1" applyAlignment="1">
      <alignment horizontal="center"/>
    </xf>
    <xf numFmtId="3" fontId="19" fillId="0" borderId="0" xfId="0" applyNumberFormat="1" applyFont="1" applyFill="1" applyAlignment="1">
      <alignment vertical="top" wrapText="1"/>
    </xf>
    <xf numFmtId="3" fontId="19" fillId="0" borderId="0" xfId="0" applyNumberFormat="1" applyFont="1" applyFill="1" applyAlignment="1">
      <alignment vertical="top"/>
    </xf>
    <xf numFmtId="181" fontId="10" fillId="0" borderId="0" xfId="4506" applyNumberFormat="1" applyFont="1" applyFill="1"/>
    <xf numFmtId="181" fontId="112" fillId="0" borderId="0" xfId="4506" applyNumberFormat="1" applyFont="1" applyFill="1" applyAlignment="1">
      <alignment horizontal="center"/>
    </xf>
    <xf numFmtId="181" fontId="10" fillId="0" borderId="0" xfId="4506" applyNumberFormat="1" applyFont="1" applyFill="1" applyBorder="1" applyAlignment="1">
      <alignment horizontal="center"/>
    </xf>
    <xf numFmtId="43" fontId="10" fillId="0" borderId="11" xfId="4506" applyNumberFormat="1" applyFont="1" applyFill="1" applyBorder="1" applyAlignment="1">
      <alignment horizontal="center"/>
    </xf>
    <xf numFmtId="10" fontId="10" fillId="0" borderId="11" xfId="4495" applyNumberFormat="1" applyFont="1" applyFill="1" applyBorder="1" applyAlignment="1">
      <alignment horizontal="center"/>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5" borderId="6" xfId="0"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5" borderId="3" xfId="0" applyNumberFormat="1" applyFont="1" applyFill="1" applyBorder="1" applyAlignment="1" applyProtection="1">
      <alignment horizontal="right" vertical="top"/>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1" fontId="10" fillId="5" borderId="4" xfId="0" applyNumberFormat="1" applyFont="1" applyFill="1" applyBorder="1" applyAlignment="1" applyProtection="1">
      <alignment horizontal="center"/>
      <protection locked="0"/>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71" fontId="10"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8" fillId="5" borderId="3" xfId="0" applyFont="1" applyFill="1" applyBorder="1" applyAlignment="1" applyProtection="1">
      <alignment horizontal="left"/>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23">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138844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263" zoomScaleNormal="100" zoomScaleSheetLayoutView="100" workbookViewId="0">
      <selection sqref="A1:AL2"/>
    </sheetView>
  </sheetViews>
  <sheetFormatPr defaultColWidth="0" defaultRowHeight="13.2" zeroHeight="1"/>
  <cols>
    <col min="1" max="5" width="2.44140625" customWidth="1"/>
    <col min="6" max="6" width="3" customWidth="1"/>
    <col min="7" max="36" width="2.44140625" customWidth="1"/>
    <col min="37" max="38" width="2.77734375" customWidth="1"/>
    <col min="39" max="16384" width="2.44140625" hidden="1"/>
  </cols>
  <sheetData>
    <row r="1" spans="1:38">
      <c r="A1" s="1868" t="s">
        <v>583</v>
      </c>
      <c r="B1" s="1868"/>
      <c r="C1" s="1868"/>
      <c r="D1" s="1868"/>
      <c r="E1" s="1868"/>
      <c r="F1" s="1868"/>
      <c r="G1" s="1868"/>
      <c r="H1" s="1868"/>
      <c r="I1" s="1868"/>
      <c r="J1" s="1868"/>
      <c r="K1" s="1868"/>
      <c r="L1" s="1868"/>
      <c r="M1" s="1868"/>
      <c r="N1" s="1868"/>
      <c r="O1" s="1868"/>
      <c r="P1" s="1868"/>
      <c r="Q1" s="1868"/>
      <c r="R1" s="1868"/>
      <c r="S1" s="1868"/>
      <c r="T1" s="1868"/>
      <c r="U1" s="1868"/>
      <c r="V1" s="1868"/>
      <c r="W1" s="1868"/>
      <c r="X1" s="1868"/>
      <c r="Y1" s="1868"/>
      <c r="Z1" s="1868"/>
      <c r="AA1" s="1868"/>
      <c r="AB1" s="1868"/>
      <c r="AC1" s="1868"/>
      <c r="AD1" s="1868"/>
      <c r="AE1" s="1868"/>
      <c r="AF1" s="1868"/>
      <c r="AG1" s="1868"/>
      <c r="AH1" s="1868"/>
      <c r="AI1" s="1868"/>
      <c r="AJ1" s="1868"/>
      <c r="AK1" s="1868"/>
      <c r="AL1" s="1868"/>
    </row>
    <row r="2" spans="1:38" ht="13.8" thickBot="1">
      <c r="A2" s="1869"/>
      <c r="B2" s="1869"/>
      <c r="C2" s="1869"/>
      <c r="D2" s="1869"/>
      <c r="E2" s="1869"/>
      <c r="F2" s="1869"/>
      <c r="G2" s="1869"/>
      <c r="H2" s="1869"/>
      <c r="I2" s="1869"/>
      <c r="J2" s="1869"/>
      <c r="K2" s="1869"/>
      <c r="L2" s="186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6"/>
      <c r="B7" s="324"/>
      <c r="C7" s="325"/>
      <c r="D7" s="1870" t="s">
        <v>1388</v>
      </c>
      <c r="E7" s="1870"/>
      <c r="F7" s="1870"/>
      <c r="G7" s="1870"/>
      <c r="H7" s="1870"/>
      <c r="I7" s="1870"/>
      <c r="J7" s="1870"/>
      <c r="K7" s="1870"/>
      <c r="L7" s="1870"/>
      <c r="M7" s="1870"/>
      <c r="N7" s="1870"/>
      <c r="O7" s="1870"/>
      <c r="P7" s="1870"/>
      <c r="Q7" s="1870"/>
      <c r="R7" s="1870"/>
      <c r="S7" s="1870"/>
      <c r="T7" s="1870"/>
      <c r="U7" s="1870"/>
      <c r="V7" s="1870"/>
      <c r="W7" s="1870"/>
      <c r="X7" s="1870"/>
      <c r="Y7" s="1870"/>
      <c r="Z7" s="1870"/>
      <c r="AA7" s="1870"/>
      <c r="AB7" s="1870"/>
      <c r="AC7" s="1870"/>
      <c r="AD7" s="1870"/>
      <c r="AE7" s="1870"/>
      <c r="AF7" s="1870"/>
      <c r="AG7" s="1870"/>
      <c r="AH7" s="1870"/>
      <c r="AI7" s="1870"/>
      <c r="AJ7" s="1870"/>
      <c r="AK7" s="1870"/>
      <c r="AL7" s="741"/>
    </row>
    <row r="8" spans="1:38">
      <c r="A8" s="326"/>
      <c r="B8" s="324"/>
      <c r="C8" s="325"/>
      <c r="D8" s="1870"/>
      <c r="E8" s="1870"/>
      <c r="F8" s="1870"/>
      <c r="G8" s="1870"/>
      <c r="H8" s="1870"/>
      <c r="I8" s="1870"/>
      <c r="J8" s="1870"/>
      <c r="K8" s="1870"/>
      <c r="L8" s="1870"/>
      <c r="M8" s="1870"/>
      <c r="N8" s="1870"/>
      <c r="O8" s="1870"/>
      <c r="P8" s="1870"/>
      <c r="Q8" s="1870"/>
      <c r="R8" s="1870"/>
      <c r="S8" s="1870"/>
      <c r="T8" s="1870"/>
      <c r="U8" s="1870"/>
      <c r="V8" s="1870"/>
      <c r="W8" s="1870"/>
      <c r="X8" s="1870"/>
      <c r="Y8" s="1870"/>
      <c r="Z8" s="1870"/>
      <c r="AA8" s="1870"/>
      <c r="AB8" s="1870"/>
      <c r="AC8" s="1870"/>
      <c r="AD8" s="1870"/>
      <c r="AE8" s="1870"/>
      <c r="AF8" s="1870"/>
      <c r="AG8" s="1870"/>
      <c r="AH8" s="1870"/>
      <c r="AI8" s="1870"/>
      <c r="AJ8" s="1870"/>
      <c r="AK8" s="1870"/>
      <c r="AL8" s="741"/>
    </row>
    <row r="9" spans="1:38">
      <c r="A9" s="326"/>
      <c r="B9" s="324"/>
      <c r="C9" s="325"/>
      <c r="D9" s="1870"/>
      <c r="E9" s="1870"/>
      <c r="F9" s="1870"/>
      <c r="G9" s="1870"/>
      <c r="H9" s="1870"/>
      <c r="I9" s="1870"/>
      <c r="J9" s="1870"/>
      <c r="K9" s="1870"/>
      <c r="L9" s="1870"/>
      <c r="M9" s="1870"/>
      <c r="N9" s="1870"/>
      <c r="O9" s="1870"/>
      <c r="P9" s="1870"/>
      <c r="Q9" s="1870"/>
      <c r="R9" s="1870"/>
      <c r="S9" s="1870"/>
      <c r="T9" s="1870"/>
      <c r="U9" s="1870"/>
      <c r="V9" s="1870"/>
      <c r="W9" s="1870"/>
      <c r="X9" s="1870"/>
      <c r="Y9" s="1870"/>
      <c r="Z9" s="1870"/>
      <c r="AA9" s="1870"/>
      <c r="AB9" s="1870"/>
      <c r="AC9" s="1870"/>
      <c r="AD9" s="1870"/>
      <c r="AE9" s="1870"/>
      <c r="AF9" s="1870"/>
      <c r="AG9" s="1870"/>
      <c r="AH9" s="1870"/>
      <c r="AI9" s="1870"/>
      <c r="AJ9" s="1870"/>
      <c r="AK9" s="1870"/>
      <c r="AL9" s="741"/>
    </row>
    <row r="10" spans="1:38">
      <c r="A10" s="326"/>
      <c r="B10" s="324"/>
      <c r="C10" s="325"/>
      <c r="D10" s="766"/>
      <c r="E10" s="766"/>
      <c r="F10" s="766"/>
      <c r="G10" s="766"/>
      <c r="H10" s="766"/>
      <c r="I10" s="766"/>
      <c r="J10" s="766"/>
      <c r="K10" s="766"/>
      <c r="L10" s="766"/>
      <c r="M10" s="766"/>
      <c r="N10" s="766"/>
      <c r="O10" s="766"/>
      <c r="P10" s="766"/>
      <c r="Q10" s="766"/>
      <c r="R10" s="766"/>
      <c r="S10" s="766"/>
      <c r="T10" s="766"/>
      <c r="U10" s="766"/>
      <c r="V10" s="766"/>
      <c r="W10" s="766"/>
      <c r="X10" s="766"/>
      <c r="Y10" s="766"/>
      <c r="Z10" s="766"/>
      <c r="AA10" s="766"/>
      <c r="AB10" s="766"/>
      <c r="AC10" s="766"/>
      <c r="AD10" s="766"/>
      <c r="AE10" s="766"/>
      <c r="AF10" s="766"/>
      <c r="AG10" s="766"/>
      <c r="AH10" s="766"/>
      <c r="AI10" s="766"/>
      <c r="AJ10" s="766"/>
      <c r="AK10" s="766"/>
      <c r="AL10" s="741"/>
    </row>
    <row r="11" spans="1:38" ht="13.05" customHeight="1">
      <c r="A11" s="326"/>
      <c r="B11" s="324"/>
      <c r="C11" s="325"/>
      <c r="D11" s="1870" t="s">
        <v>1392</v>
      </c>
      <c r="E11" s="1870"/>
      <c r="F11" s="1870"/>
      <c r="G11" s="1870"/>
      <c r="H11" s="1870"/>
      <c r="I11" s="1870"/>
      <c r="J11" s="1870"/>
      <c r="K11" s="1870"/>
      <c r="L11" s="1870"/>
      <c r="M11" s="1870"/>
      <c r="N11" s="1870"/>
      <c r="O11" s="1870"/>
      <c r="P11" s="1870"/>
      <c r="Q11" s="1870"/>
      <c r="R11" s="1870"/>
      <c r="S11" s="1870"/>
      <c r="T11" s="1870"/>
      <c r="U11" s="1870"/>
      <c r="V11" s="1870"/>
      <c r="W11" s="1870"/>
      <c r="X11" s="1870"/>
      <c r="Y11" s="1870"/>
      <c r="Z11" s="1870"/>
      <c r="AA11" s="1870"/>
      <c r="AB11" s="1870"/>
      <c r="AC11" s="1870"/>
      <c r="AD11" s="1870"/>
      <c r="AE11" s="1870"/>
      <c r="AF11" s="1870"/>
      <c r="AG11" s="1870"/>
      <c r="AH11" s="1870"/>
      <c r="AI11" s="1870"/>
      <c r="AJ11" s="1870"/>
      <c r="AK11" s="1870"/>
      <c r="AL11" s="741"/>
    </row>
    <row r="12" spans="1:38">
      <c r="A12" s="326"/>
      <c r="B12" s="324"/>
      <c r="C12" s="325"/>
      <c r="D12" s="1870"/>
      <c r="E12" s="1870"/>
      <c r="F12" s="1870"/>
      <c r="G12" s="1870"/>
      <c r="H12" s="1870"/>
      <c r="I12" s="1870"/>
      <c r="J12" s="1870"/>
      <c r="K12" s="1870"/>
      <c r="L12" s="1870"/>
      <c r="M12" s="1870"/>
      <c r="N12" s="1870"/>
      <c r="O12" s="1870"/>
      <c r="P12" s="1870"/>
      <c r="Q12" s="1870"/>
      <c r="R12" s="1870"/>
      <c r="S12" s="1870"/>
      <c r="T12" s="1870"/>
      <c r="U12" s="1870"/>
      <c r="V12" s="1870"/>
      <c r="W12" s="1870"/>
      <c r="X12" s="1870"/>
      <c r="Y12" s="1870"/>
      <c r="Z12" s="1870"/>
      <c r="AA12" s="1870"/>
      <c r="AB12" s="1870"/>
      <c r="AC12" s="1870"/>
      <c r="AD12" s="1870"/>
      <c r="AE12" s="1870"/>
      <c r="AF12" s="1870"/>
      <c r="AG12" s="1870"/>
      <c r="AH12" s="1870"/>
      <c r="AI12" s="1870"/>
      <c r="AJ12" s="1870"/>
      <c r="AK12" s="1870"/>
      <c r="AL12" s="741"/>
    </row>
    <row r="13" spans="1:38" s="712" customFormat="1">
      <c r="A13" s="326"/>
      <c r="B13" s="324"/>
      <c r="C13" s="325"/>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741"/>
    </row>
    <row r="14" spans="1:38" s="712" customFormat="1" ht="13.2" customHeight="1">
      <c r="A14" s="326"/>
      <c r="B14" s="324"/>
      <c r="C14" s="325"/>
      <c r="E14" s="1856" t="s">
        <v>2165</v>
      </c>
      <c r="F14" s="1856"/>
      <c r="G14" s="1856"/>
      <c r="H14" s="1856"/>
      <c r="I14" s="1856"/>
      <c r="J14" s="1856"/>
      <c r="K14" s="1856"/>
      <c r="L14" s="1856"/>
      <c r="M14" s="1856"/>
      <c r="N14" s="1856"/>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741"/>
    </row>
    <row r="15" spans="1:38" s="712" customFormat="1" ht="13.2" customHeight="1">
      <c r="A15" s="326"/>
      <c r="B15" s="324"/>
      <c r="C15" s="325"/>
      <c r="E15" s="1856"/>
      <c r="F15" s="1856"/>
      <c r="G15" s="1856"/>
      <c r="H15" s="1856"/>
      <c r="I15" s="1856"/>
      <c r="J15" s="1856"/>
      <c r="K15" s="1856"/>
      <c r="L15" s="1856"/>
      <c r="M15" s="1856"/>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741"/>
    </row>
    <row r="16" spans="1:38" s="712" customFormat="1">
      <c r="A16" s="326"/>
      <c r="B16" s="324"/>
      <c r="C16" s="325"/>
      <c r="D16" s="741"/>
      <c r="E16" s="1856"/>
      <c r="F16" s="1856"/>
      <c r="G16" s="1856"/>
      <c r="H16" s="1856"/>
      <c r="I16" s="1856"/>
      <c r="J16" s="1856"/>
      <c r="K16" s="1856"/>
      <c r="L16" s="1856"/>
      <c r="M16" s="1856"/>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741"/>
    </row>
    <row r="17" spans="1:38" s="712" customFormat="1">
      <c r="A17" s="326"/>
      <c r="B17" s="324"/>
      <c r="C17" s="325"/>
      <c r="D17" s="763"/>
      <c r="E17" s="763"/>
      <c r="F17" s="763"/>
      <c r="G17" s="763"/>
      <c r="H17" s="763"/>
      <c r="I17" s="763"/>
      <c r="J17" s="763"/>
      <c r="K17" s="763"/>
      <c r="L17" s="763"/>
      <c r="M17" s="763"/>
      <c r="N17" s="763"/>
      <c r="O17" s="763"/>
      <c r="P17" s="763"/>
      <c r="Q17" s="763"/>
      <c r="R17" s="763"/>
      <c r="S17" s="763"/>
      <c r="T17" s="763"/>
      <c r="U17" s="763"/>
      <c r="V17" s="763"/>
      <c r="W17" s="763"/>
      <c r="X17" s="763"/>
      <c r="Y17" s="763"/>
      <c r="Z17" s="763"/>
      <c r="AA17" s="763"/>
      <c r="AB17" s="763"/>
      <c r="AC17" s="763"/>
      <c r="AD17" s="763"/>
      <c r="AE17" s="763"/>
      <c r="AF17" s="763"/>
      <c r="AG17" s="763"/>
      <c r="AH17" s="763"/>
      <c r="AI17" s="763"/>
      <c r="AJ17" s="763"/>
      <c r="AK17" s="763"/>
      <c r="AL17" s="741"/>
    </row>
    <row r="18" spans="1:38" ht="13.2" customHeight="1">
      <c r="A18" s="326"/>
      <c r="B18" s="324"/>
      <c r="C18" s="325"/>
      <c r="D18" s="1856" t="s">
        <v>1520</v>
      </c>
      <c r="E18" s="1856"/>
      <c r="F18" s="1856"/>
      <c r="G18" s="1856"/>
      <c r="H18" s="1856"/>
      <c r="I18" s="1856"/>
      <c r="J18" s="1856"/>
      <c r="K18" s="1856"/>
      <c r="L18" s="1856"/>
      <c r="M18" s="1856"/>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324"/>
    </row>
    <row r="19" spans="1:38">
      <c r="A19" s="326"/>
      <c r="B19" s="324"/>
      <c r="C19" s="325"/>
      <c r="D19" s="1856"/>
      <c r="E19" s="1856"/>
      <c r="F19" s="1856"/>
      <c r="G19" s="1856"/>
      <c r="H19" s="1856"/>
      <c r="I19" s="1856"/>
      <c r="J19" s="1856"/>
      <c r="K19" s="1856"/>
      <c r="L19" s="1856"/>
      <c r="M19" s="1856"/>
      <c r="N19" s="1856"/>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324"/>
    </row>
    <row r="20" spans="1:38" s="712" customFormat="1">
      <c r="A20" s="326"/>
      <c r="B20" s="324"/>
      <c r="C20" s="325"/>
      <c r="D20" s="1856"/>
      <c r="E20" s="1856"/>
      <c r="F20" s="1856"/>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324"/>
    </row>
    <row r="21" spans="1:38" s="712" customFormat="1" ht="13.2" customHeight="1">
      <c r="A21" s="326"/>
      <c r="B21" s="324"/>
      <c r="C21" s="325"/>
      <c r="D21" s="1856"/>
      <c r="E21" s="1856"/>
      <c r="F21" s="1856"/>
      <c r="G21" s="1856"/>
      <c r="H21" s="1856"/>
      <c r="I21" s="1856"/>
      <c r="J21" s="1856"/>
      <c r="K21" s="1856"/>
      <c r="L21" s="1856"/>
      <c r="M21" s="1856"/>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324"/>
    </row>
    <row r="22" spans="1:38" s="712" customFormat="1">
      <c r="A22" s="326"/>
      <c r="B22" s="324"/>
      <c r="C22" s="325"/>
      <c r="D22" s="1856"/>
      <c r="E22" s="1856"/>
      <c r="F22" s="1856"/>
      <c r="G22" s="1856"/>
      <c r="H22" s="1856"/>
      <c r="I22" s="1856"/>
      <c r="J22" s="1856"/>
      <c r="K22" s="1856"/>
      <c r="L22" s="1856"/>
      <c r="M22" s="1856"/>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324"/>
    </row>
    <row r="23" spans="1:38" s="712" customFormat="1">
      <c r="A23" s="326"/>
      <c r="B23" s="324"/>
      <c r="C23" s="325"/>
      <c r="D23" s="1856"/>
      <c r="E23" s="1856"/>
      <c r="F23" s="1856"/>
      <c r="G23" s="1856"/>
      <c r="H23" s="1856"/>
      <c r="I23" s="1856"/>
      <c r="J23" s="1856"/>
      <c r="K23" s="1856"/>
      <c r="L23" s="1856"/>
      <c r="M23" s="1856"/>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324"/>
    </row>
    <row r="24" spans="1:38">
      <c r="A24" s="326"/>
      <c r="B24" s="324"/>
      <c r="C24" s="325"/>
      <c r="D24" s="1856"/>
      <c r="E24" s="1856"/>
      <c r="F24" s="1856"/>
      <c r="G24" s="1856"/>
      <c r="H24" s="1856"/>
      <c r="I24" s="1856"/>
      <c r="J24" s="1856"/>
      <c r="K24" s="1856"/>
      <c r="L24" s="1856"/>
      <c r="M24" s="1856"/>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324"/>
    </row>
    <row r="25" spans="1:38" s="712" customFormat="1">
      <c r="A25" s="326"/>
      <c r="B25" s="324"/>
      <c r="C25" s="325"/>
      <c r="D25" s="1856"/>
      <c r="E25" s="1856"/>
      <c r="F25" s="1856"/>
      <c r="G25" s="1856"/>
      <c r="H25" s="1856"/>
      <c r="I25" s="1856"/>
      <c r="J25" s="1856"/>
      <c r="K25" s="1856"/>
      <c r="L25" s="1856"/>
      <c r="M25" s="1856"/>
      <c r="N25" s="1856"/>
      <c r="O25" s="1856"/>
      <c r="P25" s="1856"/>
      <c r="Q25" s="1856"/>
      <c r="R25" s="1856"/>
      <c r="S25" s="1856"/>
      <c r="T25" s="1856"/>
      <c r="U25" s="1856"/>
      <c r="V25" s="1856"/>
      <c r="W25" s="1856"/>
      <c r="X25" s="1856"/>
      <c r="Y25" s="1856"/>
      <c r="Z25" s="1856"/>
      <c r="AA25" s="1856"/>
      <c r="AB25" s="1856"/>
      <c r="AC25" s="1856"/>
      <c r="AD25" s="1856"/>
      <c r="AE25" s="1856"/>
      <c r="AF25" s="1856"/>
      <c r="AG25" s="1856"/>
      <c r="AH25" s="1856"/>
      <c r="AI25" s="1856"/>
      <c r="AJ25" s="1856"/>
      <c r="AK25" s="1856"/>
      <c r="AL25" s="324"/>
    </row>
    <row r="26" spans="1:38" s="712" customFormat="1">
      <c r="A26" s="326"/>
      <c r="B26" s="324"/>
      <c r="C26" s="325"/>
      <c r="D26" s="1856"/>
      <c r="E26" s="1856"/>
      <c r="F26" s="1856"/>
      <c r="G26" s="1856"/>
      <c r="H26" s="1856"/>
      <c r="I26" s="1856"/>
      <c r="J26" s="1856"/>
      <c r="K26" s="1856"/>
      <c r="L26" s="1856"/>
      <c r="M26" s="1856"/>
      <c r="N26" s="1856"/>
      <c r="O26" s="1856"/>
      <c r="P26" s="1856"/>
      <c r="Q26" s="1856"/>
      <c r="R26" s="1856"/>
      <c r="S26" s="1856"/>
      <c r="T26" s="1856"/>
      <c r="U26" s="1856"/>
      <c r="V26" s="1856"/>
      <c r="W26" s="1856"/>
      <c r="X26" s="1856"/>
      <c r="Y26" s="1856"/>
      <c r="Z26" s="1856"/>
      <c r="AA26" s="1856"/>
      <c r="AB26" s="1856"/>
      <c r="AC26" s="1856"/>
      <c r="AD26" s="1856"/>
      <c r="AE26" s="1856"/>
      <c r="AF26" s="1856"/>
      <c r="AG26" s="1856"/>
      <c r="AH26" s="1856"/>
      <c r="AI26" s="1856"/>
      <c r="AJ26" s="1856"/>
      <c r="AK26" s="1856"/>
      <c r="AL26" s="324"/>
    </row>
    <row r="27" spans="1:38" s="712" customFormat="1" ht="12" customHeight="1">
      <c r="A27" s="326"/>
      <c r="B27" s="324"/>
      <c r="C27" s="325"/>
      <c r="D27" s="1856"/>
      <c r="E27" s="1856"/>
      <c r="F27" s="1856"/>
      <c r="G27" s="1856"/>
      <c r="H27" s="1856"/>
      <c r="I27" s="1856"/>
      <c r="J27" s="1856"/>
      <c r="K27" s="1856"/>
      <c r="L27" s="1856"/>
      <c r="M27" s="1856"/>
      <c r="N27" s="1856"/>
      <c r="O27" s="1856"/>
      <c r="P27" s="1856"/>
      <c r="Q27" s="1856"/>
      <c r="R27" s="1856"/>
      <c r="S27" s="1856"/>
      <c r="T27" s="1856"/>
      <c r="U27" s="1856"/>
      <c r="V27" s="1856"/>
      <c r="W27" s="1856"/>
      <c r="X27" s="1856"/>
      <c r="Y27" s="1856"/>
      <c r="Z27" s="1856"/>
      <c r="AA27" s="1856"/>
      <c r="AB27" s="1856"/>
      <c r="AC27" s="1856"/>
      <c r="AD27" s="1856"/>
      <c r="AE27" s="1856"/>
      <c r="AF27" s="1856"/>
      <c r="AG27" s="1856"/>
      <c r="AH27" s="1856"/>
      <c r="AI27" s="1856"/>
      <c r="AJ27" s="1856"/>
      <c r="AK27" s="1856"/>
      <c r="AL27" s="324"/>
    </row>
    <row r="28" spans="1:38" s="712" customFormat="1" ht="13.2" customHeight="1">
      <c r="A28" s="326"/>
      <c r="B28" s="324"/>
      <c r="C28" s="325"/>
      <c r="E28" s="1856" t="s">
        <v>2166</v>
      </c>
      <c r="F28" s="1856"/>
      <c r="G28" s="1856"/>
      <c r="H28" s="1856"/>
      <c r="I28" s="1856"/>
      <c r="J28" s="1856"/>
      <c r="K28" s="1856"/>
      <c r="L28" s="1856"/>
      <c r="M28" s="1856"/>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c r="AL28" s="324"/>
    </row>
    <row r="29" spans="1:38" s="712" customFormat="1" ht="13.2" customHeight="1">
      <c r="A29" s="326"/>
      <c r="B29" s="324"/>
      <c r="C29" s="325"/>
      <c r="E29" s="1856"/>
      <c r="F29" s="1856"/>
      <c r="G29" s="1856"/>
      <c r="H29" s="1856"/>
      <c r="I29" s="1856"/>
      <c r="J29" s="1856"/>
      <c r="K29" s="1856"/>
      <c r="L29" s="1856"/>
      <c r="M29" s="1856"/>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c r="AL29" s="324"/>
    </row>
    <row r="30" spans="1:38" s="712" customFormat="1">
      <c r="A30" s="326"/>
      <c r="B30" s="324"/>
      <c r="C30" s="325"/>
      <c r="D30" s="741"/>
      <c r="E30" s="1856"/>
      <c r="F30" s="1856"/>
      <c r="G30" s="1856"/>
      <c r="H30" s="1856"/>
      <c r="I30" s="1856"/>
      <c r="J30" s="1856"/>
      <c r="K30" s="1856"/>
      <c r="L30" s="1856"/>
      <c r="M30" s="1856"/>
      <c r="N30" s="1856"/>
      <c r="O30" s="1856"/>
      <c r="P30" s="1856"/>
      <c r="Q30" s="1856"/>
      <c r="R30" s="1856"/>
      <c r="S30" s="1856"/>
      <c r="T30" s="1856"/>
      <c r="U30" s="1856"/>
      <c r="V30" s="1856"/>
      <c r="W30" s="1856"/>
      <c r="X30" s="1856"/>
      <c r="Y30" s="1856"/>
      <c r="Z30" s="1856"/>
      <c r="AA30" s="1856"/>
      <c r="AB30" s="1856"/>
      <c r="AC30" s="1856"/>
      <c r="AD30" s="1856"/>
      <c r="AE30" s="1856"/>
      <c r="AF30" s="1856"/>
      <c r="AG30" s="1856"/>
      <c r="AH30" s="1856"/>
      <c r="AI30" s="1856"/>
      <c r="AJ30" s="1856"/>
      <c r="AK30" s="1856"/>
      <c r="AL30" s="324"/>
    </row>
    <row r="31" spans="1:38" s="712" customFormat="1">
      <c r="A31" s="326"/>
      <c r="B31" s="324"/>
      <c r="C31" s="325"/>
      <c r="D31" s="741"/>
      <c r="E31" s="741"/>
      <c r="F31" s="741"/>
      <c r="G31" s="741"/>
      <c r="H31" s="741"/>
      <c r="I31" s="741"/>
      <c r="J31" s="741"/>
      <c r="K31" s="741"/>
      <c r="L31" s="741"/>
      <c r="M31" s="741"/>
      <c r="N31" s="741"/>
      <c r="O31" s="741"/>
      <c r="P31" s="741"/>
      <c r="Q31" s="741"/>
      <c r="R31" s="741"/>
      <c r="S31" s="741"/>
      <c r="T31" s="741"/>
      <c r="U31" s="741"/>
      <c r="V31" s="741"/>
      <c r="W31" s="741"/>
      <c r="X31" s="741"/>
      <c r="Y31" s="741"/>
      <c r="Z31" s="741"/>
      <c r="AA31" s="741"/>
      <c r="AB31" s="741"/>
      <c r="AC31" s="741"/>
      <c r="AD31" s="741"/>
      <c r="AE31" s="741"/>
      <c r="AF31" s="741"/>
      <c r="AG31" s="741"/>
      <c r="AH31" s="741"/>
      <c r="AI31" s="741"/>
      <c r="AJ31" s="741"/>
      <c r="AK31" s="741"/>
      <c r="AL31" s="324"/>
    </row>
    <row r="32" spans="1:38" s="712" customFormat="1" ht="13.2" customHeight="1">
      <c r="A32" s="326"/>
      <c r="B32" s="324"/>
      <c r="C32" s="325"/>
      <c r="D32" s="1858" t="s">
        <v>1393</v>
      </c>
      <c r="E32" s="1858"/>
      <c r="F32" s="1858"/>
      <c r="G32" s="1858"/>
      <c r="H32" s="1858"/>
      <c r="I32" s="1858"/>
      <c r="J32" s="1858"/>
      <c r="K32" s="1858"/>
      <c r="L32" s="1858"/>
      <c r="M32" s="1858"/>
      <c r="N32" s="1858"/>
      <c r="O32" s="1858"/>
      <c r="P32" s="1858"/>
      <c r="Q32" s="1858"/>
      <c r="R32" s="1858"/>
      <c r="S32" s="1858"/>
      <c r="T32" s="1858"/>
      <c r="U32" s="1858"/>
      <c r="V32" s="1858"/>
      <c r="W32" s="1858"/>
      <c r="X32" s="1858"/>
      <c r="Y32" s="1858"/>
      <c r="Z32" s="1858"/>
      <c r="AA32" s="1858"/>
      <c r="AB32" s="1858"/>
      <c r="AC32" s="1858"/>
      <c r="AD32" s="1858"/>
      <c r="AE32" s="1858"/>
      <c r="AF32" s="1858"/>
      <c r="AG32" s="1858"/>
      <c r="AH32" s="1858"/>
      <c r="AI32" s="1858"/>
      <c r="AJ32" s="1858"/>
      <c r="AK32" s="1858"/>
      <c r="AL32" s="324"/>
    </row>
    <row r="33" spans="1:38" s="712" customFormat="1">
      <c r="A33" s="326"/>
      <c r="B33" s="324"/>
      <c r="C33" s="325"/>
      <c r="D33" s="741"/>
      <c r="E33" s="1857" t="s">
        <v>2405</v>
      </c>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324"/>
    </row>
    <row r="34" spans="1:38">
      <c r="A34" s="149"/>
      <c r="C34" s="5"/>
    </row>
    <row r="35" spans="1:38">
      <c r="A35" s="149"/>
      <c r="D35" s="1871" t="s">
        <v>2406</v>
      </c>
      <c r="E35" s="1871"/>
      <c r="F35" s="1871"/>
      <c r="G35" s="1871"/>
      <c r="H35" s="1871"/>
      <c r="I35" s="1871"/>
      <c r="J35" s="1871"/>
      <c r="K35" s="1871"/>
      <c r="L35" s="1871"/>
      <c r="M35" s="1871"/>
      <c r="N35" s="1871"/>
      <c r="O35" s="1871"/>
      <c r="P35" s="1871"/>
      <c r="Q35" s="1871"/>
      <c r="R35" s="1871"/>
      <c r="S35" s="1871"/>
      <c r="T35" s="1871"/>
      <c r="U35" s="1871"/>
      <c r="V35" s="1871"/>
      <c r="W35" s="1871"/>
      <c r="X35" s="1871"/>
      <c r="Y35" s="1871"/>
      <c r="Z35" s="1871"/>
      <c r="AA35" s="1871"/>
      <c r="AB35" s="1871"/>
      <c r="AC35" s="1871"/>
      <c r="AD35" s="1871"/>
      <c r="AE35" s="1871"/>
      <c r="AF35" s="1871"/>
      <c r="AG35" s="1871"/>
      <c r="AH35" s="1871"/>
      <c r="AI35" s="1871"/>
      <c r="AJ35" s="1871"/>
      <c r="AK35" s="1871"/>
    </row>
    <row r="36" spans="1:38">
      <c r="A36" s="149"/>
      <c r="D36" s="1871"/>
      <c r="E36" s="1871"/>
      <c r="F36" s="1871"/>
      <c r="G36" s="1871"/>
      <c r="H36" s="1871"/>
      <c r="I36" s="1871"/>
      <c r="J36" s="1871"/>
      <c r="K36" s="1871"/>
      <c r="L36" s="1871"/>
      <c r="M36" s="1871"/>
      <c r="N36" s="1871"/>
      <c r="O36" s="1871"/>
      <c r="P36" s="1871"/>
      <c r="Q36" s="1871"/>
      <c r="R36" s="1871"/>
      <c r="S36" s="1871"/>
      <c r="T36" s="1871"/>
      <c r="U36" s="1871"/>
      <c r="V36" s="1871"/>
      <c r="W36" s="1871"/>
      <c r="X36" s="1871"/>
      <c r="Y36" s="1871"/>
      <c r="Z36" s="1871"/>
      <c r="AA36" s="1871"/>
      <c r="AB36" s="1871"/>
      <c r="AC36" s="1871"/>
      <c r="AD36" s="1871"/>
      <c r="AE36" s="1871"/>
      <c r="AF36" s="1871"/>
      <c r="AG36" s="1871"/>
      <c r="AH36" s="1871"/>
      <c r="AI36" s="1871"/>
      <c r="AJ36" s="1871"/>
      <c r="AK36" s="1871"/>
    </row>
    <row r="37" spans="1:38">
      <c r="A37" s="149"/>
      <c r="D37" s="250"/>
      <c r="E37" s="1864" t="s">
        <v>1092</v>
      </c>
      <c r="F37" s="1864"/>
      <c r="G37" s="1864"/>
      <c r="H37" s="1864"/>
      <c r="I37" s="1864"/>
      <c r="J37" s="1864"/>
      <c r="K37" s="1864"/>
      <c r="L37" s="1864"/>
      <c r="M37" s="1864"/>
      <c r="N37" s="1864"/>
      <c r="O37" s="1864"/>
      <c r="P37" s="1864"/>
      <c r="Q37" s="1864"/>
      <c r="R37" s="1864"/>
      <c r="S37" s="1864"/>
      <c r="T37" s="1864"/>
      <c r="U37" s="1864"/>
      <c r="V37" s="1864"/>
      <c r="W37" s="1864"/>
      <c r="X37" s="1864"/>
      <c r="Y37" s="1864"/>
      <c r="Z37" s="1864"/>
      <c r="AA37" s="1864"/>
      <c r="AB37" s="1864"/>
      <c r="AC37" s="1864"/>
      <c r="AD37" s="1864"/>
      <c r="AE37" s="1864"/>
      <c r="AF37" s="1864"/>
      <c r="AG37" s="1864"/>
      <c r="AH37" s="1864"/>
      <c r="AI37" s="1864"/>
      <c r="AJ37" s="1864"/>
      <c r="AK37" s="1864"/>
    </row>
    <row r="38" spans="1:38">
      <c r="A38" s="149"/>
      <c r="D38" s="250"/>
      <c r="E38" s="1864" t="s">
        <v>1391</v>
      </c>
      <c r="F38" s="1864"/>
      <c r="G38" s="1864"/>
      <c r="H38" s="1864"/>
      <c r="I38" s="1864"/>
      <c r="J38" s="1864"/>
      <c r="K38" s="1864"/>
      <c r="L38" s="1864"/>
      <c r="M38" s="1864"/>
      <c r="N38" s="1864"/>
      <c r="O38" s="1864"/>
      <c r="P38" s="1864"/>
      <c r="Q38" s="1864"/>
      <c r="R38" s="1864"/>
      <c r="S38" s="1864"/>
      <c r="T38" s="1864"/>
      <c r="U38" s="1864"/>
      <c r="V38" s="1864"/>
      <c r="W38" s="1864"/>
      <c r="X38" s="1864"/>
      <c r="Y38" s="1864"/>
      <c r="Z38" s="1864"/>
      <c r="AA38" s="1864"/>
      <c r="AB38" s="1864"/>
      <c r="AC38" s="1864"/>
      <c r="AD38" s="1864"/>
      <c r="AE38" s="1864"/>
      <c r="AF38" s="1864"/>
      <c r="AG38" s="1864"/>
      <c r="AH38" s="1864"/>
      <c r="AI38" s="1864"/>
      <c r="AJ38" s="1864"/>
      <c r="AK38" s="186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6" customFormat="1" ht="13.2" customHeight="1">
      <c r="A42" s="149"/>
      <c r="B42"/>
      <c r="C42" s="5"/>
      <c r="D42" s="149"/>
      <c r="E42" s="149" t="s">
        <v>690</v>
      </c>
      <c r="F42" s="1856" t="s">
        <v>1358</v>
      </c>
    </row>
    <row r="43" spans="1:38" s="1856" customFormat="1" ht="13.2" customHeight="1">
      <c r="A43" s="149"/>
      <c r="B43" s="712"/>
      <c r="C43" s="5"/>
      <c r="D43" s="149"/>
      <c r="E43" s="149"/>
    </row>
    <row r="44" spans="1:38">
      <c r="A44" s="149"/>
      <c r="C44" s="5"/>
      <c r="D44" s="149"/>
      <c r="E44" s="149"/>
      <c r="F44" s="151" t="s">
        <v>725</v>
      </c>
      <c r="G44" s="149" t="s">
        <v>181</v>
      </c>
      <c r="H44" s="741"/>
      <c r="I44" s="741"/>
      <c r="J44" s="741"/>
      <c r="K44" s="741"/>
      <c r="L44" s="741"/>
      <c r="M44" s="741"/>
      <c r="N44" s="741"/>
      <c r="O44" s="741"/>
      <c r="P44" s="741"/>
      <c r="Q44" s="741"/>
      <c r="R44" s="741"/>
      <c r="S44" s="741"/>
      <c r="T44" s="741"/>
      <c r="U44" s="741"/>
      <c r="V44" s="741"/>
      <c r="W44" s="741"/>
      <c r="X44" s="741"/>
      <c r="Y44" s="741"/>
      <c r="Z44" s="741"/>
      <c r="AA44" s="741"/>
      <c r="AB44" s="741"/>
      <c r="AC44" s="741"/>
      <c r="AD44" s="741"/>
      <c r="AE44" s="741"/>
      <c r="AF44" s="741"/>
      <c r="AG44" s="741"/>
      <c r="AH44" s="741"/>
      <c r="AI44" s="741"/>
      <c r="AJ44" s="741"/>
      <c r="AK44" s="741"/>
    </row>
    <row r="45" spans="1:38" s="765" customFormat="1" ht="13.2" customHeight="1">
      <c r="A45" s="149"/>
      <c r="B45"/>
      <c r="C45" s="5"/>
      <c r="D45" s="149"/>
      <c r="E45" s="6" t="s">
        <v>358</v>
      </c>
      <c r="F45" s="1863" t="s">
        <v>1472</v>
      </c>
      <c r="G45" s="1863"/>
      <c r="H45" s="1863"/>
      <c r="I45" s="1863"/>
      <c r="J45" s="1863"/>
      <c r="K45" s="1863"/>
      <c r="L45" s="1863"/>
      <c r="M45" s="1863"/>
      <c r="N45" s="1863"/>
      <c r="O45" s="1863"/>
      <c r="P45" s="1863"/>
      <c r="Q45" s="1863"/>
      <c r="R45" s="1863"/>
      <c r="S45" s="1863"/>
      <c r="T45" s="1863"/>
      <c r="U45" s="1863"/>
      <c r="V45" s="1863"/>
      <c r="W45" s="1863"/>
      <c r="X45" s="1863"/>
      <c r="Y45" s="1863"/>
      <c r="Z45" s="1863"/>
      <c r="AA45" s="1863"/>
      <c r="AB45" s="1863"/>
      <c r="AC45" s="1863"/>
      <c r="AD45" s="1863"/>
      <c r="AE45" s="1863"/>
      <c r="AF45" s="1863"/>
      <c r="AG45" s="1863"/>
      <c r="AH45" s="1863"/>
      <c r="AI45" s="1863"/>
      <c r="AJ45" s="1863"/>
      <c r="AK45" s="1863"/>
      <c r="AL45" s="1863"/>
    </row>
    <row r="46" spans="1:38" s="765" customFormat="1">
      <c r="A46" s="149"/>
      <c r="B46" s="712"/>
      <c r="C46" s="5"/>
      <c r="D46" s="149"/>
      <c r="E46" s="149"/>
      <c r="F46" s="1863"/>
      <c r="G46" s="1863"/>
      <c r="H46" s="1863"/>
      <c r="I46" s="1863"/>
      <c r="J46" s="1863"/>
      <c r="K46" s="1863"/>
      <c r="L46" s="1863"/>
      <c r="M46" s="1863"/>
      <c r="N46" s="1863"/>
      <c r="O46" s="1863"/>
      <c r="P46" s="1863"/>
      <c r="Q46" s="1863"/>
      <c r="R46" s="1863"/>
      <c r="S46" s="1863"/>
      <c r="T46" s="1863"/>
      <c r="U46" s="1863"/>
      <c r="V46" s="1863"/>
      <c r="W46" s="1863"/>
      <c r="X46" s="1863"/>
      <c r="Y46" s="1863"/>
      <c r="Z46" s="1863"/>
      <c r="AA46" s="1863"/>
      <c r="AB46" s="1863"/>
      <c r="AC46" s="1863"/>
      <c r="AD46" s="1863"/>
      <c r="AE46" s="1863"/>
      <c r="AF46" s="1863"/>
      <c r="AG46" s="1863"/>
      <c r="AH46" s="1863"/>
      <c r="AI46" s="1863"/>
      <c r="AJ46" s="1863"/>
      <c r="AK46" s="1863"/>
      <c r="AL46" s="1863"/>
    </row>
    <row r="47" spans="1:38" s="765" customFormat="1" ht="13.2" customHeight="1">
      <c r="A47" s="149"/>
      <c r="B47" s="712"/>
      <c r="C47" s="5"/>
      <c r="D47" s="149"/>
      <c r="E47" s="149"/>
      <c r="F47" s="1863"/>
      <c r="G47" s="1863"/>
      <c r="H47" s="1863"/>
      <c r="I47" s="1863"/>
      <c r="J47" s="1863"/>
      <c r="K47" s="1863"/>
      <c r="L47" s="1863"/>
      <c r="M47" s="1863"/>
      <c r="N47" s="1863"/>
      <c r="O47" s="1863"/>
      <c r="P47" s="1863"/>
      <c r="Q47" s="1863"/>
      <c r="R47" s="1863"/>
      <c r="S47" s="1863"/>
      <c r="T47" s="1863"/>
      <c r="U47" s="1863"/>
      <c r="V47" s="1863"/>
      <c r="W47" s="1863"/>
      <c r="X47" s="1863"/>
      <c r="Y47" s="1863"/>
      <c r="Z47" s="1863"/>
      <c r="AA47" s="1863"/>
      <c r="AB47" s="1863"/>
      <c r="AC47" s="1863"/>
      <c r="AD47" s="1863"/>
      <c r="AE47" s="1863"/>
      <c r="AF47" s="1863"/>
      <c r="AG47" s="1863"/>
      <c r="AH47" s="1863"/>
      <c r="AI47" s="1863"/>
      <c r="AJ47" s="1863"/>
      <c r="AK47" s="1863"/>
      <c r="AL47" s="1863"/>
    </row>
    <row r="48" spans="1:38">
      <c r="A48" s="149"/>
      <c r="C48" s="5"/>
      <c r="D48" s="149"/>
      <c r="E48" s="149"/>
      <c r="F48" s="765" t="s">
        <v>725</v>
      </c>
      <c r="G48" s="6" t="s">
        <v>687</v>
      </c>
      <c r="H48" s="770"/>
      <c r="I48" s="770"/>
      <c r="J48" s="770"/>
      <c r="K48" s="770"/>
      <c r="L48" s="770"/>
      <c r="M48" s="770"/>
      <c r="N48" s="770"/>
      <c r="O48" s="770"/>
      <c r="P48" s="770"/>
      <c r="Q48" s="770"/>
      <c r="R48" s="770"/>
      <c r="S48" s="770"/>
      <c r="T48" s="770"/>
      <c r="U48" s="770"/>
      <c r="V48" s="770"/>
      <c r="W48" s="770"/>
      <c r="X48" s="770"/>
      <c r="Y48" s="770"/>
      <c r="Z48" s="770"/>
      <c r="AA48" s="770"/>
      <c r="AB48" s="770"/>
      <c r="AC48" s="770"/>
      <c r="AD48" s="770"/>
      <c r="AE48" s="770"/>
      <c r="AF48" s="770"/>
      <c r="AG48" s="770"/>
      <c r="AH48" s="770"/>
      <c r="AI48" s="770"/>
      <c r="AJ48" s="770"/>
      <c r="AK48" s="770"/>
      <c r="AL48" s="770"/>
    </row>
    <row r="49" spans="1:38" s="712"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2" customFormat="1">
      <c r="A50" s="149"/>
      <c r="C50" s="5"/>
      <c r="D50" s="149"/>
      <c r="E50" s="6" t="s">
        <v>359</v>
      </c>
      <c r="F50" s="1856" t="s">
        <v>1473</v>
      </c>
      <c r="G50" s="1856"/>
      <c r="H50" s="1856"/>
      <c r="I50" s="1856"/>
      <c r="J50" s="1856"/>
      <c r="K50" s="1856"/>
      <c r="L50" s="1856"/>
      <c r="M50" s="1856"/>
      <c r="N50" s="1856"/>
      <c r="O50" s="1856"/>
      <c r="P50" s="1856"/>
      <c r="Q50" s="1856"/>
      <c r="R50" s="1856"/>
      <c r="S50" s="1856"/>
      <c r="T50" s="1856"/>
      <c r="U50" s="1856"/>
      <c r="V50" s="1856"/>
      <c r="W50" s="1856"/>
      <c r="X50" s="1856"/>
      <c r="Y50" s="1856"/>
      <c r="Z50" s="1856"/>
      <c r="AA50" s="1856"/>
      <c r="AB50" s="1856"/>
      <c r="AC50" s="1856"/>
      <c r="AD50" s="1856"/>
      <c r="AE50" s="1856"/>
      <c r="AF50" s="1856"/>
      <c r="AG50" s="1856"/>
      <c r="AH50" s="1856"/>
      <c r="AI50" s="1856"/>
      <c r="AJ50" s="1856"/>
      <c r="AK50" s="1856"/>
    </row>
    <row r="51" spans="1:38">
      <c r="A51" s="149"/>
      <c r="C51" s="5"/>
      <c r="D51" s="149"/>
      <c r="E51" s="149"/>
      <c r="F51" s="1856"/>
      <c r="G51" s="1856"/>
      <c r="H51" s="1856"/>
      <c r="I51" s="1856"/>
      <c r="J51" s="1856"/>
      <c r="K51" s="1856"/>
      <c r="L51" s="1856"/>
      <c r="M51" s="1856"/>
      <c r="N51" s="1856"/>
      <c r="O51" s="1856"/>
      <c r="P51" s="1856"/>
      <c r="Q51" s="1856"/>
      <c r="R51" s="1856"/>
      <c r="S51" s="1856"/>
      <c r="T51" s="1856"/>
      <c r="U51" s="1856"/>
      <c r="V51" s="1856"/>
      <c r="W51" s="1856"/>
      <c r="X51" s="1856"/>
      <c r="Y51" s="1856"/>
      <c r="Z51" s="1856"/>
      <c r="AA51" s="1856"/>
      <c r="AB51" s="1856"/>
      <c r="AC51" s="1856"/>
      <c r="AD51" s="1856"/>
      <c r="AE51" s="1856"/>
      <c r="AF51" s="1856"/>
      <c r="AG51" s="1856"/>
      <c r="AH51" s="1856"/>
      <c r="AI51" s="1856"/>
      <c r="AJ51" s="1856"/>
      <c r="AK51" s="1856"/>
    </row>
    <row r="52" spans="1:38">
      <c r="A52" s="149"/>
      <c r="C52" s="5"/>
      <c r="D52" s="149"/>
      <c r="F52" s="1856"/>
      <c r="G52" s="1856"/>
      <c r="H52" s="1856"/>
      <c r="I52" s="1856"/>
      <c r="J52" s="1856"/>
      <c r="K52" s="1856"/>
      <c r="L52" s="1856"/>
      <c r="M52" s="1856"/>
      <c r="N52" s="1856"/>
      <c r="O52" s="1856"/>
      <c r="P52" s="1856"/>
      <c r="Q52" s="1856"/>
      <c r="R52" s="1856"/>
      <c r="S52" s="1856"/>
      <c r="T52" s="1856"/>
      <c r="U52" s="1856"/>
      <c r="V52" s="1856"/>
      <c r="W52" s="1856"/>
      <c r="X52" s="1856"/>
      <c r="Y52" s="1856"/>
      <c r="Z52" s="1856"/>
      <c r="AA52" s="1856"/>
      <c r="AB52" s="1856"/>
      <c r="AC52" s="1856"/>
      <c r="AD52" s="1856"/>
      <c r="AE52" s="1856"/>
      <c r="AF52" s="1856"/>
      <c r="AG52" s="1856"/>
      <c r="AH52" s="1856"/>
      <c r="AI52" s="1856"/>
      <c r="AJ52" s="1856"/>
      <c r="AK52" s="185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6"/>
      <c r="B56" s="324"/>
      <c r="C56" s="325"/>
      <c r="D56" s="325"/>
      <c r="E56" s="326"/>
      <c r="F56" s="330" t="s">
        <v>725</v>
      </c>
      <c r="G56" s="1861" t="s">
        <v>1394</v>
      </c>
      <c r="H56" s="1861"/>
      <c r="I56" s="1861"/>
      <c r="J56" s="1861"/>
      <c r="K56" s="1861"/>
      <c r="L56" s="1861"/>
      <c r="M56" s="1861"/>
      <c r="N56" s="1861"/>
      <c r="O56" s="1861"/>
      <c r="P56" s="1861"/>
      <c r="Q56" s="1861"/>
      <c r="R56" s="1861"/>
      <c r="S56" s="1861"/>
      <c r="T56" s="1861"/>
      <c r="U56" s="1861"/>
      <c r="V56" s="1861"/>
      <c r="W56" s="1861"/>
      <c r="X56" s="1861"/>
      <c r="Y56" s="1861"/>
      <c r="Z56" s="1861"/>
      <c r="AA56" s="1861"/>
      <c r="AB56" s="1861"/>
      <c r="AC56" s="1861"/>
      <c r="AD56" s="1861"/>
      <c r="AE56" s="1861"/>
      <c r="AF56" s="1861"/>
      <c r="AG56" s="1861"/>
      <c r="AH56" s="1861"/>
      <c r="AI56" s="1861"/>
      <c r="AJ56" s="1861"/>
      <c r="AK56" s="1861"/>
      <c r="AL56" s="324"/>
    </row>
    <row r="57" spans="1:38" s="712" customFormat="1" ht="13.2" customHeight="1">
      <c r="A57" s="326"/>
      <c r="B57" s="324"/>
      <c r="C57" s="325"/>
      <c r="D57" s="325"/>
      <c r="E57" s="326"/>
      <c r="F57" s="330"/>
      <c r="G57" s="772" t="s">
        <v>1396</v>
      </c>
      <c r="H57" s="764"/>
      <c r="I57" s="764"/>
      <c r="J57" s="764"/>
      <c r="K57" s="764"/>
      <c r="L57" s="764"/>
      <c r="M57" s="764"/>
      <c r="N57" s="764"/>
      <c r="O57" s="764"/>
      <c r="P57" s="764"/>
      <c r="Q57" s="764"/>
      <c r="R57" s="764"/>
      <c r="S57" s="764"/>
      <c r="T57" s="764"/>
      <c r="U57" s="764"/>
      <c r="V57" s="764"/>
      <c r="W57" s="764"/>
      <c r="X57" s="764"/>
      <c r="Y57" s="764"/>
      <c r="Z57" s="764"/>
      <c r="AA57" s="764"/>
      <c r="AB57" s="764"/>
      <c r="AC57" s="764"/>
      <c r="AD57" s="764"/>
      <c r="AE57" s="764"/>
      <c r="AF57" s="764"/>
      <c r="AG57" s="764"/>
      <c r="AH57" s="764"/>
      <c r="AI57" s="764"/>
      <c r="AJ57" s="764"/>
      <c r="AK57" s="764"/>
      <c r="AL57" s="324"/>
    </row>
    <row r="58" spans="1:38" s="2" customFormat="1">
      <c r="A58" s="326"/>
      <c r="B58" s="324"/>
      <c r="C58" s="325"/>
      <c r="D58" s="325"/>
      <c r="E58" s="326"/>
      <c r="F58" s="330"/>
      <c r="G58" s="1861" t="s">
        <v>610</v>
      </c>
      <c r="H58" s="1861"/>
      <c r="I58" s="1861"/>
      <c r="J58" s="737"/>
      <c r="K58" s="737"/>
      <c r="L58" s="737"/>
      <c r="M58" s="737"/>
      <c r="N58" s="737"/>
      <c r="O58" s="737"/>
      <c r="P58" s="737"/>
      <c r="Q58" s="737"/>
      <c r="R58" s="737"/>
      <c r="S58" s="737"/>
      <c r="T58" s="737"/>
      <c r="U58" s="737"/>
      <c r="V58" s="737"/>
      <c r="W58" s="737"/>
      <c r="X58" s="737"/>
      <c r="Y58" s="737"/>
      <c r="Z58" s="737"/>
      <c r="AA58" s="737"/>
      <c r="AB58" s="737"/>
      <c r="AC58" s="737"/>
      <c r="AD58" s="737"/>
      <c r="AE58" s="737"/>
      <c r="AF58" s="737"/>
      <c r="AG58" s="737"/>
      <c r="AH58" s="737"/>
      <c r="AI58" s="737"/>
      <c r="AJ58" s="737"/>
      <c r="AK58" s="737"/>
      <c r="AL58" s="324"/>
    </row>
    <row r="59" spans="1:38" s="2" customFormat="1" ht="13.2" customHeight="1">
      <c r="A59" s="326"/>
      <c r="B59" s="325"/>
      <c r="C59" s="325"/>
      <c r="D59" s="325"/>
      <c r="E59" s="326"/>
      <c r="F59" s="330" t="s">
        <v>542</v>
      </c>
      <c r="G59" s="1862" t="s">
        <v>1474</v>
      </c>
      <c r="H59" s="1862"/>
      <c r="I59" s="1862"/>
      <c r="J59" s="1862"/>
      <c r="K59" s="1862"/>
      <c r="L59" s="1862"/>
      <c r="M59" s="1862"/>
      <c r="N59" s="1862"/>
      <c r="O59" s="1862"/>
      <c r="P59" s="1862"/>
      <c r="Q59" s="1862"/>
      <c r="R59" s="1862"/>
      <c r="S59" s="1862"/>
      <c r="T59" s="1862"/>
      <c r="U59" s="1862"/>
      <c r="V59" s="1862"/>
      <c r="W59" s="1862"/>
      <c r="X59" s="1862"/>
      <c r="Y59" s="1862"/>
      <c r="Z59" s="1862"/>
      <c r="AA59" s="1862"/>
      <c r="AB59" s="1862"/>
      <c r="AC59" s="1862"/>
      <c r="AD59" s="1862"/>
      <c r="AE59" s="1862"/>
      <c r="AF59" s="1862"/>
      <c r="AG59" s="1862"/>
      <c r="AH59" s="1862"/>
      <c r="AI59" s="1862"/>
      <c r="AJ59" s="1862"/>
      <c r="AK59" s="1862"/>
      <c r="AL59" s="1862"/>
    </row>
    <row r="60" spans="1:38" s="2" customFormat="1">
      <c r="A60" s="326"/>
      <c r="B60" s="324"/>
      <c r="C60" s="325"/>
      <c r="D60" s="325"/>
      <c r="E60" s="326"/>
      <c r="F60" s="330"/>
      <c r="G60" s="1862"/>
      <c r="H60" s="1862"/>
      <c r="I60" s="1862"/>
      <c r="J60" s="1862"/>
      <c r="K60" s="1862"/>
      <c r="L60" s="1862"/>
      <c r="M60" s="1862"/>
      <c r="N60" s="1862"/>
      <c r="O60" s="1862"/>
      <c r="P60" s="1862"/>
      <c r="Q60" s="1862"/>
      <c r="R60" s="1862"/>
      <c r="S60" s="1862"/>
      <c r="T60" s="1862"/>
      <c r="U60" s="1862"/>
      <c r="V60" s="1862"/>
      <c r="W60" s="1862"/>
      <c r="X60" s="1862"/>
      <c r="Y60" s="1862"/>
      <c r="Z60" s="1862"/>
      <c r="AA60" s="1862"/>
      <c r="AB60" s="1862"/>
      <c r="AC60" s="1862"/>
      <c r="AD60" s="1862"/>
      <c r="AE60" s="1862"/>
      <c r="AF60" s="1862"/>
      <c r="AG60" s="1862"/>
      <c r="AH60" s="1862"/>
      <c r="AI60" s="1862"/>
      <c r="AJ60" s="1862"/>
      <c r="AK60" s="1862"/>
      <c r="AL60" s="1862"/>
    </row>
    <row r="61" spans="1:38">
      <c r="A61" s="328"/>
      <c r="B61" s="327"/>
      <c r="C61" s="329"/>
      <c r="D61" s="329"/>
      <c r="E61" s="328"/>
      <c r="F61" s="331"/>
      <c r="G61" s="773" t="s">
        <v>1519</v>
      </c>
      <c r="H61" s="771"/>
      <c r="I61" s="771"/>
      <c r="J61" s="771"/>
      <c r="K61" s="771"/>
      <c r="L61" s="771"/>
      <c r="M61" s="771"/>
      <c r="N61" s="771"/>
      <c r="O61" s="771"/>
      <c r="P61" s="771"/>
      <c r="Q61" s="771"/>
      <c r="R61" s="771"/>
      <c r="S61" s="771"/>
      <c r="T61" s="771"/>
      <c r="U61" s="771"/>
      <c r="V61" s="771"/>
      <c r="W61" s="771"/>
      <c r="X61" s="771"/>
      <c r="Y61" s="771"/>
      <c r="Z61" s="771"/>
      <c r="AA61" s="771"/>
      <c r="AB61" s="771"/>
      <c r="AC61" s="771"/>
      <c r="AD61" s="771"/>
      <c r="AE61" s="771"/>
      <c r="AF61" s="771"/>
      <c r="AG61" s="771"/>
      <c r="AH61" s="771"/>
      <c r="AI61" s="771"/>
      <c r="AJ61" s="771"/>
      <c r="AK61" s="771"/>
      <c r="AL61" s="327"/>
    </row>
    <row r="62" spans="1:38">
      <c r="A62" s="182"/>
      <c r="B62" s="2"/>
      <c r="C62" s="183"/>
      <c r="D62" s="183"/>
      <c r="E62" s="182"/>
      <c r="F62" s="183"/>
      <c r="G62" s="183"/>
      <c r="H62" s="672"/>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6" t="s">
        <v>1360</v>
      </c>
      <c r="H66" s="1856"/>
      <c r="I66" s="1856"/>
      <c r="J66" s="1856"/>
      <c r="K66" s="1856"/>
      <c r="L66" s="1856"/>
      <c r="M66" s="1856"/>
      <c r="N66" s="1856"/>
      <c r="O66" s="1856"/>
      <c r="P66" s="1856"/>
      <c r="Q66" s="1856"/>
      <c r="R66" s="1856"/>
      <c r="S66" s="1856"/>
      <c r="T66" s="1856"/>
      <c r="U66" s="1856"/>
      <c r="V66" s="1856"/>
      <c r="W66" s="1856"/>
      <c r="X66" s="1856"/>
      <c r="Y66" s="1856"/>
      <c r="Z66" s="1856"/>
      <c r="AA66" s="1856"/>
      <c r="AB66" s="1856"/>
      <c r="AC66" s="1856"/>
      <c r="AD66" s="1856"/>
      <c r="AE66" s="1856"/>
      <c r="AF66" s="1856"/>
      <c r="AG66" s="1856"/>
      <c r="AH66" s="1856"/>
      <c r="AI66" s="1856"/>
      <c r="AJ66" s="1856"/>
      <c r="AK66" s="1856"/>
    </row>
    <row r="67" spans="1:37">
      <c r="A67" s="149"/>
      <c r="C67" s="5"/>
      <c r="D67" s="149"/>
      <c r="E67" s="149"/>
      <c r="F67" s="9"/>
      <c r="G67" s="1856"/>
      <c r="H67" s="1856"/>
      <c r="I67" s="1856"/>
      <c r="J67" s="1856"/>
      <c r="K67" s="1856"/>
      <c r="L67" s="1856"/>
      <c r="M67" s="1856"/>
      <c r="N67" s="1856"/>
      <c r="O67" s="1856"/>
      <c r="P67" s="1856"/>
      <c r="Q67" s="1856"/>
      <c r="R67" s="1856"/>
      <c r="S67" s="1856"/>
      <c r="T67" s="1856"/>
      <c r="U67" s="1856"/>
      <c r="V67" s="1856"/>
      <c r="W67" s="1856"/>
      <c r="X67" s="1856"/>
      <c r="Y67" s="1856"/>
      <c r="Z67" s="1856"/>
      <c r="AA67" s="1856"/>
      <c r="AB67" s="1856"/>
      <c r="AC67" s="1856"/>
      <c r="AD67" s="1856"/>
      <c r="AE67" s="1856"/>
      <c r="AF67" s="1856"/>
      <c r="AG67" s="1856"/>
      <c r="AH67" s="1856"/>
      <c r="AI67" s="1856"/>
      <c r="AJ67" s="1856"/>
      <c r="AK67" s="1856"/>
    </row>
    <row r="68" spans="1:37">
      <c r="A68" s="149"/>
      <c r="C68" s="5"/>
      <c r="D68" s="149"/>
      <c r="E68" s="149"/>
      <c r="F68" s="9"/>
      <c r="G68" s="1856"/>
      <c r="H68" s="1856"/>
      <c r="I68" s="1856"/>
      <c r="J68" s="1856"/>
      <c r="K68" s="1856"/>
      <c r="L68" s="1856"/>
      <c r="M68" s="1856"/>
      <c r="N68" s="1856"/>
      <c r="O68" s="1856"/>
      <c r="P68" s="1856"/>
      <c r="Q68" s="1856"/>
      <c r="R68" s="1856"/>
      <c r="S68" s="1856"/>
      <c r="T68" s="1856"/>
      <c r="U68" s="1856"/>
      <c r="V68" s="1856"/>
      <c r="W68" s="1856"/>
      <c r="X68" s="1856"/>
      <c r="Y68" s="1856"/>
      <c r="Z68" s="1856"/>
      <c r="AA68" s="1856"/>
      <c r="AB68" s="1856"/>
      <c r="AC68" s="1856"/>
      <c r="AD68" s="1856"/>
      <c r="AE68" s="1856"/>
      <c r="AF68" s="1856"/>
      <c r="AG68" s="1856"/>
      <c r="AH68" s="1856"/>
      <c r="AI68" s="1856"/>
      <c r="AJ68" s="1856"/>
      <c r="AK68" s="1856"/>
    </row>
    <row r="69" spans="1:37" ht="13.2" customHeight="1">
      <c r="A69" s="149"/>
      <c r="C69" s="5"/>
      <c r="D69" s="149"/>
      <c r="E69" s="149"/>
      <c r="F69" s="9" t="s">
        <v>542</v>
      </c>
      <c r="G69" s="1856" t="s">
        <v>1361</v>
      </c>
      <c r="H69" s="1856"/>
      <c r="I69" s="1856"/>
      <c r="J69" s="1856"/>
      <c r="K69" s="1856"/>
      <c r="L69" s="1856"/>
      <c r="M69" s="1856"/>
      <c r="N69" s="1856"/>
      <c r="O69" s="1856"/>
      <c r="P69" s="1856"/>
      <c r="Q69" s="1856"/>
      <c r="R69" s="1856"/>
      <c r="S69" s="1856"/>
      <c r="T69" s="1856"/>
      <c r="U69" s="1856"/>
      <c r="V69" s="1856"/>
      <c r="W69" s="1856"/>
      <c r="X69" s="1856"/>
      <c r="Y69" s="1856"/>
      <c r="Z69" s="1856"/>
      <c r="AA69" s="1856"/>
      <c r="AB69" s="1856"/>
      <c r="AC69" s="1856"/>
      <c r="AD69" s="1856"/>
      <c r="AE69" s="1856"/>
      <c r="AF69" s="1856"/>
      <c r="AG69" s="1856"/>
      <c r="AH69" s="1856"/>
      <c r="AI69" s="1856"/>
      <c r="AJ69" s="1856"/>
      <c r="AK69" s="1856"/>
    </row>
    <row r="70" spans="1:37">
      <c r="A70" s="149"/>
      <c r="C70" s="5"/>
      <c r="D70" s="149"/>
      <c r="E70" s="149"/>
      <c r="F70" s="374"/>
      <c r="G70" s="1856"/>
      <c r="H70" s="1856"/>
      <c r="I70" s="1856"/>
      <c r="J70" s="1856"/>
      <c r="K70" s="1856"/>
      <c r="L70" s="1856"/>
      <c r="M70" s="1856"/>
      <c r="N70" s="1856"/>
      <c r="O70" s="1856"/>
      <c r="P70" s="1856"/>
      <c r="Q70" s="1856"/>
      <c r="R70" s="1856"/>
      <c r="S70" s="1856"/>
      <c r="T70" s="1856"/>
      <c r="U70" s="1856"/>
      <c r="V70" s="1856"/>
      <c r="W70" s="1856"/>
      <c r="X70" s="1856"/>
      <c r="Y70" s="1856"/>
      <c r="Z70" s="1856"/>
      <c r="AA70" s="1856"/>
      <c r="AB70" s="1856"/>
      <c r="AC70" s="1856"/>
      <c r="AD70" s="1856"/>
      <c r="AE70" s="1856"/>
      <c r="AF70" s="1856"/>
      <c r="AG70" s="1856"/>
      <c r="AH70" s="1856"/>
      <c r="AI70" s="1856"/>
      <c r="AJ70" s="1856"/>
      <c r="AK70" s="1856"/>
    </row>
    <row r="71" spans="1:37">
      <c r="A71" s="149"/>
      <c r="C71" s="5"/>
      <c r="D71" s="149"/>
      <c r="E71" s="149" t="s">
        <v>358</v>
      </c>
      <c r="F71" s="149" t="s">
        <v>442</v>
      </c>
      <c r="G71" s="741"/>
      <c r="H71" s="741"/>
      <c r="I71" s="741"/>
      <c r="J71" s="741"/>
      <c r="K71" s="741"/>
      <c r="L71" s="741"/>
      <c r="M71" s="741"/>
      <c r="N71" s="741"/>
      <c r="O71" s="741"/>
      <c r="P71" s="741"/>
      <c r="Q71" s="741"/>
      <c r="R71" s="741"/>
      <c r="S71" s="741"/>
      <c r="T71" s="741"/>
      <c r="U71" s="741"/>
      <c r="V71" s="741"/>
      <c r="W71" s="741"/>
      <c r="X71" s="741"/>
      <c r="Y71" s="741"/>
      <c r="Z71" s="741"/>
      <c r="AA71" s="741"/>
      <c r="AB71" s="741"/>
      <c r="AC71" s="741"/>
      <c r="AD71" s="741"/>
      <c r="AE71" s="741"/>
      <c r="AF71" s="741"/>
      <c r="AG71" s="741"/>
      <c r="AH71" s="741"/>
      <c r="AI71" s="741"/>
      <c r="AJ71" s="741"/>
      <c r="AK71" s="741"/>
    </row>
    <row r="72" spans="1:37">
      <c r="A72" s="149"/>
      <c r="C72" s="5"/>
      <c r="D72" s="149"/>
      <c r="E72" s="149"/>
      <c r="F72" s="249" t="s">
        <v>725</v>
      </c>
      <c r="G72" s="1856" t="s">
        <v>1362</v>
      </c>
      <c r="H72" s="1856"/>
      <c r="I72" s="1856"/>
      <c r="J72" s="1856"/>
      <c r="K72" s="1856"/>
      <c r="L72" s="1856"/>
      <c r="M72" s="1856"/>
      <c r="N72" s="1856"/>
      <c r="O72" s="1856"/>
      <c r="P72" s="1856"/>
      <c r="Q72" s="1856"/>
      <c r="R72" s="1856"/>
      <c r="S72" s="1856"/>
      <c r="T72" s="1856"/>
      <c r="U72" s="1856"/>
      <c r="V72" s="1856"/>
      <c r="W72" s="1856"/>
      <c r="X72" s="1856"/>
      <c r="Y72" s="1856"/>
      <c r="Z72" s="1856"/>
      <c r="AA72" s="1856"/>
      <c r="AB72" s="1856"/>
      <c r="AC72" s="1856"/>
      <c r="AD72" s="1856"/>
      <c r="AE72" s="1856"/>
      <c r="AF72" s="1856"/>
      <c r="AG72" s="1856"/>
      <c r="AH72" s="1856"/>
      <c r="AI72" s="1856"/>
      <c r="AJ72" s="1856"/>
      <c r="AK72" s="1856"/>
    </row>
    <row r="73" spans="1:37">
      <c r="A73" s="149"/>
      <c r="C73" s="5"/>
      <c r="D73" s="149"/>
      <c r="E73" s="149"/>
      <c r="F73" s="249"/>
      <c r="G73" s="1856"/>
      <c r="H73" s="1856"/>
      <c r="I73" s="1856"/>
      <c r="J73" s="1856"/>
      <c r="K73" s="1856"/>
      <c r="L73" s="1856"/>
      <c r="M73" s="1856"/>
      <c r="N73" s="1856"/>
      <c r="O73" s="1856"/>
      <c r="P73" s="1856"/>
      <c r="Q73" s="1856"/>
      <c r="R73" s="1856"/>
      <c r="S73" s="1856"/>
      <c r="T73" s="1856"/>
      <c r="U73" s="1856"/>
      <c r="V73" s="1856"/>
      <c r="W73" s="1856"/>
      <c r="X73" s="1856"/>
      <c r="Y73" s="1856"/>
      <c r="Z73" s="1856"/>
      <c r="AA73" s="1856"/>
      <c r="AB73" s="1856"/>
      <c r="AC73" s="1856"/>
      <c r="AD73" s="1856"/>
      <c r="AE73" s="1856"/>
      <c r="AF73" s="1856"/>
      <c r="AG73" s="1856"/>
      <c r="AH73" s="1856"/>
      <c r="AI73" s="1856"/>
      <c r="AJ73" s="1856"/>
      <c r="AK73" s="1856"/>
    </row>
    <row r="74" spans="1:37">
      <c r="A74" s="149"/>
      <c r="C74" s="5"/>
      <c r="D74" s="149"/>
      <c r="E74" s="149"/>
      <c r="F74" s="249" t="s">
        <v>542</v>
      </c>
      <c r="G74" s="1856" t="s">
        <v>1363</v>
      </c>
      <c r="H74" s="1856"/>
      <c r="I74" s="1856"/>
      <c r="J74" s="1856"/>
      <c r="K74" s="1856"/>
      <c r="L74" s="1856"/>
      <c r="M74" s="1856"/>
      <c r="N74" s="1856"/>
      <c r="O74" s="1856"/>
      <c r="P74" s="1856"/>
      <c r="Q74" s="1856"/>
      <c r="R74" s="1856"/>
      <c r="S74" s="1856"/>
      <c r="T74" s="1856"/>
      <c r="U74" s="1856"/>
      <c r="V74" s="1856"/>
      <c r="W74" s="1856"/>
      <c r="X74" s="1856"/>
      <c r="Y74" s="1856"/>
      <c r="Z74" s="1856"/>
      <c r="AA74" s="1856"/>
      <c r="AB74" s="1856"/>
      <c r="AC74" s="1856"/>
      <c r="AD74" s="1856"/>
      <c r="AE74" s="1856"/>
      <c r="AF74" s="1856"/>
      <c r="AG74" s="1856"/>
      <c r="AH74" s="1856"/>
      <c r="AI74" s="1856"/>
      <c r="AJ74" s="1856"/>
      <c r="AK74" s="1856"/>
    </row>
    <row r="75" spans="1:37">
      <c r="A75" s="149"/>
      <c r="C75" s="5"/>
      <c r="D75" s="149"/>
      <c r="E75" s="149"/>
      <c r="F75" s="249"/>
      <c r="G75" s="1856"/>
      <c r="H75" s="1856"/>
      <c r="I75" s="1856"/>
      <c r="J75" s="1856"/>
      <c r="K75" s="1856"/>
      <c r="L75" s="1856"/>
      <c r="M75" s="1856"/>
      <c r="N75" s="1856"/>
      <c r="O75" s="1856"/>
      <c r="P75" s="1856"/>
      <c r="Q75" s="1856"/>
      <c r="R75" s="1856"/>
      <c r="S75" s="1856"/>
      <c r="T75" s="1856"/>
      <c r="U75" s="1856"/>
      <c r="V75" s="1856"/>
      <c r="W75" s="1856"/>
      <c r="X75" s="1856"/>
      <c r="Y75" s="1856"/>
      <c r="Z75" s="1856"/>
      <c r="AA75" s="1856"/>
      <c r="AB75" s="1856"/>
      <c r="AC75" s="1856"/>
      <c r="AD75" s="1856"/>
      <c r="AE75" s="1856"/>
      <c r="AF75" s="1856"/>
      <c r="AG75" s="1856"/>
      <c r="AH75" s="1856"/>
      <c r="AI75" s="1856"/>
      <c r="AJ75" s="1856"/>
      <c r="AK75" s="1856"/>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6" t="s">
        <v>1364</v>
      </c>
      <c r="H82" s="1856"/>
      <c r="I82" s="1856"/>
      <c r="J82" s="1856"/>
      <c r="K82" s="1856"/>
      <c r="L82" s="1856"/>
      <c r="M82" s="1856"/>
      <c r="N82" s="1856"/>
      <c r="O82" s="1856"/>
      <c r="P82" s="1856"/>
      <c r="Q82" s="1856"/>
      <c r="R82" s="1856"/>
      <c r="S82" s="1856"/>
      <c r="T82" s="1856"/>
      <c r="U82" s="1856"/>
      <c r="V82" s="1856"/>
      <c r="W82" s="1856"/>
      <c r="X82" s="1856"/>
      <c r="Y82" s="1856"/>
      <c r="Z82" s="1856"/>
      <c r="AA82" s="1856"/>
      <c r="AB82" s="1856"/>
      <c r="AC82" s="1856"/>
      <c r="AD82" s="1856"/>
      <c r="AE82" s="1856"/>
      <c r="AF82" s="1856"/>
      <c r="AG82" s="1856"/>
      <c r="AH82" s="1856"/>
      <c r="AI82" s="1856"/>
      <c r="AJ82" s="1856"/>
      <c r="AK82" s="1856"/>
    </row>
    <row r="83" spans="1:37">
      <c r="A83" s="149"/>
      <c r="C83" s="5"/>
      <c r="D83" s="149"/>
      <c r="E83" s="149"/>
      <c r="F83" s="149"/>
      <c r="G83" s="1856"/>
      <c r="H83" s="1856"/>
      <c r="I83" s="1856"/>
      <c r="J83" s="1856"/>
      <c r="K83" s="1856"/>
      <c r="L83" s="1856"/>
      <c r="M83" s="1856"/>
      <c r="N83" s="1856"/>
      <c r="O83" s="1856"/>
      <c r="P83" s="1856"/>
      <c r="Q83" s="1856"/>
      <c r="R83" s="1856"/>
      <c r="S83" s="1856"/>
      <c r="T83" s="1856"/>
      <c r="U83" s="1856"/>
      <c r="V83" s="1856"/>
      <c r="W83" s="1856"/>
      <c r="X83" s="1856"/>
      <c r="Y83" s="1856"/>
      <c r="Z83" s="1856"/>
      <c r="AA83" s="1856"/>
      <c r="AB83" s="1856"/>
      <c r="AC83" s="1856"/>
      <c r="AD83" s="1856"/>
      <c r="AE83" s="1856"/>
      <c r="AF83" s="1856"/>
      <c r="AG83" s="1856"/>
      <c r="AH83" s="1856"/>
      <c r="AI83" s="1856"/>
      <c r="AJ83" s="1856"/>
      <c r="AK83" s="1856"/>
    </row>
    <row r="84" spans="1:37" s="712" customFormat="1">
      <c r="A84" s="149"/>
      <c r="C84" s="5"/>
      <c r="D84" s="149"/>
      <c r="E84" s="149"/>
      <c r="F84" s="149"/>
      <c r="G84" s="1856"/>
      <c r="H84" s="1856"/>
      <c r="I84" s="1856"/>
      <c r="J84" s="1856"/>
      <c r="K84" s="1856"/>
      <c r="L84" s="1856"/>
      <c r="M84" s="1856"/>
      <c r="N84" s="1856"/>
      <c r="O84" s="1856"/>
      <c r="P84" s="1856"/>
      <c r="Q84" s="1856"/>
      <c r="R84" s="1856"/>
      <c r="S84" s="1856"/>
      <c r="T84" s="1856"/>
      <c r="U84" s="1856"/>
      <c r="V84" s="1856"/>
      <c r="W84" s="1856"/>
      <c r="X84" s="1856"/>
      <c r="Y84" s="1856"/>
      <c r="Z84" s="1856"/>
      <c r="AA84" s="1856"/>
      <c r="AB84" s="1856"/>
      <c r="AC84" s="1856"/>
      <c r="AD84" s="1856"/>
      <c r="AE84" s="1856"/>
      <c r="AF84" s="1856"/>
      <c r="AG84" s="1856"/>
      <c r="AH84" s="1856"/>
      <c r="AI84" s="1856"/>
      <c r="AJ84" s="1856"/>
      <c r="AK84" s="1856"/>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6" t="s">
        <v>1365</v>
      </c>
      <c r="H86" s="1856"/>
      <c r="I86" s="1856"/>
      <c r="J86" s="1856"/>
      <c r="K86" s="1856"/>
      <c r="L86" s="1856"/>
      <c r="M86" s="1856"/>
      <c r="N86" s="1856"/>
      <c r="O86" s="1856"/>
      <c r="P86" s="1856"/>
      <c r="Q86" s="1856"/>
      <c r="R86" s="1856"/>
      <c r="S86" s="1856"/>
      <c r="T86" s="1856"/>
      <c r="U86" s="1856"/>
      <c r="V86" s="1856"/>
      <c r="W86" s="1856"/>
      <c r="X86" s="1856"/>
      <c r="Y86" s="1856"/>
      <c r="Z86" s="1856"/>
      <c r="AA86" s="1856"/>
      <c r="AB86" s="1856"/>
      <c r="AC86" s="1856"/>
      <c r="AD86" s="1856"/>
      <c r="AE86" s="1856"/>
      <c r="AF86" s="1856"/>
      <c r="AG86" s="1856"/>
      <c r="AH86" s="1856"/>
      <c r="AI86" s="1856"/>
      <c r="AJ86" s="1856"/>
      <c r="AK86" s="1856"/>
    </row>
    <row r="87" spans="1:37">
      <c r="A87" s="149"/>
      <c r="C87" s="5"/>
      <c r="D87" s="149"/>
      <c r="E87" s="149"/>
      <c r="F87" s="149"/>
      <c r="G87" s="1856"/>
      <c r="H87" s="1856"/>
      <c r="I87" s="1856"/>
      <c r="J87" s="1856"/>
      <c r="K87" s="1856"/>
      <c r="L87" s="1856"/>
      <c r="M87" s="1856"/>
      <c r="N87" s="1856"/>
      <c r="O87" s="1856"/>
      <c r="P87" s="1856"/>
      <c r="Q87" s="1856"/>
      <c r="R87" s="1856"/>
      <c r="S87" s="1856"/>
      <c r="T87" s="1856"/>
      <c r="U87" s="1856"/>
      <c r="V87" s="1856"/>
      <c r="W87" s="1856"/>
      <c r="X87" s="1856"/>
      <c r="Y87" s="1856"/>
      <c r="Z87" s="1856"/>
      <c r="AA87" s="1856"/>
      <c r="AB87" s="1856"/>
      <c r="AC87" s="1856"/>
      <c r="AD87" s="1856"/>
      <c r="AE87" s="1856"/>
      <c r="AF87" s="1856"/>
      <c r="AG87" s="1856"/>
      <c r="AH87" s="1856"/>
      <c r="AI87" s="1856"/>
      <c r="AJ87" s="1856"/>
      <c r="AK87" s="1856"/>
    </row>
    <row r="88" spans="1:37">
      <c r="A88" s="149"/>
      <c r="C88" s="5"/>
      <c r="D88" s="149"/>
      <c r="E88" s="149"/>
      <c r="G88" s="1856"/>
      <c r="H88" s="1856"/>
      <c r="I88" s="1856"/>
      <c r="J88" s="1856"/>
      <c r="K88" s="1856"/>
      <c r="L88" s="1856"/>
      <c r="M88" s="1856"/>
      <c r="N88" s="1856"/>
      <c r="O88" s="1856"/>
      <c r="P88" s="1856"/>
      <c r="Q88" s="1856"/>
      <c r="R88" s="1856"/>
      <c r="S88" s="1856"/>
      <c r="T88" s="1856"/>
      <c r="U88" s="1856"/>
      <c r="V88" s="1856"/>
      <c r="W88" s="1856"/>
      <c r="X88" s="1856"/>
      <c r="Y88" s="1856"/>
      <c r="Z88" s="1856"/>
      <c r="AA88" s="1856"/>
      <c r="AB88" s="1856"/>
      <c r="AC88" s="1856"/>
      <c r="AD88" s="1856"/>
      <c r="AE88" s="1856"/>
      <c r="AF88" s="1856"/>
      <c r="AG88" s="1856"/>
      <c r="AH88" s="1856"/>
      <c r="AI88" s="1856"/>
      <c r="AJ88" s="1856"/>
      <c r="AK88" s="1856"/>
    </row>
    <row r="89" spans="1:37">
      <c r="A89" s="149"/>
      <c r="C89" s="5"/>
      <c r="D89" s="149"/>
      <c r="E89" s="149" t="s">
        <v>268</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59" t="s">
        <v>1366</v>
      </c>
      <c r="H90" s="1859"/>
      <c r="I90" s="1859"/>
      <c r="J90" s="1859"/>
      <c r="K90" s="1859"/>
      <c r="L90" s="1859"/>
      <c r="M90" s="1859"/>
      <c r="N90" s="1859"/>
      <c r="O90" s="1859"/>
      <c r="P90" s="1859"/>
      <c r="Q90" s="1859"/>
      <c r="R90" s="1859"/>
      <c r="S90" s="1859"/>
      <c r="T90" s="1859"/>
      <c r="U90" s="1859"/>
      <c r="V90" s="1859"/>
      <c r="W90" s="1859"/>
      <c r="X90" s="1859"/>
      <c r="Y90" s="1859"/>
      <c r="Z90" s="1859"/>
      <c r="AA90" s="1859"/>
      <c r="AB90" s="1859"/>
      <c r="AC90" s="1859"/>
      <c r="AD90" s="1859"/>
      <c r="AE90" s="1859"/>
      <c r="AF90" s="1859"/>
      <c r="AG90" s="1859"/>
      <c r="AH90" s="1859"/>
      <c r="AI90" s="1859"/>
      <c r="AJ90" s="1859"/>
      <c r="AK90" s="1859"/>
    </row>
    <row r="91" spans="1:37" s="712" customFormat="1">
      <c r="A91" s="149"/>
      <c r="C91" s="5"/>
      <c r="D91" s="149"/>
      <c r="E91" s="149"/>
      <c r="G91" s="1859"/>
      <c r="H91" s="1859"/>
      <c r="I91" s="1859"/>
      <c r="J91" s="1859"/>
      <c r="K91" s="1859"/>
      <c r="L91" s="1859"/>
      <c r="M91" s="1859"/>
      <c r="N91" s="1859"/>
      <c r="O91" s="1859"/>
      <c r="P91" s="1859"/>
      <c r="Q91" s="1859"/>
      <c r="R91" s="1859"/>
      <c r="S91" s="1859"/>
      <c r="T91" s="1859"/>
      <c r="U91" s="1859"/>
      <c r="V91" s="1859"/>
      <c r="W91" s="1859"/>
      <c r="X91" s="1859"/>
      <c r="Y91" s="1859"/>
      <c r="Z91" s="1859"/>
      <c r="AA91" s="1859"/>
      <c r="AB91" s="1859"/>
      <c r="AC91" s="1859"/>
      <c r="AD91" s="1859"/>
      <c r="AE91" s="1859"/>
      <c r="AF91" s="1859"/>
      <c r="AG91" s="1859"/>
      <c r="AH91" s="1859"/>
      <c r="AI91" s="1859"/>
      <c r="AJ91" s="1859"/>
      <c r="AK91" s="1859"/>
    </row>
    <row r="92" spans="1:37">
      <c r="A92" s="149"/>
      <c r="C92" s="5"/>
      <c r="D92" s="149"/>
      <c r="E92" s="149"/>
      <c r="G92" s="1859"/>
      <c r="H92" s="1859"/>
      <c r="I92" s="1859"/>
      <c r="J92" s="1859"/>
      <c r="K92" s="1859"/>
      <c r="L92" s="1859"/>
      <c r="M92" s="1859"/>
      <c r="N92" s="1859"/>
      <c r="O92" s="1859"/>
      <c r="P92" s="1859"/>
      <c r="Q92" s="1859"/>
      <c r="R92" s="1859"/>
      <c r="S92" s="1859"/>
      <c r="T92" s="1859"/>
      <c r="U92" s="1859"/>
      <c r="V92" s="1859"/>
      <c r="W92" s="1859"/>
      <c r="X92" s="1859"/>
      <c r="Y92" s="1859"/>
      <c r="Z92" s="1859"/>
      <c r="AA92" s="1859"/>
      <c r="AB92" s="1859"/>
      <c r="AC92" s="1859"/>
      <c r="AD92" s="1859"/>
      <c r="AE92" s="1859"/>
      <c r="AF92" s="1859"/>
      <c r="AG92" s="1859"/>
      <c r="AH92" s="1859"/>
      <c r="AI92" s="1859"/>
      <c r="AJ92" s="1859"/>
      <c r="AK92" s="1859"/>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6" t="s">
        <v>1367</v>
      </c>
      <c r="H94" s="1856"/>
      <c r="I94" s="1856"/>
      <c r="J94" s="1856"/>
      <c r="K94" s="1856"/>
      <c r="L94" s="1856"/>
      <c r="M94" s="1856"/>
      <c r="N94" s="1856"/>
      <c r="O94" s="1856"/>
      <c r="P94" s="1856"/>
      <c r="Q94" s="1856"/>
      <c r="R94" s="1856"/>
      <c r="S94" s="1856"/>
      <c r="T94" s="1856"/>
      <c r="U94" s="1856"/>
      <c r="V94" s="1856"/>
      <c r="W94" s="1856"/>
      <c r="X94" s="1856"/>
      <c r="Y94" s="1856"/>
      <c r="Z94" s="1856"/>
      <c r="AA94" s="1856"/>
      <c r="AB94" s="1856"/>
      <c r="AC94" s="1856"/>
      <c r="AD94" s="1856"/>
      <c r="AE94" s="1856"/>
      <c r="AF94" s="1856"/>
      <c r="AG94" s="1856"/>
      <c r="AH94" s="1856"/>
      <c r="AI94" s="1856"/>
      <c r="AJ94" s="1856"/>
      <c r="AK94" s="1856"/>
    </row>
    <row r="95" spans="1:37">
      <c r="A95" s="149"/>
      <c r="C95" s="5"/>
      <c r="D95" s="149"/>
      <c r="E95" s="149"/>
      <c r="G95" s="1856"/>
      <c r="H95" s="1856"/>
      <c r="I95" s="1856"/>
      <c r="J95" s="1856"/>
      <c r="K95" s="1856"/>
      <c r="L95" s="1856"/>
      <c r="M95" s="1856"/>
      <c r="N95" s="1856"/>
      <c r="O95" s="1856"/>
      <c r="P95" s="1856"/>
      <c r="Q95" s="1856"/>
      <c r="R95" s="1856"/>
      <c r="S95" s="1856"/>
      <c r="T95" s="1856"/>
      <c r="U95" s="1856"/>
      <c r="V95" s="1856"/>
      <c r="W95" s="1856"/>
      <c r="X95" s="1856"/>
      <c r="Y95" s="1856"/>
      <c r="Z95" s="1856"/>
      <c r="AA95" s="1856"/>
      <c r="AB95" s="1856"/>
      <c r="AC95" s="1856"/>
      <c r="AD95" s="1856"/>
      <c r="AE95" s="1856"/>
      <c r="AF95" s="1856"/>
      <c r="AG95" s="1856"/>
      <c r="AH95" s="1856"/>
      <c r="AI95" s="1856"/>
      <c r="AJ95" s="1856"/>
      <c r="AK95" s="1856"/>
    </row>
    <row r="96" spans="1:37">
      <c r="A96" s="149"/>
      <c r="C96" s="5"/>
      <c r="D96" s="149"/>
      <c r="E96" s="149" t="s">
        <v>971</v>
      </c>
      <c r="F96" s="326" t="s">
        <v>972</v>
      </c>
      <c r="G96" s="326"/>
      <c r="L96" s="149"/>
      <c r="M96" s="149"/>
      <c r="P96" s="149"/>
      <c r="Q96" s="149"/>
      <c r="R96" s="149"/>
      <c r="S96" s="149"/>
      <c r="T96" s="149"/>
      <c r="U96" s="149"/>
      <c r="V96" s="149"/>
      <c r="W96" s="149"/>
      <c r="X96" s="149"/>
      <c r="Y96" s="149"/>
      <c r="Z96" s="149"/>
      <c r="AA96" s="149"/>
      <c r="AB96" s="149"/>
    </row>
    <row r="97" spans="1:38">
      <c r="A97" s="149"/>
      <c r="C97" s="5"/>
      <c r="D97" s="149"/>
      <c r="E97" s="149"/>
      <c r="G97" s="1856" t="s">
        <v>1368</v>
      </c>
      <c r="H97" s="1856"/>
      <c r="I97" s="1856"/>
      <c r="J97" s="1856"/>
      <c r="K97" s="1856"/>
      <c r="L97" s="1856"/>
      <c r="M97" s="1856"/>
      <c r="N97" s="1856"/>
      <c r="O97" s="1856"/>
      <c r="P97" s="1856"/>
      <c r="Q97" s="1856"/>
      <c r="R97" s="1856"/>
      <c r="S97" s="1856"/>
      <c r="T97" s="1856"/>
      <c r="U97" s="1856"/>
      <c r="V97" s="1856"/>
      <c r="W97" s="1856"/>
      <c r="X97" s="1856"/>
      <c r="Y97" s="1856"/>
      <c r="Z97" s="1856"/>
      <c r="AA97" s="1856"/>
      <c r="AB97" s="1856"/>
      <c r="AC97" s="1856"/>
      <c r="AD97" s="1856"/>
      <c r="AE97" s="1856"/>
      <c r="AF97" s="1856"/>
      <c r="AG97" s="1856"/>
      <c r="AH97" s="1856"/>
      <c r="AI97" s="1856"/>
      <c r="AJ97" s="1856"/>
      <c r="AK97" s="1856"/>
    </row>
    <row r="98" spans="1:38">
      <c r="A98" s="149"/>
      <c r="C98" s="183"/>
      <c r="D98" s="182"/>
      <c r="E98" s="182"/>
      <c r="F98" s="2"/>
      <c r="G98" s="1856"/>
      <c r="H98" s="1856"/>
      <c r="I98" s="1856"/>
      <c r="J98" s="1856"/>
      <c r="K98" s="1856"/>
      <c r="L98" s="1856"/>
      <c r="M98" s="1856"/>
      <c r="N98" s="1856"/>
      <c r="O98" s="1856"/>
      <c r="P98" s="1856"/>
      <c r="Q98" s="1856"/>
      <c r="R98" s="1856"/>
      <c r="S98" s="1856"/>
      <c r="T98" s="1856"/>
      <c r="U98" s="1856"/>
      <c r="V98" s="1856"/>
      <c r="W98" s="1856"/>
      <c r="X98" s="1856"/>
      <c r="Y98" s="1856"/>
      <c r="Z98" s="1856"/>
      <c r="AA98" s="1856"/>
      <c r="AB98" s="1856"/>
      <c r="AC98" s="1856"/>
      <c r="AD98" s="1856"/>
      <c r="AE98" s="1856"/>
      <c r="AF98" s="1856"/>
      <c r="AG98" s="1856"/>
      <c r="AH98" s="1856"/>
      <c r="AI98" s="1856"/>
      <c r="AJ98" s="1856"/>
      <c r="AK98" s="1856"/>
      <c r="AL98" s="2"/>
    </row>
    <row r="99" spans="1:38">
      <c r="A99" s="149"/>
      <c r="C99" s="183"/>
      <c r="D99" s="182"/>
      <c r="E99" s="182"/>
      <c r="F99" s="2"/>
      <c r="G99" s="1856"/>
      <c r="H99" s="1856"/>
      <c r="I99" s="1856"/>
      <c r="J99" s="1856"/>
      <c r="K99" s="1856"/>
      <c r="L99" s="1856"/>
      <c r="M99" s="1856"/>
      <c r="N99" s="1856"/>
      <c r="O99" s="1856"/>
      <c r="P99" s="1856"/>
      <c r="Q99" s="1856"/>
      <c r="R99" s="1856"/>
      <c r="S99" s="1856"/>
      <c r="T99" s="1856"/>
      <c r="U99" s="1856"/>
      <c r="V99" s="1856"/>
      <c r="W99" s="1856"/>
      <c r="X99" s="1856"/>
      <c r="Y99" s="1856"/>
      <c r="Z99" s="1856"/>
      <c r="AA99" s="1856"/>
      <c r="AB99" s="1856"/>
      <c r="AC99" s="1856"/>
      <c r="AD99" s="1856"/>
      <c r="AE99" s="1856"/>
      <c r="AF99" s="1856"/>
      <c r="AG99" s="1856"/>
      <c r="AH99" s="1856"/>
      <c r="AI99" s="1856"/>
      <c r="AJ99" s="1856"/>
      <c r="AK99" s="1856"/>
      <c r="AL99" s="2"/>
    </row>
    <row r="100" spans="1:38">
      <c r="A100" s="149"/>
      <c r="C100" s="2"/>
      <c r="D100" s="486"/>
      <c r="E100" s="1860" t="s">
        <v>1369</v>
      </c>
      <c r="F100" s="1860"/>
      <c r="G100" s="1860"/>
      <c r="H100" s="1860"/>
      <c r="I100" s="1860"/>
      <c r="J100" s="1860"/>
      <c r="K100" s="1860"/>
      <c r="L100" s="1860"/>
      <c r="M100" s="1860"/>
      <c r="N100" s="1860"/>
      <c r="O100" s="1860"/>
      <c r="P100" s="1860"/>
      <c r="Q100" s="1860"/>
      <c r="R100" s="1860"/>
      <c r="S100" s="1860"/>
      <c r="T100" s="1860"/>
      <c r="U100" s="1860"/>
      <c r="V100" s="1860"/>
      <c r="W100" s="1860"/>
      <c r="X100" s="1860"/>
      <c r="Y100" s="1860"/>
      <c r="Z100" s="1860"/>
      <c r="AA100" s="1860"/>
      <c r="AB100" s="1860"/>
      <c r="AC100" s="1860"/>
      <c r="AD100" s="1860"/>
      <c r="AE100" s="1860"/>
      <c r="AF100" s="1860"/>
      <c r="AG100" s="1860"/>
      <c r="AH100" s="1860"/>
      <c r="AI100" s="1860"/>
      <c r="AJ100" s="1860"/>
      <c r="AK100" s="1860"/>
      <c r="AL100" s="2"/>
    </row>
    <row r="101" spans="1:38">
      <c r="A101" s="149"/>
      <c r="D101" s="153"/>
      <c r="E101" s="1860"/>
      <c r="F101" s="1860"/>
      <c r="G101" s="1860"/>
      <c r="H101" s="1860"/>
      <c r="I101" s="1860"/>
      <c r="J101" s="1860"/>
      <c r="K101" s="1860"/>
      <c r="L101" s="1860"/>
      <c r="M101" s="1860"/>
      <c r="N101" s="1860"/>
      <c r="O101" s="1860"/>
      <c r="P101" s="1860"/>
      <c r="Q101" s="1860"/>
      <c r="R101" s="1860"/>
      <c r="S101" s="1860"/>
      <c r="T101" s="1860"/>
      <c r="U101" s="1860"/>
      <c r="V101" s="1860"/>
      <c r="W101" s="1860"/>
      <c r="X101" s="1860"/>
      <c r="Y101" s="1860"/>
      <c r="Z101" s="1860"/>
      <c r="AA101" s="1860"/>
      <c r="AB101" s="1860"/>
      <c r="AC101" s="1860"/>
      <c r="AD101" s="1860"/>
      <c r="AE101" s="1860"/>
      <c r="AF101" s="1860"/>
      <c r="AG101" s="1860"/>
      <c r="AH101" s="1860"/>
      <c r="AI101" s="1860"/>
      <c r="AJ101" s="1860"/>
      <c r="AK101" s="186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1387</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996</v>
      </c>
    </row>
    <row r="119" spans="1:38">
      <c r="F119" s="149" t="s">
        <v>1121</v>
      </c>
      <c r="G119" s="149"/>
    </row>
    <row r="120" spans="1:38">
      <c r="F120" s="153" t="s">
        <v>1386</v>
      </c>
      <c r="G120" s="153"/>
    </row>
    <row r="121" spans="1:38">
      <c r="G121" s="153"/>
    </row>
    <row r="122" spans="1:38">
      <c r="E122" s="149" t="s">
        <v>821</v>
      </c>
      <c r="F122" s="152" t="s">
        <v>396</v>
      </c>
    </row>
    <row r="123" spans="1:38">
      <c r="E123" s="149"/>
      <c r="F123" s="149" t="s">
        <v>1112</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997</v>
      </c>
      <c r="F127" s="149"/>
    </row>
    <row r="128" spans="1:38"/>
    <row r="129" spans="4:37">
      <c r="D129" s="5" t="s">
        <v>351</v>
      </c>
      <c r="E129" s="5" t="s">
        <v>612</v>
      </c>
    </row>
    <row r="130" spans="4:37">
      <c r="E130" s="149" t="s">
        <v>997</v>
      </c>
      <c r="F130" s="149"/>
    </row>
    <row r="131" spans="4:37"/>
    <row r="132" spans="4:37">
      <c r="D132" s="5" t="s">
        <v>609</v>
      </c>
      <c r="E132" s="5" t="s">
        <v>765</v>
      </c>
      <c r="G132" s="5"/>
      <c r="H132" s="5"/>
      <c r="I132" s="5"/>
      <c r="J132" s="5"/>
      <c r="K132" s="5"/>
      <c r="L132" s="5"/>
      <c r="M132" s="5"/>
      <c r="N132" s="5"/>
    </row>
    <row r="133" spans="4:37" s="712" customFormat="1">
      <c r="D133" s="5"/>
      <c r="E133" s="879" t="s">
        <v>1487</v>
      </c>
      <c r="G133" s="5"/>
      <c r="H133" s="5"/>
      <c r="I133" s="5"/>
      <c r="J133" s="5"/>
      <c r="K133" s="5"/>
      <c r="L133" s="5"/>
      <c r="M133" s="5"/>
      <c r="N133" s="5"/>
    </row>
    <row r="134" spans="4:37" ht="12.75" customHeight="1">
      <c r="E134" s="879" t="s">
        <v>1485</v>
      </c>
      <c r="F134" s="741"/>
      <c r="G134" s="741"/>
      <c r="H134" s="741"/>
      <c r="I134" s="741"/>
      <c r="J134" s="741"/>
      <c r="K134" s="741"/>
      <c r="L134" s="741"/>
      <c r="M134" s="741"/>
      <c r="N134" s="741"/>
      <c r="O134" s="741"/>
      <c r="P134" s="741"/>
      <c r="Q134" s="741"/>
      <c r="R134" s="741"/>
      <c r="S134" s="741"/>
      <c r="T134" s="741"/>
      <c r="U134" s="741"/>
      <c r="V134" s="741"/>
      <c r="W134" s="741"/>
      <c r="X134" s="741"/>
      <c r="Y134" s="741"/>
      <c r="Z134" s="741"/>
      <c r="AA134" s="741"/>
      <c r="AB134" s="741"/>
      <c r="AC134" s="741"/>
      <c r="AD134" s="741"/>
      <c r="AE134" s="741"/>
      <c r="AF134" s="741"/>
      <c r="AG134" s="741"/>
      <c r="AH134" s="741"/>
      <c r="AI134" s="741"/>
      <c r="AJ134" s="741"/>
      <c r="AK134" s="741"/>
    </row>
    <row r="135" spans="4:37" s="712" customFormat="1">
      <c r="E135" s="879" t="s">
        <v>1486</v>
      </c>
      <c r="F135" s="741"/>
      <c r="G135" s="741"/>
      <c r="H135" s="741"/>
      <c r="I135" s="741"/>
      <c r="J135" s="741"/>
      <c r="K135" s="741"/>
      <c r="L135" s="741"/>
      <c r="M135" s="741"/>
      <c r="N135" s="741"/>
      <c r="O135" s="741"/>
      <c r="P135" s="741"/>
      <c r="Q135" s="741"/>
      <c r="R135" s="741"/>
      <c r="S135" s="741"/>
      <c r="T135" s="741"/>
      <c r="U135" s="741"/>
      <c r="V135" s="741"/>
      <c r="W135" s="741"/>
      <c r="X135" s="741"/>
      <c r="Y135" s="741"/>
      <c r="Z135" s="741"/>
      <c r="AA135" s="741"/>
      <c r="AB135" s="741"/>
      <c r="AC135" s="741"/>
      <c r="AD135" s="741"/>
      <c r="AE135" s="741"/>
      <c r="AF135" s="741"/>
      <c r="AG135" s="741"/>
      <c r="AH135" s="741"/>
      <c r="AI135" s="741"/>
      <c r="AJ135" s="741"/>
      <c r="AK135" s="741"/>
    </row>
    <row r="136" spans="4:37">
      <c r="F136" s="149"/>
    </row>
    <row r="137" spans="4:37">
      <c r="D137" s="5" t="s">
        <v>547</v>
      </c>
      <c r="E137" s="5" t="s">
        <v>550</v>
      </c>
      <c r="F137" s="5"/>
    </row>
    <row r="138" spans="4:37">
      <c r="E138" s="878" t="s">
        <v>1421</v>
      </c>
      <c r="F138" s="149"/>
    </row>
    <row r="139" spans="4:37">
      <c r="F139" s="149"/>
    </row>
    <row r="140" spans="4:37">
      <c r="D140" s="5" t="s">
        <v>311</v>
      </c>
      <c r="E140" s="5" t="s">
        <v>976</v>
      </c>
      <c r="F140" s="5"/>
      <c r="G140" s="5"/>
      <c r="H140" s="5"/>
    </row>
    <row r="141" spans="4:37">
      <c r="E141" t="s">
        <v>117</v>
      </c>
      <c r="F141" t="s">
        <v>55</v>
      </c>
    </row>
    <row r="142" spans="4:37">
      <c r="E142" t="s">
        <v>118</v>
      </c>
      <c r="F142" t="s">
        <v>499</v>
      </c>
    </row>
    <row r="143" spans="4:37"/>
    <row r="144" spans="4:37">
      <c r="D144" s="5" t="s">
        <v>450</v>
      </c>
      <c r="E144" s="5" t="s">
        <v>999</v>
      </c>
    </row>
    <row r="145" spans="3:7">
      <c r="E145" s="326" t="s">
        <v>1000</v>
      </c>
      <c r="F145" s="326"/>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1001</v>
      </c>
      <c r="F152" s="149"/>
    </row>
    <row r="153" spans="3:7">
      <c r="D153" s="2"/>
      <c r="E153" s="2"/>
    </row>
    <row r="154" spans="3:7">
      <c r="D154" s="183" t="s">
        <v>609</v>
      </c>
      <c r="E154" s="183" t="s">
        <v>586</v>
      </c>
    </row>
    <row r="155" spans="3:7">
      <c r="D155" s="2"/>
      <c r="E155" s="149" t="s">
        <v>1002</v>
      </c>
    </row>
    <row r="156" spans="3:7">
      <c r="D156" s="2"/>
      <c r="E156" s="149" t="s">
        <v>998</v>
      </c>
      <c r="G156" s="149"/>
    </row>
    <row r="157" spans="3:7">
      <c r="D157" s="2"/>
      <c r="E157" s="2"/>
    </row>
    <row r="158" spans="3:7">
      <c r="D158" s="183" t="s">
        <v>547</v>
      </c>
      <c r="E158" s="50" t="s">
        <v>566</v>
      </c>
    </row>
    <row r="159" spans="3:7">
      <c r="D159" s="2"/>
      <c r="E159" s="2" t="s">
        <v>117</v>
      </c>
      <c r="F159" s="149" t="s">
        <v>1003</v>
      </c>
    </row>
    <row r="160" spans="3:7">
      <c r="D160" s="2"/>
      <c r="E160" s="182" t="s">
        <v>118</v>
      </c>
      <c r="F160" s="149" t="s">
        <v>1004</v>
      </c>
    </row>
    <row r="161" spans="3:20">
      <c r="D161" s="2"/>
      <c r="E161" s="182" t="s">
        <v>124</v>
      </c>
      <c r="F161" t="s">
        <v>766</v>
      </c>
    </row>
    <row r="162" spans="3:20">
      <c r="D162" s="2"/>
      <c r="E162" s="2"/>
    </row>
    <row r="163" spans="3:20">
      <c r="D163" s="183" t="s">
        <v>311</v>
      </c>
      <c r="E163" s="183" t="s">
        <v>399</v>
      </c>
    </row>
    <row r="164" spans="3:20">
      <c r="D164" s="2"/>
      <c r="E164" s="149" t="s">
        <v>1005</v>
      </c>
      <c r="F164" s="149"/>
    </row>
    <row r="165" spans="3:20">
      <c r="D165" s="2"/>
      <c r="E165" s="2"/>
    </row>
    <row r="166" spans="3:20">
      <c r="D166" s="183" t="s">
        <v>450</v>
      </c>
      <c r="E166" s="183" t="s">
        <v>177</v>
      </c>
    </row>
    <row r="167" spans="3:20">
      <c r="D167" s="2"/>
      <c r="E167" s="149" t="s">
        <v>1007</v>
      </c>
    </row>
    <row r="168" spans="3:20">
      <c r="D168" s="2"/>
      <c r="E168" s="149" t="s">
        <v>1006</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1008</v>
      </c>
    </row>
    <row r="180" spans="2:19">
      <c r="F180" s="184" t="s">
        <v>1338</v>
      </c>
      <c r="I180" s="184"/>
    </row>
    <row r="181" spans="2:19">
      <c r="I181" s="184"/>
    </row>
    <row r="182" spans="2:19">
      <c r="B182" s="149"/>
      <c r="C182" s="149"/>
      <c r="E182" t="s">
        <v>118</v>
      </c>
      <c r="F182" s="6" t="s">
        <v>929</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1113</v>
      </c>
    </row>
    <row r="186" spans="2:19">
      <c r="B186" s="149"/>
      <c r="C186" s="149"/>
      <c r="E186" s="149" t="s">
        <v>750</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1122</v>
      </c>
      <c r="G193" s="149"/>
      <c r="H193" s="149"/>
      <c r="I193" s="149"/>
    </row>
    <row r="194" spans="2:37">
      <c r="B194" s="149"/>
      <c r="C194" s="5"/>
      <c r="F194" s="149" t="s">
        <v>690</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1013</v>
      </c>
      <c r="M206" s="149"/>
      <c r="N206" s="149"/>
      <c r="O206" s="149"/>
      <c r="P206" s="149"/>
      <c r="Q206" s="149"/>
      <c r="R206" s="149"/>
      <c r="S206" s="149"/>
    </row>
    <row r="207" spans="2:37">
      <c r="B207" s="149"/>
      <c r="C207" s="149"/>
      <c r="D207" s="5"/>
      <c r="F207" t="s">
        <v>690</v>
      </c>
      <c r="G207" s="1856" t="s">
        <v>1370</v>
      </c>
      <c r="H207" s="1856"/>
      <c r="I207" s="1856"/>
      <c r="J207" s="1856"/>
      <c r="K207" s="1856"/>
      <c r="L207" s="1856"/>
      <c r="M207" s="1856"/>
      <c r="N207" s="1856"/>
      <c r="O207" s="1856"/>
      <c r="P207" s="1856"/>
      <c r="Q207" s="1856"/>
      <c r="R207" s="1856"/>
      <c r="S207" s="1856"/>
      <c r="T207" s="1856"/>
      <c r="U207" s="1856"/>
      <c r="V207" s="1856"/>
      <c r="W207" s="1856"/>
      <c r="X207" s="1856"/>
      <c r="Y207" s="1856"/>
      <c r="Z207" s="1856"/>
      <c r="AA207" s="1856"/>
      <c r="AB207" s="1856"/>
      <c r="AC207" s="1856"/>
      <c r="AD207" s="1856"/>
      <c r="AE207" s="1856"/>
      <c r="AF207" s="1856"/>
      <c r="AG207" s="1856"/>
      <c r="AH207" s="1856"/>
      <c r="AI207" s="1856"/>
      <c r="AJ207" s="1856"/>
      <c r="AK207" s="1856"/>
    </row>
    <row r="208" spans="2:37">
      <c r="B208" s="149"/>
      <c r="C208" s="149"/>
      <c r="D208" s="5"/>
      <c r="G208" s="1856"/>
      <c r="H208" s="1856"/>
      <c r="I208" s="1856"/>
      <c r="J208" s="1856"/>
      <c r="K208" s="1856"/>
      <c r="L208" s="1856"/>
      <c r="M208" s="1856"/>
      <c r="N208" s="1856"/>
      <c r="O208" s="1856"/>
      <c r="P208" s="1856"/>
      <c r="Q208" s="1856"/>
      <c r="R208" s="1856"/>
      <c r="S208" s="1856"/>
      <c r="T208" s="1856"/>
      <c r="U208" s="1856"/>
      <c r="V208" s="1856"/>
      <c r="W208" s="1856"/>
      <c r="X208" s="1856"/>
      <c r="Y208" s="1856"/>
      <c r="Z208" s="1856"/>
      <c r="AA208" s="1856"/>
      <c r="AB208" s="1856"/>
      <c r="AC208" s="1856"/>
      <c r="AD208" s="1856"/>
      <c r="AE208" s="1856"/>
      <c r="AF208" s="1856"/>
      <c r="AG208" s="1856"/>
      <c r="AH208" s="1856"/>
      <c r="AI208" s="1856"/>
      <c r="AJ208" s="1856"/>
      <c r="AK208" s="1856"/>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1017</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1018</v>
      </c>
      <c r="I243" s="149"/>
      <c r="M243" s="149"/>
      <c r="N243" s="149"/>
      <c r="O243" s="149"/>
      <c r="P243" s="149"/>
      <c r="Q243" s="149"/>
      <c r="R243" s="149"/>
      <c r="S243" s="149"/>
    </row>
    <row r="244" spans="2:21">
      <c r="B244" s="149"/>
      <c r="C244" s="149"/>
      <c r="F244" s="149" t="s">
        <v>358</v>
      </c>
      <c r="G244" s="203" t="s">
        <v>1019</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6" t="s">
        <v>690</v>
      </c>
      <c r="G255" s="326" t="s">
        <v>871</v>
      </c>
      <c r="I255" s="6"/>
      <c r="K255" s="155"/>
      <c r="L255" s="155"/>
      <c r="M255" s="155"/>
      <c r="N255" s="155"/>
      <c r="O255" s="155"/>
      <c r="P255" s="1"/>
      <c r="Q255" s="149"/>
      <c r="R255" s="149"/>
      <c r="S255" s="149"/>
      <c r="T255" s="149"/>
      <c r="U255" s="149"/>
    </row>
    <row r="256" spans="2:21">
      <c r="B256" s="5"/>
      <c r="C256" s="5"/>
      <c r="E256" s="149"/>
      <c r="F256" s="324"/>
      <c r="G256" s="326" t="s">
        <v>872</v>
      </c>
      <c r="I256" s="6"/>
      <c r="K256" s="155"/>
      <c r="L256" s="155"/>
      <c r="M256" s="155"/>
      <c r="N256" s="155"/>
      <c r="O256" s="155"/>
      <c r="P256" s="155"/>
    </row>
    <row r="257" spans="2:21">
      <c r="B257" s="5"/>
      <c r="C257" s="5"/>
      <c r="E257" s="149"/>
      <c r="F257" s="324" t="s">
        <v>358</v>
      </c>
      <c r="G257" s="326" t="s">
        <v>1020</v>
      </c>
      <c r="I257" s="149"/>
      <c r="K257" s="149"/>
      <c r="L257" s="149"/>
      <c r="M257" s="149"/>
      <c r="N257" s="149"/>
      <c r="O257" s="149"/>
      <c r="P257" s="155"/>
      <c r="Q257" s="1"/>
      <c r="R257" s="1"/>
      <c r="S257" s="1"/>
      <c r="T257" s="1"/>
      <c r="U257" s="1"/>
    </row>
    <row r="258" spans="2:21">
      <c r="B258" s="5"/>
      <c r="C258" s="5"/>
      <c r="E258" s="149"/>
      <c r="F258" s="324"/>
      <c r="G258" s="326"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6"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2"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1025</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56" t="s">
        <v>1345</v>
      </c>
      <c r="G338" s="1856"/>
      <c r="H338" s="1856"/>
      <c r="I338" s="1856"/>
      <c r="J338" s="1856"/>
      <c r="K338" s="1856"/>
      <c r="L338" s="1856"/>
      <c r="M338" s="1856"/>
      <c r="N338" s="1856"/>
      <c r="O338" s="1856"/>
      <c r="P338" s="1856"/>
      <c r="Q338" s="1856"/>
      <c r="R338" s="1856"/>
      <c r="S338" s="1856"/>
      <c r="T338" s="1856"/>
      <c r="U338" s="1856"/>
      <c r="V338" s="1856"/>
      <c r="W338" s="1856"/>
      <c r="X338" s="1856"/>
      <c r="Y338" s="1856"/>
      <c r="Z338" s="1856"/>
      <c r="AA338" s="1856"/>
      <c r="AB338" s="1856"/>
      <c r="AC338" s="1856"/>
      <c r="AD338" s="1856"/>
      <c r="AE338" s="1856"/>
      <c r="AF338" s="1856"/>
      <c r="AG338" s="1856"/>
      <c r="AH338" s="1856"/>
      <c r="AI338" s="1856"/>
      <c r="AJ338" s="1856"/>
      <c r="AK338" s="1856"/>
    </row>
    <row r="339" spans="2:37">
      <c r="B339" s="5"/>
      <c r="E339" s="149"/>
      <c r="F339" s="1856"/>
      <c r="G339" s="1856"/>
      <c r="H339" s="1856"/>
      <c r="I339" s="1856"/>
      <c r="J339" s="1856"/>
      <c r="K339" s="1856"/>
      <c r="L339" s="1856"/>
      <c r="M339" s="1856"/>
      <c r="N339" s="1856"/>
      <c r="O339" s="1856"/>
      <c r="P339" s="1856"/>
      <c r="Q339" s="1856"/>
      <c r="R339" s="1856"/>
      <c r="S339" s="1856"/>
      <c r="T339" s="1856"/>
      <c r="U339" s="1856"/>
      <c r="V339" s="1856"/>
      <c r="W339" s="1856"/>
      <c r="X339" s="1856"/>
      <c r="Y339" s="1856"/>
      <c r="Z339" s="1856"/>
      <c r="AA339" s="1856"/>
      <c r="AB339" s="1856"/>
      <c r="AC339" s="1856"/>
      <c r="AD339" s="1856"/>
      <c r="AE339" s="1856"/>
      <c r="AF339" s="1856"/>
      <c r="AG339" s="1856"/>
      <c r="AH339" s="1856"/>
      <c r="AI339" s="1856"/>
      <c r="AJ339" s="1856"/>
      <c r="AK339" s="1856"/>
    </row>
    <row r="340" spans="2:37">
      <c r="B340" s="5"/>
      <c r="E340" s="149"/>
      <c r="F340" s="1856"/>
      <c r="G340" s="1856"/>
      <c r="H340" s="1856"/>
      <c r="I340" s="1856"/>
      <c r="J340" s="1856"/>
      <c r="K340" s="1856"/>
      <c r="L340" s="1856"/>
      <c r="M340" s="1856"/>
      <c r="N340" s="1856"/>
      <c r="O340" s="1856"/>
      <c r="P340" s="1856"/>
      <c r="Q340" s="1856"/>
      <c r="R340" s="1856"/>
      <c r="S340" s="1856"/>
      <c r="T340" s="1856"/>
      <c r="U340" s="1856"/>
      <c r="V340" s="1856"/>
      <c r="W340" s="1856"/>
      <c r="X340" s="1856"/>
      <c r="Y340" s="1856"/>
      <c r="Z340" s="1856"/>
      <c r="AA340" s="1856"/>
      <c r="AB340" s="1856"/>
      <c r="AC340" s="1856"/>
      <c r="AD340" s="1856"/>
      <c r="AE340" s="1856"/>
      <c r="AF340" s="1856"/>
      <c r="AG340" s="1856"/>
      <c r="AH340" s="1856"/>
      <c r="AI340" s="1856"/>
      <c r="AJ340" s="1856"/>
      <c r="AK340" s="1856"/>
    </row>
    <row r="341" spans="2:37">
      <c r="B341" s="5"/>
      <c r="F341" s="149"/>
      <c r="H341" s="149"/>
      <c r="I341" s="149"/>
      <c r="J341" s="149"/>
      <c r="K341" s="149"/>
      <c r="L341" s="149"/>
      <c r="M341" s="149"/>
      <c r="N341" s="149"/>
      <c r="O341" s="149"/>
      <c r="P341" s="149"/>
      <c r="Q341" s="149"/>
      <c r="R341" s="149"/>
      <c r="S341" s="149"/>
    </row>
    <row r="342" spans="2:37" s="712" customFormat="1">
      <c r="B342" s="5"/>
      <c r="C342" s="183" t="s">
        <v>452</v>
      </c>
      <c r="G342" s="195" t="s">
        <v>1441</v>
      </c>
      <c r="I342" s="183"/>
      <c r="J342" s="149"/>
      <c r="K342" s="149"/>
      <c r="L342" s="149"/>
      <c r="M342" s="149"/>
      <c r="N342" s="149"/>
      <c r="O342" s="149"/>
      <c r="P342" s="149"/>
      <c r="Q342" s="149"/>
      <c r="R342" s="149"/>
      <c r="S342" s="149"/>
    </row>
    <row r="343" spans="2:37" s="712" customFormat="1" ht="13.2" customHeight="1">
      <c r="B343" s="5"/>
      <c r="E343" s="1861" t="s">
        <v>1448</v>
      </c>
      <c r="F343" s="1861"/>
      <c r="G343" s="1861"/>
      <c r="H343" s="1861"/>
      <c r="I343" s="1861"/>
      <c r="J343" s="1861"/>
      <c r="K343" s="1861"/>
      <c r="L343" s="1861"/>
      <c r="M343" s="1861"/>
      <c r="N343" s="1861"/>
      <c r="O343" s="1861"/>
      <c r="P343" s="1861"/>
      <c r="Q343" s="1861"/>
      <c r="R343" s="1861"/>
      <c r="S343" s="1861"/>
      <c r="T343" s="1861"/>
      <c r="U343" s="1861"/>
      <c r="V343" s="1861"/>
      <c r="W343" s="1861"/>
      <c r="X343" s="1861"/>
      <c r="Y343" s="1861"/>
      <c r="Z343" s="1861"/>
      <c r="AA343" s="1861"/>
      <c r="AB343" s="1861"/>
      <c r="AC343" s="1861"/>
      <c r="AD343" s="1861"/>
      <c r="AE343" s="1861"/>
      <c r="AF343" s="1861"/>
      <c r="AG343" s="1861"/>
      <c r="AH343" s="1861"/>
      <c r="AI343" s="1861"/>
      <c r="AJ343" s="1861"/>
      <c r="AK343" s="1861"/>
    </row>
    <row r="344" spans="2:37" s="712" customFormat="1">
      <c r="B344" s="5"/>
      <c r="E344" s="1861"/>
      <c r="F344" s="1861"/>
      <c r="G344" s="1861"/>
      <c r="H344" s="1861"/>
      <c r="I344" s="1861"/>
      <c r="J344" s="1861"/>
      <c r="K344" s="1861"/>
      <c r="L344" s="1861"/>
      <c r="M344" s="1861"/>
      <c r="N344" s="1861"/>
      <c r="O344" s="1861"/>
      <c r="P344" s="1861"/>
      <c r="Q344" s="1861"/>
      <c r="R344" s="1861"/>
      <c r="S344" s="1861"/>
      <c r="T344" s="1861"/>
      <c r="U344" s="1861"/>
      <c r="V344" s="1861"/>
      <c r="W344" s="1861"/>
      <c r="X344" s="1861"/>
      <c r="Y344" s="1861"/>
      <c r="Z344" s="1861"/>
      <c r="AA344" s="1861"/>
      <c r="AB344" s="1861"/>
      <c r="AC344" s="1861"/>
      <c r="AD344" s="1861"/>
      <c r="AE344" s="1861"/>
      <c r="AF344" s="1861"/>
      <c r="AG344" s="1861"/>
      <c r="AH344" s="1861"/>
      <c r="AI344" s="1861"/>
      <c r="AJ344" s="1861"/>
      <c r="AK344" s="1861"/>
    </row>
    <row r="345" spans="2:37" s="712" customFormat="1">
      <c r="B345" s="5"/>
      <c r="E345" s="1861"/>
      <c r="F345" s="1861"/>
      <c r="G345" s="1861"/>
      <c r="H345" s="1861"/>
      <c r="I345" s="1861"/>
      <c r="J345" s="1861"/>
      <c r="K345" s="1861"/>
      <c r="L345" s="1861"/>
      <c r="M345" s="1861"/>
      <c r="N345" s="1861"/>
      <c r="O345" s="1861"/>
      <c r="P345" s="1861"/>
      <c r="Q345" s="1861"/>
      <c r="R345" s="1861"/>
      <c r="S345" s="1861"/>
      <c r="T345" s="1861"/>
      <c r="U345" s="1861"/>
      <c r="V345" s="1861"/>
      <c r="W345" s="1861"/>
      <c r="X345" s="1861"/>
      <c r="Y345" s="1861"/>
      <c r="Z345" s="1861"/>
      <c r="AA345" s="1861"/>
      <c r="AB345" s="1861"/>
      <c r="AC345" s="1861"/>
      <c r="AD345" s="1861"/>
      <c r="AE345" s="1861"/>
      <c r="AF345" s="1861"/>
      <c r="AG345" s="1861"/>
      <c r="AH345" s="1861"/>
      <c r="AI345" s="1861"/>
      <c r="AJ345" s="1861"/>
      <c r="AK345" s="1861"/>
    </row>
    <row r="346" spans="2:37" s="712" customFormat="1">
      <c r="B346" s="5"/>
      <c r="E346" s="1861"/>
      <c r="F346" s="1861"/>
      <c r="G346" s="1861"/>
      <c r="H346" s="1861"/>
      <c r="I346" s="1861"/>
      <c r="J346" s="1861"/>
      <c r="K346" s="1861"/>
      <c r="L346" s="1861"/>
      <c r="M346" s="1861"/>
      <c r="N346" s="1861"/>
      <c r="O346" s="1861"/>
      <c r="P346" s="1861"/>
      <c r="Q346" s="1861"/>
      <c r="R346" s="1861"/>
      <c r="S346" s="1861"/>
      <c r="T346" s="1861"/>
      <c r="U346" s="1861"/>
      <c r="V346" s="1861"/>
      <c r="W346" s="1861"/>
      <c r="X346" s="1861"/>
      <c r="Y346" s="1861"/>
      <c r="Z346" s="1861"/>
      <c r="AA346" s="1861"/>
      <c r="AB346" s="1861"/>
      <c r="AC346" s="1861"/>
      <c r="AD346" s="1861"/>
      <c r="AE346" s="1861"/>
      <c r="AF346" s="1861"/>
      <c r="AG346" s="1861"/>
      <c r="AH346" s="1861"/>
      <c r="AI346" s="1861"/>
      <c r="AJ346" s="1861"/>
      <c r="AK346" s="1861"/>
    </row>
    <row r="347" spans="2:37" s="712" customFormat="1">
      <c r="B347" s="5"/>
      <c r="E347" s="1861"/>
      <c r="F347" s="1861"/>
      <c r="G347" s="1861"/>
      <c r="H347" s="1861"/>
      <c r="I347" s="1861"/>
      <c r="J347" s="1861"/>
      <c r="K347" s="1861"/>
      <c r="L347" s="1861"/>
      <c r="M347" s="1861"/>
      <c r="N347" s="1861"/>
      <c r="O347" s="1861"/>
      <c r="P347" s="1861"/>
      <c r="Q347" s="1861"/>
      <c r="R347" s="1861"/>
      <c r="S347" s="1861"/>
      <c r="T347" s="1861"/>
      <c r="U347" s="1861"/>
      <c r="V347" s="1861"/>
      <c r="W347" s="1861"/>
      <c r="X347" s="1861"/>
      <c r="Y347" s="1861"/>
      <c r="Z347" s="1861"/>
      <c r="AA347" s="1861"/>
      <c r="AB347" s="1861"/>
      <c r="AC347" s="1861"/>
      <c r="AD347" s="1861"/>
      <c r="AE347" s="1861"/>
      <c r="AF347" s="1861"/>
      <c r="AG347" s="1861"/>
      <c r="AH347" s="1861"/>
      <c r="AI347" s="1861"/>
      <c r="AJ347" s="1861"/>
      <c r="AK347" s="1861"/>
    </row>
    <row r="348" spans="2:37" s="712" customFormat="1">
      <c r="B348" s="5"/>
      <c r="E348" s="6" t="s">
        <v>117</v>
      </c>
      <c r="F348" s="1856" t="s">
        <v>1450</v>
      </c>
      <c r="G348" s="1856"/>
      <c r="H348" s="1856"/>
      <c r="I348" s="1856"/>
      <c r="J348" s="1856"/>
      <c r="K348" s="1856"/>
      <c r="L348" s="1856"/>
      <c r="M348" s="1856"/>
      <c r="N348" s="1856"/>
      <c r="O348" s="1856"/>
      <c r="P348" s="1856"/>
      <c r="Q348" s="1856"/>
      <c r="R348" s="1856"/>
      <c r="S348" s="1856"/>
      <c r="T348" s="1856"/>
      <c r="U348" s="1856"/>
      <c r="V348" s="1856"/>
      <c r="W348" s="1856"/>
      <c r="X348" s="1856"/>
      <c r="Y348" s="1856"/>
      <c r="Z348" s="1856"/>
      <c r="AA348" s="1856"/>
      <c r="AB348" s="1856"/>
      <c r="AC348" s="1856"/>
      <c r="AD348" s="1856"/>
      <c r="AE348" s="1856"/>
      <c r="AF348" s="1856"/>
      <c r="AG348" s="1856"/>
      <c r="AH348" s="1856"/>
      <c r="AI348" s="1856"/>
      <c r="AJ348" s="1856"/>
      <c r="AK348" s="1856"/>
    </row>
    <row r="349" spans="2:37" s="712" customFormat="1">
      <c r="B349" s="5"/>
      <c r="E349" s="6"/>
      <c r="F349" s="1856"/>
      <c r="G349" s="1856"/>
      <c r="H349" s="1856"/>
      <c r="I349" s="1856"/>
      <c r="J349" s="1856"/>
      <c r="K349" s="1856"/>
      <c r="L349" s="1856"/>
      <c r="M349" s="1856"/>
      <c r="N349" s="1856"/>
      <c r="O349" s="1856"/>
      <c r="P349" s="1856"/>
      <c r="Q349" s="1856"/>
      <c r="R349" s="1856"/>
      <c r="S349" s="1856"/>
      <c r="T349" s="1856"/>
      <c r="U349" s="1856"/>
      <c r="V349" s="1856"/>
      <c r="W349" s="1856"/>
      <c r="X349" s="1856"/>
      <c r="Y349" s="1856"/>
      <c r="Z349" s="1856"/>
      <c r="AA349" s="1856"/>
      <c r="AB349" s="1856"/>
      <c r="AC349" s="1856"/>
      <c r="AD349" s="1856"/>
      <c r="AE349" s="1856"/>
      <c r="AF349" s="1856"/>
      <c r="AG349" s="1856"/>
      <c r="AH349" s="1856"/>
      <c r="AI349" s="1856"/>
      <c r="AJ349" s="1856"/>
      <c r="AK349" s="1856"/>
    </row>
    <row r="350" spans="2:37" s="712" customFormat="1">
      <c r="B350" s="5"/>
      <c r="E350" s="6"/>
      <c r="F350" s="1856"/>
      <c r="G350" s="1856"/>
      <c r="H350" s="1856"/>
      <c r="I350" s="1856"/>
      <c r="J350" s="1856"/>
      <c r="K350" s="1856"/>
      <c r="L350" s="1856"/>
      <c r="M350" s="1856"/>
      <c r="N350" s="1856"/>
      <c r="O350" s="1856"/>
      <c r="P350" s="1856"/>
      <c r="Q350" s="1856"/>
      <c r="R350" s="1856"/>
      <c r="S350" s="1856"/>
      <c r="T350" s="1856"/>
      <c r="U350" s="1856"/>
      <c r="V350" s="1856"/>
      <c r="W350" s="1856"/>
      <c r="X350" s="1856"/>
      <c r="Y350" s="1856"/>
      <c r="Z350" s="1856"/>
      <c r="AA350" s="1856"/>
      <c r="AB350" s="1856"/>
      <c r="AC350" s="1856"/>
      <c r="AD350" s="1856"/>
      <c r="AE350" s="1856"/>
      <c r="AF350" s="1856"/>
      <c r="AG350" s="1856"/>
      <c r="AH350" s="1856"/>
      <c r="AI350" s="1856"/>
      <c r="AJ350" s="1856"/>
      <c r="AK350" s="1856"/>
    </row>
    <row r="351" spans="2:37" s="712" customFormat="1">
      <c r="B351" s="5"/>
      <c r="E351" s="6"/>
      <c r="F351" s="1856"/>
      <c r="G351" s="1856"/>
      <c r="H351" s="1856"/>
      <c r="I351" s="1856"/>
      <c r="J351" s="1856"/>
      <c r="K351" s="1856"/>
      <c r="L351" s="1856"/>
      <c r="M351" s="1856"/>
      <c r="N351" s="1856"/>
      <c r="O351" s="1856"/>
      <c r="P351" s="1856"/>
      <c r="Q351" s="1856"/>
      <c r="R351" s="1856"/>
      <c r="S351" s="1856"/>
      <c r="T351" s="1856"/>
      <c r="U351" s="1856"/>
      <c r="V351" s="1856"/>
      <c r="W351" s="1856"/>
      <c r="X351" s="1856"/>
      <c r="Y351" s="1856"/>
      <c r="Z351" s="1856"/>
      <c r="AA351" s="1856"/>
      <c r="AB351" s="1856"/>
      <c r="AC351" s="1856"/>
      <c r="AD351" s="1856"/>
      <c r="AE351" s="1856"/>
      <c r="AF351" s="1856"/>
      <c r="AG351" s="1856"/>
      <c r="AH351" s="1856"/>
      <c r="AI351" s="1856"/>
      <c r="AJ351" s="1856"/>
      <c r="AK351" s="1856"/>
    </row>
    <row r="352" spans="2:37" s="712" customFormat="1">
      <c r="B352" s="5"/>
      <c r="E352" s="6" t="s">
        <v>118</v>
      </c>
      <c r="F352" s="1856" t="s">
        <v>1449</v>
      </c>
      <c r="G352" s="1856"/>
      <c r="H352" s="1856"/>
      <c r="I352" s="1856"/>
      <c r="J352" s="1856"/>
      <c r="K352" s="1856"/>
      <c r="L352" s="1856"/>
      <c r="M352" s="1856"/>
      <c r="N352" s="1856"/>
      <c r="O352" s="1856"/>
      <c r="P352" s="1856"/>
      <c r="Q352" s="1856"/>
      <c r="R352" s="1856"/>
      <c r="S352" s="1856"/>
      <c r="T352" s="1856"/>
      <c r="U352" s="1856"/>
      <c r="V352" s="1856"/>
      <c r="W352" s="1856"/>
      <c r="X352" s="1856"/>
      <c r="Y352" s="1856"/>
      <c r="Z352" s="1856"/>
      <c r="AA352" s="1856"/>
      <c r="AB352" s="1856"/>
      <c r="AC352" s="1856"/>
      <c r="AD352" s="1856"/>
      <c r="AE352" s="1856"/>
      <c r="AF352" s="1856"/>
      <c r="AG352" s="1856"/>
      <c r="AH352" s="1856"/>
      <c r="AI352" s="1856"/>
      <c r="AJ352" s="1856"/>
      <c r="AK352" s="1856"/>
    </row>
    <row r="353" spans="1:38" s="712" customFormat="1">
      <c r="B353" s="5"/>
      <c r="F353" s="1856"/>
      <c r="G353" s="1856"/>
      <c r="H353" s="1856"/>
      <c r="I353" s="1856"/>
      <c r="J353" s="1856"/>
      <c r="K353" s="1856"/>
      <c r="L353" s="1856"/>
      <c r="M353" s="1856"/>
      <c r="N353" s="1856"/>
      <c r="O353" s="1856"/>
      <c r="P353" s="1856"/>
      <c r="Q353" s="1856"/>
      <c r="R353" s="1856"/>
      <c r="S353" s="1856"/>
      <c r="T353" s="1856"/>
      <c r="U353" s="1856"/>
      <c r="V353" s="1856"/>
      <c r="W353" s="1856"/>
      <c r="X353" s="1856"/>
      <c r="Y353" s="1856"/>
      <c r="Z353" s="1856"/>
      <c r="AA353" s="1856"/>
      <c r="AB353" s="1856"/>
      <c r="AC353" s="1856"/>
      <c r="AD353" s="1856"/>
      <c r="AE353" s="1856"/>
      <c r="AF353" s="1856"/>
      <c r="AG353" s="1856"/>
      <c r="AH353" s="1856"/>
      <c r="AI353" s="1856"/>
      <c r="AJ353" s="1856"/>
      <c r="AK353" s="1856"/>
    </row>
    <row r="354" spans="1:38" s="712" customFormat="1">
      <c r="B354" s="5"/>
      <c r="F354" s="1856"/>
      <c r="G354" s="1856"/>
      <c r="H354" s="1856"/>
      <c r="I354" s="1856"/>
      <c r="J354" s="1856"/>
      <c r="K354" s="1856"/>
      <c r="L354" s="1856"/>
      <c r="M354" s="1856"/>
      <c r="N354" s="1856"/>
      <c r="O354" s="1856"/>
      <c r="P354" s="1856"/>
      <c r="Q354" s="1856"/>
      <c r="R354" s="1856"/>
      <c r="S354" s="1856"/>
      <c r="T354" s="1856"/>
      <c r="U354" s="1856"/>
      <c r="V354" s="1856"/>
      <c r="W354" s="1856"/>
      <c r="X354" s="1856"/>
      <c r="Y354" s="1856"/>
      <c r="Z354" s="1856"/>
      <c r="AA354" s="1856"/>
      <c r="AB354" s="1856"/>
      <c r="AC354" s="1856"/>
      <c r="AD354" s="1856"/>
      <c r="AE354" s="1856"/>
      <c r="AF354" s="1856"/>
      <c r="AG354" s="1856"/>
      <c r="AH354" s="1856"/>
      <c r="AI354" s="1856"/>
      <c r="AJ354" s="1856"/>
      <c r="AK354" s="1856"/>
    </row>
    <row r="355" spans="1:38" s="712"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2" customFormat="1">
      <c r="A357" s="1"/>
      <c r="B357" s="194"/>
      <c r="D357" s="858"/>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2" customFormat="1" ht="13.2" customHeight="1">
      <c r="B358" s="5"/>
      <c r="C358" s="17" t="s">
        <v>1427</v>
      </c>
      <c r="D358" s="8"/>
      <c r="E358" s="8"/>
      <c r="F358" s="8"/>
      <c r="G358" s="8"/>
      <c r="H358" s="8"/>
      <c r="I358" s="737"/>
      <c r="J358" s="737"/>
      <c r="K358" s="737"/>
      <c r="L358" s="737"/>
      <c r="M358" s="737"/>
      <c r="N358" s="737"/>
      <c r="O358" s="737"/>
      <c r="P358" s="737"/>
      <c r="Q358" s="737"/>
      <c r="R358" s="737"/>
      <c r="S358" s="737"/>
      <c r="T358" s="737"/>
      <c r="U358" s="737"/>
      <c r="V358" s="737"/>
      <c r="W358" s="737"/>
      <c r="X358" s="737"/>
      <c r="Y358" s="737"/>
      <c r="Z358" s="737"/>
      <c r="AA358" s="737"/>
      <c r="AB358" s="737"/>
      <c r="AC358" s="737"/>
      <c r="AD358" s="737"/>
      <c r="AE358" s="737"/>
      <c r="AF358" s="737"/>
      <c r="AG358" s="737"/>
      <c r="AH358" s="737"/>
      <c r="AI358" s="737"/>
      <c r="AJ358" s="737"/>
      <c r="AK358" s="737"/>
    </row>
    <row r="359" spans="1:38" s="712" customFormat="1" ht="13.2" customHeight="1">
      <c r="B359" s="5"/>
      <c r="C359" s="5"/>
      <c r="E359" s="852"/>
      <c r="F359" s="852"/>
      <c r="G359" s="852"/>
      <c r="H359" s="852"/>
      <c r="I359" s="852"/>
      <c r="J359" s="852"/>
      <c r="K359" s="852"/>
      <c r="L359" s="852"/>
      <c r="M359" s="852"/>
      <c r="N359" s="852"/>
      <c r="O359" s="852"/>
      <c r="P359" s="852"/>
      <c r="Q359" s="852"/>
      <c r="R359" s="852"/>
      <c r="S359" s="852"/>
      <c r="T359" s="852"/>
      <c r="U359" s="852"/>
      <c r="V359" s="852"/>
      <c r="W359" s="852"/>
      <c r="X359" s="852"/>
      <c r="Y359" s="852"/>
      <c r="Z359" s="852"/>
      <c r="AA359" s="852"/>
      <c r="AB359" s="852"/>
      <c r="AC359" s="852"/>
      <c r="AD359" s="852"/>
      <c r="AE359" s="852"/>
      <c r="AF359" s="852"/>
      <c r="AG359" s="852"/>
      <c r="AH359" s="852"/>
      <c r="AI359" s="852"/>
      <c r="AJ359" s="852"/>
      <c r="AK359" s="852"/>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2" customFormat="1">
      <c r="B367" s="5"/>
      <c r="E367" s="1865" t="s">
        <v>1439</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2"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1488</v>
      </c>
    </row>
    <row r="370" spans="1:38" s="1867" customFormat="1">
      <c r="A370" s="672"/>
      <c r="B370" s="183"/>
      <c r="C370" s="183"/>
      <c r="D370" s="672"/>
    </row>
    <row r="371" spans="1:38" s="712" customFormat="1">
      <c r="A371" s="672"/>
      <c r="B371" s="183"/>
      <c r="C371" s="672"/>
      <c r="D371" s="672"/>
      <c r="E371" s="182"/>
      <c r="F371" s="859"/>
      <c r="G371" s="859"/>
      <c r="H371" s="859"/>
      <c r="I371" s="859"/>
      <c r="J371" s="859"/>
      <c r="K371" s="859"/>
      <c r="L371" s="859"/>
      <c r="M371" s="859"/>
      <c r="N371" s="859"/>
      <c r="O371" s="859"/>
      <c r="P371" s="859"/>
      <c r="Q371" s="859"/>
      <c r="R371" s="859"/>
      <c r="S371" s="859"/>
      <c r="T371" s="859"/>
      <c r="U371" s="859"/>
      <c r="V371" s="859"/>
      <c r="W371" s="859"/>
      <c r="X371" s="859"/>
      <c r="Y371" s="859"/>
      <c r="Z371" s="859"/>
      <c r="AA371" s="859"/>
      <c r="AB371" s="859"/>
      <c r="AC371" s="859"/>
      <c r="AD371" s="859"/>
      <c r="AE371" s="859"/>
      <c r="AF371" s="859"/>
      <c r="AG371" s="859"/>
      <c r="AH371" s="859"/>
      <c r="AI371" s="859"/>
      <c r="AJ371" s="859"/>
      <c r="AK371" s="859"/>
      <c r="AL371" s="672"/>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2" customFormat="1">
      <c r="A380" s="672"/>
      <c r="B380" s="183"/>
      <c r="C380" s="672"/>
      <c r="D380" s="672"/>
      <c r="E380" s="182"/>
      <c r="F380" s="182"/>
      <c r="G380" s="182"/>
      <c r="H380" s="672"/>
      <c r="I380" s="248"/>
      <c r="J380" s="182"/>
      <c r="K380" s="182"/>
      <c r="L380" s="182"/>
      <c r="M380" s="182"/>
      <c r="N380" s="182"/>
      <c r="O380" s="182"/>
      <c r="P380" s="182"/>
      <c r="Q380" s="182"/>
      <c r="R380" s="182"/>
      <c r="S380" s="182"/>
      <c r="T380" s="672"/>
      <c r="U380" s="672"/>
      <c r="V380" s="672"/>
      <c r="W380" s="672"/>
      <c r="X380" s="672"/>
      <c r="Y380" s="672"/>
      <c r="Z380" s="672"/>
      <c r="AA380" s="672"/>
      <c r="AB380" s="672"/>
      <c r="AC380" s="672"/>
      <c r="AD380" s="672"/>
      <c r="AE380" s="672"/>
      <c r="AF380" s="672"/>
      <c r="AG380" s="672"/>
      <c r="AH380" s="672"/>
      <c r="AI380" s="672"/>
      <c r="AJ380" s="672"/>
      <c r="AK380" s="672"/>
      <c r="AL380" s="672"/>
    </row>
    <row r="381" spans="1:38" s="672" customFormat="1">
      <c r="A381" s="712"/>
      <c r="B381" s="5"/>
      <c r="C381" s="712"/>
      <c r="D381" s="5" t="s">
        <v>547</v>
      </c>
      <c r="E381" s="5" t="s">
        <v>1489</v>
      </c>
      <c r="F381" s="712"/>
      <c r="G381" s="712"/>
      <c r="H381" s="712"/>
      <c r="I381" s="712"/>
      <c r="J381" s="6"/>
      <c r="K381" s="6"/>
      <c r="L381" s="6"/>
      <c r="M381" s="6"/>
      <c r="N381" s="6"/>
      <c r="O381" s="6"/>
      <c r="P381" s="6"/>
      <c r="Q381" s="6"/>
      <c r="R381" s="6"/>
      <c r="S381" s="6"/>
      <c r="T381" s="712"/>
      <c r="U381" s="712"/>
      <c r="V381" s="712"/>
      <c r="W381" s="712"/>
      <c r="X381" s="712"/>
      <c r="Y381" s="712"/>
      <c r="Z381" s="712"/>
      <c r="AA381" s="712"/>
      <c r="AB381" s="712"/>
      <c r="AC381" s="712"/>
      <c r="AD381" s="712"/>
      <c r="AE381" s="712"/>
      <c r="AF381" s="712"/>
      <c r="AG381" s="712"/>
      <c r="AH381" s="712"/>
      <c r="AI381" s="712"/>
      <c r="AJ381" s="712"/>
      <c r="AK381" s="712"/>
      <c r="AL381" s="712"/>
    </row>
    <row r="382" spans="1:38" s="672" customFormat="1">
      <c r="A382" s="712"/>
      <c r="B382" s="5"/>
      <c r="C382" s="712"/>
      <c r="D382" s="5"/>
      <c r="E382" s="6" t="s">
        <v>788</v>
      </c>
      <c r="F382" s="6"/>
      <c r="G382" s="6"/>
      <c r="H382" s="712"/>
      <c r="I382" s="712"/>
      <c r="J382" s="6"/>
      <c r="K382" s="6"/>
      <c r="L382" s="6"/>
      <c r="M382" s="6"/>
      <c r="N382" s="6"/>
      <c r="O382" s="6"/>
      <c r="P382" s="6"/>
      <c r="Q382" s="6"/>
      <c r="R382" s="6"/>
      <c r="S382" s="6"/>
      <c r="T382" s="712"/>
      <c r="U382" s="712"/>
      <c r="V382" s="712"/>
      <c r="W382" s="712"/>
      <c r="X382" s="712"/>
      <c r="Y382" s="712"/>
      <c r="Z382" s="712"/>
      <c r="AA382" s="712"/>
      <c r="AB382" s="712"/>
      <c r="AC382" s="712"/>
      <c r="AD382" s="712"/>
      <c r="AE382" s="712"/>
      <c r="AF382" s="712"/>
      <c r="AG382" s="712"/>
      <c r="AH382" s="712"/>
      <c r="AI382" s="712"/>
      <c r="AJ382" s="712"/>
      <c r="AK382" s="712"/>
      <c r="AL382" s="712"/>
    </row>
    <row r="383" spans="1:38" s="672" customFormat="1">
      <c r="A383" s="712"/>
      <c r="B383" s="5"/>
      <c r="C383" s="712"/>
      <c r="D383" s="5"/>
      <c r="E383" s="6" t="s">
        <v>1346</v>
      </c>
      <c r="F383" s="6"/>
      <c r="G383" s="6"/>
      <c r="H383" s="712"/>
      <c r="I383" s="712"/>
      <c r="J383" s="6"/>
      <c r="K383" s="6"/>
      <c r="L383" s="6"/>
      <c r="M383" s="6"/>
      <c r="N383" s="6"/>
      <c r="O383" s="6"/>
      <c r="P383" s="6"/>
      <c r="Q383" s="6"/>
      <c r="R383" s="6"/>
      <c r="S383" s="6"/>
      <c r="T383" s="712"/>
      <c r="U383" s="712"/>
      <c r="V383" s="712"/>
      <c r="W383" s="712"/>
      <c r="X383" s="712"/>
      <c r="Y383" s="712"/>
      <c r="Z383" s="712"/>
      <c r="AA383" s="712"/>
      <c r="AB383" s="712"/>
      <c r="AC383" s="712"/>
      <c r="AD383" s="712"/>
      <c r="AE383" s="712"/>
      <c r="AF383" s="712"/>
      <c r="AG383" s="712"/>
      <c r="AH383" s="712"/>
      <c r="AI383" s="712"/>
      <c r="AJ383" s="712"/>
      <c r="AK383" s="712"/>
      <c r="AL383" s="712"/>
    </row>
    <row r="384" spans="1:38" s="672" customFormat="1">
      <c r="A384" s="712"/>
      <c r="B384" s="5"/>
      <c r="C384" s="712"/>
      <c r="D384" s="5"/>
      <c r="E384" s="6"/>
      <c r="F384" s="6"/>
      <c r="G384" s="6"/>
      <c r="H384" s="712"/>
      <c r="I384" s="712"/>
      <c r="J384" s="6"/>
      <c r="K384" s="6"/>
      <c r="L384" s="6"/>
      <c r="M384" s="6"/>
      <c r="N384" s="6"/>
      <c r="O384" s="6"/>
      <c r="P384" s="6"/>
      <c r="Q384" s="6"/>
      <c r="R384" s="6"/>
      <c r="S384" s="6"/>
      <c r="T384" s="712"/>
      <c r="U384" s="712"/>
      <c r="V384" s="712"/>
      <c r="W384" s="712"/>
      <c r="X384" s="712"/>
      <c r="Y384" s="712"/>
      <c r="Z384" s="712"/>
      <c r="AA384" s="712"/>
      <c r="AB384" s="712"/>
      <c r="AC384" s="712"/>
      <c r="AD384" s="712"/>
      <c r="AE384" s="712"/>
      <c r="AF384" s="712"/>
      <c r="AG384" s="712"/>
      <c r="AH384" s="712"/>
      <c r="AI384" s="712"/>
      <c r="AJ384" s="712"/>
      <c r="AK384" s="712"/>
      <c r="AL384" s="712"/>
    </row>
    <row r="385" spans="1:38" s="247" customFormat="1">
      <c r="A385" s="712"/>
      <c r="B385" s="5"/>
      <c r="C385" s="712"/>
      <c r="D385" s="5" t="s">
        <v>311</v>
      </c>
      <c r="E385" s="5" t="s">
        <v>290</v>
      </c>
      <c r="F385" s="712"/>
      <c r="G385" s="712"/>
      <c r="H385" s="712"/>
      <c r="I385" s="712"/>
      <c r="J385" s="6"/>
      <c r="K385" s="6"/>
      <c r="L385" s="6"/>
      <c r="M385" s="6"/>
      <c r="N385" s="6"/>
      <c r="O385" s="6"/>
      <c r="P385" s="6"/>
      <c r="Q385" s="6"/>
      <c r="R385" s="6"/>
      <c r="S385" s="6"/>
      <c r="T385" s="712"/>
      <c r="U385" s="712"/>
      <c r="V385" s="712"/>
      <c r="W385" s="712"/>
      <c r="X385" s="712"/>
      <c r="Y385" s="712"/>
      <c r="Z385" s="712"/>
      <c r="AA385" s="712"/>
      <c r="AB385" s="712"/>
      <c r="AC385" s="712"/>
      <c r="AD385" s="712"/>
      <c r="AE385" s="712"/>
      <c r="AF385" s="712"/>
      <c r="AG385" s="712"/>
      <c r="AH385" s="712"/>
      <c r="AI385" s="712"/>
      <c r="AJ385" s="712"/>
      <c r="AK385" s="712"/>
      <c r="AL385" s="712"/>
    </row>
    <row r="386" spans="1:38" s="247" customFormat="1">
      <c r="A386" s="672"/>
      <c r="B386" s="183"/>
      <c r="C386" s="672"/>
      <c r="D386" s="672"/>
      <c r="E386" s="673" t="s">
        <v>117</v>
      </c>
      <c r="F386" s="673" t="s">
        <v>1490</v>
      </c>
      <c r="G386" s="673"/>
      <c r="H386" s="672"/>
      <c r="I386" s="673"/>
      <c r="J386" s="673"/>
      <c r="K386" s="673"/>
      <c r="L386" s="673"/>
      <c r="M386" s="673"/>
      <c r="N386" s="673"/>
      <c r="O386" s="673"/>
      <c r="P386" s="673"/>
      <c r="Q386" s="673"/>
      <c r="R386" s="673"/>
      <c r="S386" s="673"/>
      <c r="T386" s="672"/>
      <c r="U386" s="672"/>
      <c r="V386" s="672"/>
      <c r="W386" s="672"/>
      <c r="X386" s="672"/>
      <c r="Y386" s="672"/>
      <c r="Z386" s="672"/>
      <c r="AA386" s="672"/>
      <c r="AB386" s="672"/>
      <c r="AC386" s="672"/>
      <c r="AD386" s="672"/>
      <c r="AE386" s="672"/>
      <c r="AF386" s="672"/>
      <c r="AG386" s="672"/>
      <c r="AH386" s="672"/>
      <c r="AI386" s="672"/>
      <c r="AJ386" s="672"/>
      <c r="AK386" s="672"/>
      <c r="AL386" s="672"/>
    </row>
    <row r="387" spans="1:38" s="247" customFormat="1">
      <c r="A387" s="672"/>
      <c r="B387" s="183"/>
      <c r="C387" s="672"/>
      <c r="D387" s="672"/>
      <c r="E387" s="673"/>
      <c r="F387" s="248" t="s">
        <v>1343</v>
      </c>
      <c r="G387" s="6"/>
      <c r="H387" s="712"/>
      <c r="I387" s="6"/>
      <c r="J387" s="6"/>
      <c r="K387" s="673"/>
      <c r="L387" s="673"/>
      <c r="M387" s="673"/>
      <c r="N387" s="673"/>
      <c r="O387" s="673"/>
      <c r="P387" s="673"/>
      <c r="Q387" s="673"/>
      <c r="R387" s="673"/>
      <c r="S387" s="673"/>
      <c r="T387" s="672"/>
      <c r="U387" s="672"/>
      <c r="V387" s="672"/>
      <c r="W387" s="672"/>
      <c r="X387" s="672"/>
      <c r="Y387" s="672"/>
      <c r="Z387" s="672"/>
      <c r="AA387" s="672"/>
      <c r="AB387" s="672"/>
      <c r="AC387" s="672"/>
      <c r="AD387" s="672"/>
      <c r="AE387" s="672"/>
      <c r="AF387" s="672"/>
      <c r="AG387" s="672"/>
      <c r="AH387" s="672"/>
      <c r="AI387" s="672"/>
      <c r="AJ387" s="672"/>
      <c r="AK387" s="672"/>
      <c r="AL387" s="672"/>
    </row>
    <row r="388" spans="1:38" s="712" customFormat="1">
      <c r="A388" s="672"/>
      <c r="B388" s="183"/>
      <c r="C388" s="672"/>
      <c r="D388" s="672"/>
      <c r="E388" s="673" t="s">
        <v>118</v>
      </c>
      <c r="F388" s="1858" t="s">
        <v>1500</v>
      </c>
      <c r="G388" s="1858"/>
      <c r="H388" s="1858"/>
      <c r="I388" s="1858"/>
      <c r="J388" s="1858"/>
      <c r="K388" s="1858"/>
      <c r="L388" s="1858"/>
      <c r="M388" s="1858"/>
      <c r="N388" s="1858"/>
      <c r="O388" s="1858"/>
      <c r="P388" s="1858"/>
      <c r="Q388" s="1858"/>
      <c r="R388" s="1858"/>
      <c r="S388" s="1858"/>
      <c r="T388" s="1858"/>
      <c r="U388" s="1858"/>
      <c r="V388" s="1858"/>
      <c r="W388" s="1858"/>
      <c r="X388" s="1858"/>
      <c r="Y388" s="1858"/>
      <c r="Z388" s="1858"/>
      <c r="AA388" s="1858"/>
      <c r="AB388" s="1858"/>
      <c r="AC388" s="1858"/>
      <c r="AD388" s="1858"/>
      <c r="AE388" s="1858"/>
      <c r="AF388" s="1858"/>
      <c r="AG388" s="1858"/>
      <c r="AH388" s="1858"/>
      <c r="AI388" s="1858"/>
      <c r="AJ388" s="1858"/>
      <c r="AK388" s="1858"/>
      <c r="AL388" s="672"/>
    </row>
    <row r="389" spans="1:38" s="712" customFormat="1">
      <c r="A389" s="672"/>
      <c r="B389" s="183"/>
      <c r="C389" s="672"/>
      <c r="D389" s="672"/>
      <c r="E389" s="673"/>
      <c r="F389" s="1858"/>
      <c r="G389" s="1858"/>
      <c r="H389" s="1858"/>
      <c r="I389" s="1858"/>
      <c r="J389" s="1858"/>
      <c r="K389" s="1858"/>
      <c r="L389" s="1858"/>
      <c r="M389" s="1858"/>
      <c r="N389" s="1858"/>
      <c r="O389" s="1858"/>
      <c r="P389" s="1858"/>
      <c r="Q389" s="1858"/>
      <c r="R389" s="1858"/>
      <c r="S389" s="1858"/>
      <c r="T389" s="1858"/>
      <c r="U389" s="1858"/>
      <c r="V389" s="1858"/>
      <c r="W389" s="1858"/>
      <c r="X389" s="1858"/>
      <c r="Y389" s="1858"/>
      <c r="Z389" s="1858"/>
      <c r="AA389" s="1858"/>
      <c r="AB389" s="1858"/>
      <c r="AC389" s="1858"/>
      <c r="AD389" s="1858"/>
      <c r="AE389" s="1858"/>
      <c r="AF389" s="1858"/>
      <c r="AG389" s="1858"/>
      <c r="AH389" s="1858"/>
      <c r="AI389" s="1858"/>
      <c r="AJ389" s="1858"/>
      <c r="AK389" s="1858"/>
      <c r="AL389" s="672"/>
    </row>
    <row r="390" spans="1:38" s="712" customFormat="1">
      <c r="A390" s="672"/>
      <c r="B390" s="183"/>
      <c r="C390" s="672"/>
      <c r="D390" s="672"/>
      <c r="E390" s="673"/>
      <c r="F390" s="1858"/>
      <c r="G390" s="1858"/>
      <c r="H390" s="1858"/>
      <c r="I390" s="1858"/>
      <c r="J390" s="1858"/>
      <c r="K390" s="1858"/>
      <c r="L390" s="1858"/>
      <c r="M390" s="1858"/>
      <c r="N390" s="1858"/>
      <c r="O390" s="1858"/>
      <c r="P390" s="1858"/>
      <c r="Q390" s="1858"/>
      <c r="R390" s="1858"/>
      <c r="S390" s="1858"/>
      <c r="T390" s="1858"/>
      <c r="U390" s="1858"/>
      <c r="V390" s="1858"/>
      <c r="W390" s="1858"/>
      <c r="X390" s="1858"/>
      <c r="Y390" s="1858"/>
      <c r="Z390" s="1858"/>
      <c r="AA390" s="1858"/>
      <c r="AB390" s="1858"/>
      <c r="AC390" s="1858"/>
      <c r="AD390" s="1858"/>
      <c r="AE390" s="1858"/>
      <c r="AF390" s="1858"/>
      <c r="AG390" s="1858"/>
      <c r="AH390" s="1858"/>
      <c r="AI390" s="1858"/>
      <c r="AJ390" s="1858"/>
      <c r="AK390" s="1858"/>
      <c r="AL390" s="672"/>
    </row>
    <row r="391" spans="1:38" s="712" customFormat="1">
      <c r="A391" s="672"/>
      <c r="B391" s="183"/>
      <c r="C391" s="672"/>
      <c r="D391" s="672"/>
      <c r="E391" s="182"/>
      <c r="F391" s="735"/>
      <c r="G391" s="735"/>
      <c r="H391" s="735"/>
      <c r="I391" s="735"/>
      <c r="J391" s="735"/>
      <c r="K391" s="735"/>
      <c r="L391" s="735"/>
      <c r="M391" s="735"/>
      <c r="N391" s="735"/>
      <c r="O391" s="735"/>
      <c r="P391" s="735"/>
      <c r="Q391" s="735"/>
      <c r="R391" s="735"/>
      <c r="S391" s="735"/>
      <c r="T391" s="735"/>
      <c r="U391" s="735"/>
      <c r="V391" s="735"/>
      <c r="W391" s="735"/>
      <c r="X391" s="735"/>
      <c r="Y391" s="735"/>
      <c r="Z391" s="735"/>
      <c r="AA391" s="735"/>
      <c r="AB391" s="735"/>
      <c r="AC391" s="735"/>
      <c r="AD391" s="735"/>
      <c r="AE391" s="735"/>
      <c r="AF391" s="735"/>
      <c r="AG391" s="735"/>
      <c r="AH391" s="735"/>
      <c r="AI391" s="735"/>
      <c r="AJ391" s="735"/>
      <c r="AK391" s="735"/>
      <c r="AL391" s="738"/>
    </row>
    <row r="392" spans="1:38" s="712" customFormat="1">
      <c r="A392" s="672"/>
      <c r="B392" s="183"/>
      <c r="C392" s="183"/>
      <c r="D392" s="5" t="s">
        <v>450</v>
      </c>
      <c r="E392" s="5" t="s">
        <v>1509</v>
      </c>
      <c r="F392" s="673"/>
      <c r="G392" s="183"/>
      <c r="H392" s="672"/>
      <c r="I392" s="248"/>
      <c r="J392" s="673"/>
      <c r="K392" s="673"/>
      <c r="L392" s="673"/>
      <c r="M392" s="673"/>
      <c r="N392" s="673"/>
      <c r="O392" s="673"/>
      <c r="P392" s="673"/>
      <c r="Q392" s="673"/>
      <c r="R392" s="673"/>
      <c r="S392" s="673"/>
      <c r="T392" s="672"/>
      <c r="U392" s="672"/>
      <c r="V392" s="672"/>
      <c r="W392" s="672"/>
      <c r="X392" s="672"/>
      <c r="Y392" s="672"/>
      <c r="Z392" s="672"/>
      <c r="AA392" s="672"/>
      <c r="AB392" s="672"/>
      <c r="AC392" s="672"/>
      <c r="AD392" s="672"/>
      <c r="AE392" s="672"/>
      <c r="AF392" s="672"/>
      <c r="AG392" s="672"/>
      <c r="AH392" s="672"/>
      <c r="AI392" s="672"/>
      <c r="AJ392" s="672"/>
      <c r="AK392" s="672"/>
      <c r="AL392" s="672"/>
    </row>
    <row r="393" spans="1:38" s="712" customFormat="1" ht="13.2" customHeight="1">
      <c r="A393" s="672"/>
      <c r="B393" s="183"/>
      <c r="C393" s="672"/>
      <c r="D393" s="5"/>
      <c r="E393" s="6" t="s">
        <v>1508</v>
      </c>
      <c r="F393" s="859"/>
      <c r="G393" s="859"/>
      <c r="H393" s="859"/>
      <c r="I393" s="859"/>
      <c r="J393" s="859"/>
      <c r="K393" s="859"/>
      <c r="L393" s="859"/>
      <c r="M393" s="859"/>
      <c r="N393" s="859"/>
      <c r="O393" s="859"/>
      <c r="P393" s="859"/>
      <c r="Q393" s="859"/>
      <c r="R393" s="859"/>
      <c r="S393" s="859"/>
      <c r="T393" s="859"/>
      <c r="U393" s="859"/>
      <c r="V393" s="859"/>
      <c r="W393" s="859"/>
      <c r="X393" s="859"/>
      <c r="Y393" s="859"/>
      <c r="Z393" s="859"/>
      <c r="AA393" s="859"/>
      <c r="AB393" s="859"/>
      <c r="AC393" s="859"/>
      <c r="AD393" s="859"/>
      <c r="AE393" s="859"/>
      <c r="AF393" s="859"/>
      <c r="AG393" s="859"/>
      <c r="AH393" s="859"/>
      <c r="AI393" s="859"/>
      <c r="AJ393" s="859"/>
      <c r="AK393" s="859"/>
      <c r="AL393" s="672"/>
    </row>
    <row r="394" spans="1:38">
      <c r="B394" s="5"/>
      <c r="E394" t="s">
        <v>1346</v>
      </c>
      <c r="F394" s="737"/>
      <c r="G394" s="737"/>
      <c r="H394" s="737"/>
      <c r="I394" s="737"/>
      <c r="J394" s="737"/>
      <c r="K394" s="737"/>
      <c r="L394" s="737"/>
      <c r="M394" s="737"/>
      <c r="N394" s="737"/>
      <c r="O394" s="737"/>
      <c r="P394" s="737"/>
      <c r="Q394" s="737"/>
      <c r="R394" s="737"/>
      <c r="S394" s="737"/>
      <c r="T394" s="737"/>
      <c r="U394" s="737"/>
      <c r="V394" s="737"/>
      <c r="W394" s="737"/>
      <c r="X394" s="737"/>
      <c r="Y394" s="737"/>
      <c r="Z394" s="737"/>
      <c r="AA394" s="737"/>
      <c r="AB394" s="737"/>
      <c r="AC394" s="737"/>
      <c r="AD394" s="737"/>
      <c r="AE394" s="737"/>
      <c r="AF394" s="737"/>
      <c r="AG394" s="737"/>
      <c r="AH394" s="737"/>
      <c r="AI394" s="737"/>
      <c r="AJ394" s="737"/>
      <c r="AK394" s="737"/>
      <c r="AL394" s="737"/>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252" zoomScale="130" zoomScaleNormal="130" zoomScaleSheetLayoutView="100" workbookViewId="0">
      <selection activeCell="O180" sqref="O180"/>
    </sheetView>
  </sheetViews>
  <sheetFormatPr defaultColWidth="0" defaultRowHeight="13.2" zeroHeight="1"/>
  <cols>
    <col min="1" max="3" width="2.44140625" style="51" customWidth="1"/>
    <col min="4" max="4" width="3.109375" style="51" customWidth="1"/>
    <col min="5" max="5" width="3.44140625" style="51" customWidth="1"/>
    <col min="6" max="6" width="2.77734375" style="51" customWidth="1"/>
    <col min="7" max="16" width="2.44140625" style="51" customWidth="1"/>
    <col min="17" max="17" width="3.109375" style="51" customWidth="1"/>
    <col min="18" max="18" width="4.44140625" style="51" customWidth="1"/>
    <col min="19" max="32" width="2.44140625" style="51" customWidth="1"/>
    <col min="33" max="33" width="3.44140625" style="51" customWidth="1"/>
    <col min="34" max="36" width="2.44140625" style="51" customWidth="1"/>
    <col min="37" max="37" width="5.44140625" style="51" customWidth="1"/>
    <col min="38" max="38" width="2.44140625" style="51" customWidth="1"/>
    <col min="39" max="39" width="3.44140625" style="51" customWidth="1"/>
    <col min="40" max="40" width="5.44140625" style="919" hidden="1" customWidth="1"/>
    <col min="41" max="41" width="5.44140625" style="126" hidden="1" customWidth="1"/>
    <col min="42" max="45" width="5.44140625" style="51" hidden="1" customWidth="1"/>
    <col min="46" max="46" width="10.77734375" style="51" hidden="1" customWidth="1"/>
    <col min="47" max="48" width="5.44140625" style="51" hidden="1" customWidth="1"/>
    <col min="49" max="49" width="8.77734375" style="51" hidden="1" customWidth="1"/>
    <col min="50" max="50" width="7.44140625" style="51" hidden="1" customWidth="1"/>
    <col min="51" max="55" width="5.44140625" style="51" hidden="1" customWidth="1"/>
    <col min="56" max="60" width="5.44140625" style="54" hidden="1" customWidth="1"/>
    <col min="61" max="81" width="5.44140625" style="51" hidden="1" customWidth="1"/>
    <col min="82" max="16384" width="0.77734375" style="51" hidden="1"/>
  </cols>
  <sheetData>
    <row r="1" spans="1:42" ht="15.75" customHeight="1">
      <c r="A1" s="3311" t="s">
        <v>1557</v>
      </c>
      <c r="B1" s="3311"/>
      <c r="C1" s="3311"/>
      <c r="D1" s="3311"/>
      <c r="E1" s="3311"/>
      <c r="F1" s="3311"/>
      <c r="G1" s="3311"/>
      <c r="H1" s="3311"/>
      <c r="I1" s="3311"/>
      <c r="J1" s="3311"/>
      <c r="K1" s="3311"/>
      <c r="L1" s="3311"/>
      <c r="M1" s="3311"/>
      <c r="N1" s="3311"/>
      <c r="O1" s="3311"/>
      <c r="P1" s="3311"/>
      <c r="Q1" s="3311"/>
      <c r="R1" s="3311"/>
      <c r="S1" s="3311"/>
      <c r="T1" s="3311"/>
      <c r="U1" s="3311"/>
      <c r="V1" s="3311"/>
      <c r="W1" s="3311"/>
      <c r="X1" s="3311"/>
      <c r="Y1" s="3311"/>
      <c r="Z1" s="3311"/>
      <c r="AA1" s="3311"/>
      <c r="AB1" s="3311"/>
      <c r="AC1" s="3311"/>
      <c r="AD1" s="3311"/>
      <c r="AE1" s="3311"/>
      <c r="AF1" s="3311"/>
      <c r="AG1" s="3311"/>
      <c r="AH1" s="3311"/>
      <c r="AI1" s="3311"/>
      <c r="AJ1" s="3311"/>
      <c r="AK1" s="3311"/>
      <c r="AL1" s="3311"/>
      <c r="AM1" s="3311"/>
    </row>
    <row r="2" spans="1:42" s="921" customFormat="1" ht="12.75" customHeight="1" thickBot="1">
      <c r="A2" s="3312"/>
      <c r="B2" s="3312"/>
      <c r="C2" s="3312"/>
      <c r="D2" s="3312"/>
      <c r="E2" s="3312"/>
      <c r="F2" s="3312"/>
      <c r="G2" s="3312"/>
      <c r="H2" s="3312"/>
      <c r="I2" s="3312"/>
      <c r="J2" s="3312"/>
      <c r="K2" s="3312"/>
      <c r="L2" s="3312"/>
      <c r="M2" s="3312"/>
      <c r="N2" s="3312"/>
      <c r="O2" s="3312"/>
      <c r="P2" s="3312"/>
      <c r="Q2" s="3312"/>
      <c r="R2" s="3312"/>
      <c r="S2" s="3312"/>
      <c r="T2" s="3312"/>
      <c r="U2" s="3312"/>
      <c r="V2" s="3312"/>
      <c r="W2" s="3312"/>
      <c r="X2" s="3312"/>
      <c r="Y2" s="3312"/>
      <c r="Z2" s="3312"/>
      <c r="AA2" s="3312"/>
      <c r="AB2" s="3312"/>
      <c r="AC2" s="3312"/>
      <c r="AD2" s="3312"/>
      <c r="AE2" s="3312"/>
      <c r="AF2" s="3312"/>
      <c r="AG2" s="3312"/>
      <c r="AH2" s="3312"/>
      <c r="AI2" s="3312"/>
      <c r="AJ2" s="3312"/>
      <c r="AK2" s="3312"/>
      <c r="AL2" s="3312"/>
      <c r="AM2" s="3312"/>
      <c r="AN2" s="920"/>
    </row>
    <row r="3" spans="1:42" s="924" customFormat="1" ht="12.75" customHeight="1" thickTop="1">
      <c r="A3" s="922"/>
      <c r="B3" s="922"/>
      <c r="C3" s="922"/>
      <c r="D3" s="922"/>
      <c r="E3" s="922"/>
      <c r="F3" s="922"/>
      <c r="G3" s="922"/>
      <c r="H3" s="922"/>
      <c r="I3" s="922"/>
      <c r="J3" s="922"/>
      <c r="K3" s="922"/>
      <c r="L3" s="922"/>
      <c r="M3" s="922"/>
      <c r="N3" s="922"/>
      <c r="O3" s="922"/>
      <c r="P3" s="922"/>
      <c r="Q3" s="922"/>
      <c r="R3" s="922"/>
      <c r="S3" s="922"/>
      <c r="T3" s="922"/>
      <c r="U3" s="922"/>
      <c r="V3" s="922"/>
      <c r="W3" s="922"/>
      <c r="X3" s="922"/>
      <c r="Y3" s="922"/>
      <c r="Z3" s="922"/>
      <c r="AA3" s="922"/>
      <c r="AB3" s="922"/>
      <c r="AC3" s="922"/>
      <c r="AD3" s="922"/>
      <c r="AE3" s="922"/>
      <c r="AF3" s="922"/>
      <c r="AG3" s="922"/>
      <c r="AH3" s="922"/>
      <c r="AI3" s="922"/>
      <c r="AJ3" s="922"/>
      <c r="AK3" s="922"/>
      <c r="AL3" s="922"/>
      <c r="AM3" s="922"/>
      <c r="AN3" s="923"/>
    </row>
    <row r="4" spans="1:42" s="924" customFormat="1" ht="12.75" customHeight="1">
      <c r="A4" s="925" t="s">
        <v>1558</v>
      </c>
      <c r="B4" s="926" t="s">
        <v>1559</v>
      </c>
      <c r="C4" s="927"/>
      <c r="D4" s="927"/>
      <c r="E4" s="927"/>
      <c r="F4" s="927"/>
      <c r="G4" s="927"/>
      <c r="H4" s="927"/>
      <c r="I4" s="927"/>
      <c r="J4" s="927"/>
      <c r="K4" s="927"/>
      <c r="L4" s="927"/>
      <c r="M4" s="927"/>
      <c r="N4" s="927"/>
      <c r="O4" s="927"/>
      <c r="P4" s="927"/>
      <c r="Q4" s="927"/>
      <c r="R4" s="927"/>
      <c r="S4" s="927"/>
      <c r="T4" s="927"/>
      <c r="U4" s="927"/>
      <c r="V4" s="927"/>
      <c r="W4" s="927"/>
      <c r="X4" s="927"/>
      <c r="Y4" s="927"/>
      <c r="Z4" s="927"/>
      <c r="AA4" s="927"/>
      <c r="AB4" s="927"/>
      <c r="AC4" s="927"/>
      <c r="AD4" s="927"/>
      <c r="AE4" s="927"/>
      <c r="AF4" s="927"/>
      <c r="AG4" s="927"/>
      <c r="AH4" s="927"/>
      <c r="AI4" s="927"/>
      <c r="AJ4" s="927"/>
      <c r="AK4" s="927"/>
      <c r="AL4" s="927"/>
      <c r="AM4" s="927"/>
      <c r="AN4" s="923"/>
    </row>
    <row r="5" spans="1:42" s="924" customFormat="1" ht="12.75" customHeight="1" thickBot="1">
      <c r="A5" s="925"/>
      <c r="B5" s="926"/>
      <c r="C5" s="927"/>
      <c r="D5" s="927"/>
      <c r="E5" s="927"/>
      <c r="F5" s="927"/>
      <c r="G5" s="927"/>
      <c r="H5" s="927"/>
      <c r="I5" s="927"/>
      <c r="J5" s="927"/>
      <c r="K5" s="927"/>
      <c r="L5" s="927"/>
      <c r="M5" s="927"/>
      <c r="N5" s="927"/>
      <c r="O5" s="927"/>
      <c r="P5" s="927"/>
      <c r="Q5" s="927"/>
      <c r="R5" s="927"/>
      <c r="S5" s="927"/>
      <c r="T5" s="927"/>
      <c r="U5" s="927"/>
      <c r="V5" s="927"/>
      <c r="W5" s="927"/>
      <c r="X5" s="927"/>
      <c r="Y5" s="927"/>
      <c r="Z5" s="927"/>
      <c r="AA5" s="927"/>
      <c r="AB5" s="927"/>
      <c r="AC5" s="927"/>
      <c r="AD5" s="927"/>
      <c r="AE5" s="927"/>
      <c r="AF5" s="927"/>
      <c r="AG5" s="927"/>
      <c r="AH5" s="927"/>
      <c r="AI5" s="927"/>
      <c r="AJ5" s="927"/>
      <c r="AK5" s="927"/>
      <c r="AL5" s="927"/>
      <c r="AM5" s="927"/>
      <c r="AN5" s="923"/>
    </row>
    <row r="6" spans="1:42" s="924" customFormat="1" ht="12.75" customHeight="1" thickTop="1">
      <c r="A6" s="928"/>
      <c r="B6" s="928"/>
      <c r="C6" s="928"/>
      <c r="D6" s="928"/>
      <c r="E6" s="928"/>
      <c r="F6" s="928"/>
      <c r="G6" s="928"/>
      <c r="H6" s="928"/>
      <c r="I6" s="928"/>
      <c r="J6" s="928"/>
      <c r="K6" s="928"/>
      <c r="L6" s="928"/>
      <c r="M6" s="928"/>
      <c r="N6" s="928"/>
      <c r="O6" s="928"/>
      <c r="P6" s="928"/>
      <c r="Q6" s="928"/>
      <c r="R6" s="928"/>
      <c r="S6" s="928"/>
      <c r="T6" s="928"/>
      <c r="U6" s="928"/>
      <c r="V6" s="928"/>
      <c r="W6" s="928"/>
      <c r="X6" s="928"/>
      <c r="Y6" s="928"/>
      <c r="Z6" s="928"/>
      <c r="AA6" s="928"/>
      <c r="AB6" s="928"/>
      <c r="AC6" s="928"/>
      <c r="AD6" s="928"/>
      <c r="AE6" s="928"/>
      <c r="AF6" s="928"/>
      <c r="AG6" s="928"/>
      <c r="AH6" s="928"/>
      <c r="AI6" s="928"/>
      <c r="AJ6" s="928"/>
      <c r="AK6" s="928"/>
      <c r="AL6" s="928"/>
      <c r="AM6" s="929"/>
      <c r="AN6" s="923"/>
    </row>
    <row r="7" spans="1:42" s="924" customFormat="1" ht="12.75" customHeight="1">
      <c r="A7" s="925" t="s">
        <v>1560</v>
      </c>
      <c r="B7" s="926" t="s">
        <v>1561</v>
      </c>
      <c r="C7" s="926"/>
      <c r="D7" s="926"/>
      <c r="E7" s="926"/>
      <c r="F7" s="926"/>
      <c r="G7" s="926"/>
      <c r="H7" s="926"/>
      <c r="I7" s="926"/>
      <c r="J7" s="926"/>
      <c r="K7" s="926"/>
      <c r="L7" s="926"/>
      <c r="M7" s="926"/>
      <c r="N7" s="926"/>
      <c r="O7" s="926"/>
      <c r="P7" s="926"/>
      <c r="Q7" s="926"/>
      <c r="R7" s="926"/>
      <c r="S7" s="926"/>
      <c r="T7" s="926"/>
      <c r="U7" s="926"/>
      <c r="V7" s="926"/>
      <c r="W7" s="926"/>
      <c r="X7" s="926"/>
      <c r="Y7" s="926"/>
      <c r="Z7" s="926"/>
      <c r="AA7" s="926"/>
      <c r="AB7" s="926"/>
      <c r="AC7" s="926"/>
      <c r="AD7" s="926"/>
      <c r="AE7" s="3287" t="s">
        <v>1562</v>
      </c>
      <c r="AF7" s="3287"/>
      <c r="AG7" s="3287"/>
      <c r="AH7" s="3287"/>
      <c r="AI7" s="3287"/>
      <c r="AJ7" s="3287"/>
      <c r="AK7" s="3287"/>
      <c r="AL7" s="927"/>
      <c r="AM7" s="927"/>
      <c r="AN7" s="923"/>
    </row>
    <row r="8" spans="1:42" s="924" customFormat="1" ht="12.75" customHeight="1">
      <c r="A8" s="925"/>
      <c r="B8" s="926" t="s">
        <v>2223</v>
      </c>
      <c r="C8" s="926"/>
      <c r="D8" s="926"/>
      <c r="E8" s="926"/>
      <c r="F8" s="926"/>
      <c r="G8" s="926"/>
      <c r="H8" s="926"/>
      <c r="I8" s="926"/>
      <c r="J8" s="926"/>
      <c r="K8" s="926"/>
      <c r="L8" s="926"/>
      <c r="M8" s="926"/>
      <c r="N8" s="926"/>
      <c r="O8" s="926"/>
      <c r="P8" s="926"/>
      <c r="Q8" s="926"/>
      <c r="R8" s="926"/>
      <c r="S8" s="926"/>
      <c r="T8" s="926"/>
      <c r="U8" s="926"/>
      <c r="V8" s="926"/>
      <c r="W8" s="926"/>
      <c r="X8" s="926"/>
      <c r="Y8" s="926"/>
      <c r="Z8" s="926"/>
      <c r="AA8" s="926"/>
      <c r="AB8" s="926"/>
      <c r="AC8" s="926"/>
      <c r="AD8" s="926"/>
      <c r="AE8" s="930"/>
      <c r="AF8" s="930"/>
      <c r="AG8" s="930"/>
      <c r="AH8" s="930"/>
      <c r="AI8" s="930"/>
      <c r="AJ8" s="930"/>
      <c r="AK8" s="930"/>
      <c r="AL8" s="927"/>
      <c r="AM8" s="927"/>
      <c r="AN8" s="923"/>
    </row>
    <row r="9" spans="1:42" s="924" customFormat="1" ht="12.75" customHeight="1">
      <c r="A9" s="925"/>
      <c r="B9" s="926"/>
      <c r="C9" s="926"/>
      <c r="D9" s="926"/>
      <c r="E9" s="926"/>
      <c r="F9" s="926"/>
      <c r="G9" s="926"/>
      <c r="H9" s="926"/>
      <c r="I9" s="926"/>
      <c r="J9" s="926"/>
      <c r="K9" s="926"/>
      <c r="L9" s="926"/>
      <c r="M9" s="926"/>
      <c r="N9" s="926"/>
      <c r="O9" s="926"/>
      <c r="P9" s="926"/>
      <c r="Q9" s="926"/>
      <c r="R9" s="926"/>
      <c r="S9" s="926"/>
      <c r="T9" s="926"/>
      <c r="U9" s="926"/>
      <c r="V9" s="926"/>
      <c r="W9" s="926"/>
      <c r="X9" s="926"/>
      <c r="Y9" s="926"/>
      <c r="Z9" s="926"/>
      <c r="AA9" s="926"/>
      <c r="AB9" s="926"/>
      <c r="AC9" s="926"/>
      <c r="AD9" s="926"/>
      <c r="AE9" s="930"/>
      <c r="AF9" s="930"/>
      <c r="AG9" s="930"/>
      <c r="AH9" s="930"/>
      <c r="AI9" s="930"/>
      <c r="AJ9" s="930"/>
      <c r="AK9" s="930"/>
      <c r="AL9" s="927"/>
      <c r="AM9" s="927"/>
      <c r="AN9" s="923"/>
    </row>
    <row r="10" spans="1:42" s="924" customFormat="1" ht="12.75" customHeight="1">
      <c r="A10" s="927"/>
      <c r="B10" s="931" t="s">
        <v>1563</v>
      </c>
      <c r="C10" s="927"/>
      <c r="D10" s="927"/>
      <c r="E10" s="927"/>
      <c r="F10" s="927"/>
      <c r="G10" s="927"/>
      <c r="H10" s="927"/>
      <c r="I10" s="927"/>
      <c r="J10" s="927"/>
      <c r="K10" s="927"/>
      <c r="L10" s="927"/>
      <c r="M10" s="927"/>
      <c r="N10" s="927"/>
      <c r="O10" s="927"/>
      <c r="P10" s="927"/>
      <c r="Q10" s="927"/>
      <c r="R10" s="927"/>
      <c r="S10" s="927"/>
      <c r="T10" s="927"/>
      <c r="U10" s="927"/>
      <c r="V10" s="927"/>
      <c r="W10" s="927"/>
      <c r="X10" s="927"/>
      <c r="Y10" s="927"/>
      <c r="Z10" s="927"/>
      <c r="AA10" s="927"/>
      <c r="AB10" s="927"/>
      <c r="AC10" s="927"/>
      <c r="AD10" s="927"/>
      <c r="AE10" s="927"/>
      <c r="AF10" s="927"/>
      <c r="AG10" s="927"/>
      <c r="AH10" s="927"/>
      <c r="AI10" s="927"/>
      <c r="AJ10" s="927"/>
      <c r="AK10" s="927"/>
      <c r="AL10" s="927"/>
      <c r="AM10" s="927"/>
      <c r="AN10" s="923"/>
      <c r="AO10" s="918"/>
      <c r="AP10" s="932"/>
    </row>
    <row r="11" spans="1:42" s="924" customFormat="1" ht="12.75" customHeight="1">
      <c r="A11" s="927"/>
      <c r="B11" s="933"/>
      <c r="C11" s="927"/>
      <c r="D11" s="927"/>
      <c r="E11" s="927"/>
      <c r="F11" s="927"/>
      <c r="G11" s="927"/>
      <c r="H11" s="927"/>
      <c r="I11" s="927"/>
      <c r="J11" s="927"/>
      <c r="K11" s="927"/>
      <c r="L11" s="927"/>
      <c r="M11" s="927"/>
      <c r="N11" s="927"/>
      <c r="O11" s="927"/>
      <c r="P11" s="927"/>
      <c r="Q11" s="927"/>
      <c r="R11" s="927"/>
      <c r="S11" s="927"/>
      <c r="T11" s="927"/>
      <c r="U11" s="927"/>
      <c r="V11" s="927"/>
      <c r="W11" s="927"/>
      <c r="X11" s="927"/>
      <c r="Y11" s="927"/>
      <c r="Z11" s="927"/>
      <c r="AA11" s="927"/>
      <c r="AB11" s="927"/>
      <c r="AC11" s="927"/>
      <c r="AD11" s="927"/>
      <c r="AE11" s="927"/>
      <c r="AF11" s="927"/>
      <c r="AG11" s="927"/>
      <c r="AH11" s="927"/>
      <c r="AI11" s="927"/>
      <c r="AJ11" s="927"/>
      <c r="AK11" s="927"/>
      <c r="AL11" s="927"/>
      <c r="AM11" s="927"/>
      <c r="AN11" s="923"/>
      <c r="AP11" s="51"/>
    </row>
    <row r="12" spans="1:42" s="924" customFormat="1" ht="12.75" customHeight="1">
      <c r="A12" s="927"/>
      <c r="B12" s="3296" t="s">
        <v>626</v>
      </c>
      <c r="C12" s="3296"/>
      <c r="D12" s="934"/>
      <c r="E12" s="935" t="s">
        <v>1564</v>
      </c>
      <c r="F12" s="936"/>
      <c r="G12" s="936"/>
      <c r="H12" s="936"/>
      <c r="I12" s="936"/>
      <c r="J12" s="936"/>
      <c r="K12" s="936"/>
      <c r="L12" s="936"/>
      <c r="M12" s="936"/>
      <c r="N12" s="936"/>
      <c r="O12" s="936"/>
      <c r="P12" s="936"/>
      <c r="Q12" s="936"/>
      <c r="R12" s="936"/>
      <c r="S12" s="936"/>
      <c r="T12" s="936"/>
      <c r="U12" s="936"/>
      <c r="V12" s="936"/>
      <c r="W12" s="936"/>
      <c r="X12" s="936"/>
      <c r="Y12" s="936"/>
      <c r="Z12" s="936"/>
      <c r="AA12" s="936"/>
      <c r="AB12" s="936"/>
      <c r="AC12" s="936"/>
      <c r="AD12" s="936"/>
      <c r="AE12" s="936"/>
      <c r="AF12" s="936"/>
      <c r="AG12" s="3313"/>
      <c r="AH12" s="3313"/>
      <c r="AI12" s="3313"/>
      <c r="AJ12" s="3314"/>
      <c r="AK12" s="927"/>
      <c r="AL12" s="927"/>
      <c r="AM12" s="927"/>
      <c r="AN12" s="923"/>
      <c r="AO12" s="937">
        <f>IF($B12="yes",20,0)</f>
        <v>0</v>
      </c>
      <c r="AP12" s="51"/>
    </row>
    <row r="13" spans="1:42" s="924" customFormat="1" ht="12.75" customHeight="1">
      <c r="A13" s="927"/>
      <c r="B13" s="927"/>
      <c r="C13" s="927"/>
      <c r="D13" s="51"/>
      <c r="E13" s="927"/>
      <c r="F13" s="927"/>
      <c r="G13" s="927"/>
      <c r="H13" s="927"/>
      <c r="I13" s="927"/>
      <c r="J13" s="927"/>
      <c r="K13" s="927"/>
      <c r="L13" s="927"/>
      <c r="M13" s="927"/>
      <c r="N13" s="927"/>
      <c r="O13" s="927"/>
      <c r="P13" s="927"/>
      <c r="Q13" s="927"/>
      <c r="R13" s="927"/>
      <c r="S13" s="927"/>
      <c r="T13" s="927"/>
      <c r="U13" s="927"/>
      <c r="V13" s="927"/>
      <c r="W13" s="927"/>
      <c r="X13" s="927"/>
      <c r="Y13" s="927"/>
      <c r="Z13" s="927"/>
      <c r="AA13" s="927"/>
      <c r="AB13" s="927"/>
      <c r="AC13" s="927"/>
      <c r="AD13" s="927"/>
      <c r="AE13" s="927"/>
      <c r="AF13" s="927"/>
      <c r="AG13" s="927"/>
      <c r="AH13" s="927"/>
      <c r="AI13" s="927"/>
      <c r="AJ13" s="927"/>
      <c r="AK13" s="927"/>
      <c r="AL13" s="927"/>
      <c r="AM13" s="927"/>
      <c r="AN13" s="923"/>
      <c r="AO13" s="937">
        <f>IF(AND($B15="yes",E19&gt;0),20,0)</f>
        <v>0</v>
      </c>
      <c r="AP13" s="51"/>
    </row>
    <row r="14" spans="1:42" s="924" customFormat="1" ht="12.75" customHeight="1">
      <c r="A14" s="927"/>
      <c r="B14" s="927"/>
      <c r="C14" s="927"/>
      <c r="D14" s="937"/>
      <c r="E14" s="927"/>
      <c r="F14" s="927"/>
      <c r="G14" s="927"/>
      <c r="H14" s="927"/>
      <c r="I14" s="927"/>
      <c r="J14" s="927"/>
      <c r="K14" s="927"/>
      <c r="L14" s="927"/>
      <c r="M14" s="927"/>
      <c r="N14" s="927"/>
      <c r="O14" s="927"/>
      <c r="P14" s="927"/>
      <c r="Q14" s="927"/>
      <c r="R14" s="927"/>
      <c r="S14" s="927"/>
      <c r="T14" s="927"/>
      <c r="U14" s="927"/>
      <c r="V14" s="927"/>
      <c r="W14" s="927"/>
      <c r="X14" s="927"/>
      <c r="Y14" s="927"/>
      <c r="Z14" s="927"/>
      <c r="AA14" s="927"/>
      <c r="AB14" s="927"/>
      <c r="AC14" s="927"/>
      <c r="AD14" s="927"/>
      <c r="AE14" s="927"/>
      <c r="AF14" s="927"/>
      <c r="AG14" s="927"/>
      <c r="AH14" s="927"/>
      <c r="AI14" s="927"/>
      <c r="AJ14" s="927"/>
      <c r="AK14" s="927"/>
      <c r="AL14" s="927"/>
      <c r="AM14" s="927"/>
      <c r="AN14" s="923"/>
      <c r="AO14" s="937">
        <f>IF($B21="yes",20,0)</f>
        <v>0</v>
      </c>
      <c r="AP14" s="21"/>
    </row>
    <row r="15" spans="1:42" s="924" customFormat="1" ht="12.75" customHeight="1">
      <c r="A15" s="927"/>
      <c r="B15" s="3296" t="s">
        <v>626</v>
      </c>
      <c r="C15" s="3296"/>
      <c r="D15" s="934"/>
      <c r="E15" s="3315" t="s">
        <v>1565</v>
      </c>
      <c r="F15" s="3316"/>
      <c r="G15" s="3316"/>
      <c r="H15" s="3316"/>
      <c r="I15" s="3316"/>
      <c r="J15" s="3316"/>
      <c r="K15" s="3316"/>
      <c r="L15" s="3316"/>
      <c r="M15" s="3316"/>
      <c r="N15" s="3316"/>
      <c r="O15" s="3316"/>
      <c r="P15" s="3316"/>
      <c r="Q15" s="3316"/>
      <c r="R15" s="3316"/>
      <c r="S15" s="3316"/>
      <c r="T15" s="3316"/>
      <c r="U15" s="3316"/>
      <c r="V15" s="3316"/>
      <c r="W15" s="3316"/>
      <c r="X15" s="3316"/>
      <c r="Y15" s="3316"/>
      <c r="Z15" s="3316"/>
      <c r="AA15" s="3316"/>
      <c r="AB15" s="3316"/>
      <c r="AC15" s="3316"/>
      <c r="AD15" s="3316"/>
      <c r="AE15" s="3316"/>
      <c r="AF15" s="3316"/>
      <c r="AG15" s="3316"/>
      <c r="AH15" s="3316"/>
      <c r="AI15" s="3316"/>
      <c r="AJ15" s="3317"/>
      <c r="AK15" s="927"/>
      <c r="AL15" s="927"/>
      <c r="AM15" s="927"/>
      <c r="AN15" s="923"/>
      <c r="AO15" s="937">
        <f>IF($B24="yes",20,0)</f>
        <v>0</v>
      </c>
      <c r="AP15" s="51"/>
    </row>
    <row r="16" spans="1:42" s="924" customFormat="1" ht="12.75" customHeight="1">
      <c r="A16" s="927"/>
      <c r="B16" s="927"/>
      <c r="C16" s="927"/>
      <c r="D16" s="938"/>
      <c r="E16" s="3318"/>
      <c r="F16" s="3319"/>
      <c r="G16" s="3319"/>
      <c r="H16" s="3319"/>
      <c r="I16" s="3319"/>
      <c r="J16" s="3319"/>
      <c r="K16" s="3319"/>
      <c r="L16" s="3319"/>
      <c r="M16" s="3319"/>
      <c r="N16" s="3319"/>
      <c r="O16" s="3319"/>
      <c r="P16" s="3319"/>
      <c r="Q16" s="3319"/>
      <c r="R16" s="3319"/>
      <c r="S16" s="3319"/>
      <c r="T16" s="3319"/>
      <c r="U16" s="3319"/>
      <c r="V16" s="3319"/>
      <c r="W16" s="3319"/>
      <c r="X16" s="3319"/>
      <c r="Y16" s="3319"/>
      <c r="Z16" s="3319"/>
      <c r="AA16" s="3319"/>
      <c r="AB16" s="3319"/>
      <c r="AC16" s="3319"/>
      <c r="AD16" s="3319"/>
      <c r="AE16" s="3319"/>
      <c r="AF16" s="3319"/>
      <c r="AG16" s="3319"/>
      <c r="AH16" s="3319"/>
      <c r="AI16" s="3319"/>
      <c r="AJ16" s="3320"/>
      <c r="AK16" s="927"/>
      <c r="AL16" s="927"/>
      <c r="AM16" s="927"/>
      <c r="AN16" s="923"/>
      <c r="AO16" s="924">
        <f>IF(SUM(AO12:AO15)&gt;20,20,(SUM(AO12:AO15)))</f>
        <v>0</v>
      </c>
      <c r="AP16" s="924" t="s">
        <v>1566</v>
      </c>
    </row>
    <row r="17" spans="1:42" s="924" customFormat="1" ht="12.75" customHeight="1">
      <c r="A17" s="927"/>
      <c r="B17" s="927"/>
      <c r="C17" s="927"/>
      <c r="D17" s="938"/>
      <c r="E17" s="3318"/>
      <c r="F17" s="3319"/>
      <c r="G17" s="3319"/>
      <c r="H17" s="3319"/>
      <c r="I17" s="3319"/>
      <c r="J17" s="3319"/>
      <c r="K17" s="3319"/>
      <c r="L17" s="3319"/>
      <c r="M17" s="3319"/>
      <c r="N17" s="3319"/>
      <c r="O17" s="3319"/>
      <c r="P17" s="3319"/>
      <c r="Q17" s="3319"/>
      <c r="R17" s="3319"/>
      <c r="S17" s="3319"/>
      <c r="T17" s="3319"/>
      <c r="U17" s="3319"/>
      <c r="V17" s="3319"/>
      <c r="W17" s="3319"/>
      <c r="X17" s="3319"/>
      <c r="Y17" s="3319"/>
      <c r="Z17" s="3319"/>
      <c r="AA17" s="3319"/>
      <c r="AB17" s="3319"/>
      <c r="AC17" s="3319"/>
      <c r="AD17" s="3319"/>
      <c r="AE17" s="3319"/>
      <c r="AF17" s="3319"/>
      <c r="AG17" s="3319"/>
      <c r="AH17" s="3319"/>
      <c r="AI17" s="3319"/>
      <c r="AJ17" s="3320"/>
      <c r="AK17" s="927"/>
      <c r="AL17" s="927"/>
      <c r="AM17" s="927"/>
      <c r="AN17" s="923"/>
    </row>
    <row r="18" spans="1:42" s="924" customFormat="1" ht="12.75" customHeight="1">
      <c r="A18" s="927"/>
      <c r="B18" s="927"/>
      <c r="C18" s="927"/>
      <c r="D18" s="938"/>
      <c r="E18" s="939" t="s">
        <v>1567</v>
      </c>
      <c r="F18" s="940"/>
      <c r="G18" s="940"/>
      <c r="H18" s="940"/>
      <c r="I18" s="940"/>
      <c r="J18" s="940"/>
      <c r="K18" s="940"/>
      <c r="L18" s="940"/>
      <c r="M18" s="940"/>
      <c r="N18" s="940"/>
      <c r="O18" s="940"/>
      <c r="P18" s="940"/>
      <c r="Q18" s="940"/>
      <c r="R18" s="940"/>
      <c r="S18" s="940"/>
      <c r="T18" s="940"/>
      <c r="U18" s="940"/>
      <c r="V18" s="940"/>
      <c r="W18" s="940"/>
      <c r="X18" s="940"/>
      <c r="Y18" s="940"/>
      <c r="Z18" s="940"/>
      <c r="AA18" s="940"/>
      <c r="AB18" s="940"/>
      <c r="AC18" s="940"/>
      <c r="AD18" s="940"/>
      <c r="AE18" s="940"/>
      <c r="AF18" s="940"/>
      <c r="AG18" s="940"/>
      <c r="AH18" s="940"/>
      <c r="AI18" s="940"/>
      <c r="AJ18" s="941"/>
      <c r="AK18" s="927"/>
      <c r="AL18" s="927"/>
      <c r="AM18" s="927"/>
      <c r="AN18" s="923"/>
    </row>
    <row r="19" spans="1:42" s="924" customFormat="1" ht="12.75" customHeight="1">
      <c r="A19" s="927"/>
      <c r="B19" s="927"/>
      <c r="C19" s="927"/>
      <c r="D19" s="938"/>
      <c r="E19" s="3322"/>
      <c r="F19" s="3323"/>
      <c r="G19" s="3323"/>
      <c r="H19" s="3323"/>
      <c r="I19" s="3323"/>
      <c r="J19" s="3323"/>
      <c r="K19" s="3323"/>
      <c r="L19" s="3323"/>
      <c r="M19" s="3323"/>
      <c r="N19" s="3323"/>
      <c r="O19" s="3323"/>
      <c r="P19" s="3323"/>
      <c r="Q19" s="3323"/>
      <c r="R19" s="3323"/>
      <c r="S19" s="3323"/>
      <c r="T19" s="3323"/>
      <c r="U19" s="3323"/>
      <c r="V19" s="3323"/>
      <c r="W19" s="3323"/>
      <c r="X19" s="3323"/>
      <c r="Y19" s="3323"/>
      <c r="Z19" s="3323"/>
      <c r="AA19" s="3323"/>
      <c r="AB19" s="3323"/>
      <c r="AC19" s="3323"/>
      <c r="AD19" s="3323"/>
      <c r="AE19" s="3323"/>
      <c r="AF19" s="3323"/>
      <c r="AG19" s="3323"/>
      <c r="AH19" s="3323"/>
      <c r="AI19" s="3323"/>
      <c r="AJ19" s="3324"/>
      <c r="AK19" s="927"/>
      <c r="AL19" s="927"/>
      <c r="AM19" s="927"/>
      <c r="AN19" s="923"/>
    </row>
    <row r="20" spans="1:42" s="924" customFormat="1" ht="12.75" customHeight="1">
      <c r="A20" s="927"/>
      <c r="B20" s="927"/>
      <c r="C20" s="927"/>
      <c r="E20" s="927"/>
      <c r="F20" s="927"/>
      <c r="G20" s="927"/>
      <c r="H20" s="927"/>
      <c r="I20" s="927"/>
      <c r="J20" s="927"/>
      <c r="K20" s="927"/>
      <c r="L20" s="927"/>
      <c r="M20" s="927"/>
      <c r="N20" s="927"/>
      <c r="O20" s="927"/>
      <c r="P20" s="927"/>
      <c r="Q20" s="927"/>
      <c r="R20" s="927"/>
      <c r="S20" s="927"/>
      <c r="T20" s="927"/>
      <c r="U20" s="927"/>
      <c r="V20" s="927"/>
      <c r="W20" s="927"/>
      <c r="X20" s="927"/>
      <c r="Y20" s="927"/>
      <c r="Z20" s="927"/>
      <c r="AA20" s="927"/>
      <c r="AB20" s="927"/>
      <c r="AC20" s="927"/>
      <c r="AD20" s="927"/>
      <c r="AE20" s="927"/>
      <c r="AF20" s="927"/>
      <c r="AG20" s="927"/>
      <c r="AH20" s="927"/>
      <c r="AI20" s="927"/>
      <c r="AJ20" s="927"/>
      <c r="AK20" s="927"/>
      <c r="AL20" s="927"/>
      <c r="AM20" s="927"/>
      <c r="AN20" s="923"/>
      <c r="AO20" s="937">
        <f>IF($B29="yes",14,0)</f>
        <v>0</v>
      </c>
      <c r="AP20" s="51"/>
    </row>
    <row r="21" spans="1:42" s="924" customFormat="1" ht="12.75" customHeight="1">
      <c r="A21" s="927"/>
      <c r="B21" s="3296" t="s">
        <v>626</v>
      </c>
      <c r="C21" s="3296"/>
      <c r="D21" s="934"/>
      <c r="E21" s="3325" t="s">
        <v>1568</v>
      </c>
      <c r="F21" s="3326"/>
      <c r="G21" s="3326"/>
      <c r="H21" s="3326"/>
      <c r="I21" s="3326"/>
      <c r="J21" s="3326"/>
      <c r="K21" s="3326"/>
      <c r="L21" s="3326"/>
      <c r="M21" s="3326"/>
      <c r="N21" s="3326"/>
      <c r="O21" s="3326"/>
      <c r="P21" s="3326"/>
      <c r="Q21" s="3326"/>
      <c r="R21" s="3326"/>
      <c r="S21" s="3326"/>
      <c r="T21" s="3326"/>
      <c r="U21" s="3326"/>
      <c r="V21" s="3326"/>
      <c r="W21" s="3326"/>
      <c r="X21" s="3326"/>
      <c r="Y21" s="3326"/>
      <c r="Z21" s="3326"/>
      <c r="AA21" s="3326"/>
      <c r="AB21" s="3326"/>
      <c r="AC21" s="3326"/>
      <c r="AD21" s="3326"/>
      <c r="AE21" s="3326"/>
      <c r="AF21" s="3326"/>
      <c r="AG21" s="3326"/>
      <c r="AH21" s="3326"/>
      <c r="AI21" s="3326"/>
      <c r="AJ21" s="3327"/>
      <c r="AK21" s="927"/>
      <c r="AL21" s="927"/>
      <c r="AM21" s="927"/>
      <c r="AN21" s="923"/>
      <c r="AO21" s="924">
        <f>SUM(AO20)</f>
        <v>0</v>
      </c>
      <c r="AP21" s="924" t="s">
        <v>1566</v>
      </c>
    </row>
    <row r="22" spans="1:42" s="924" customFormat="1" ht="12.75" customHeight="1">
      <c r="A22" s="927"/>
      <c r="B22" s="927"/>
      <c r="C22" s="927"/>
      <c r="D22" s="937"/>
      <c r="E22" s="3328"/>
      <c r="F22" s="3329"/>
      <c r="G22" s="3329"/>
      <c r="H22" s="3329"/>
      <c r="I22" s="3329"/>
      <c r="J22" s="3329"/>
      <c r="K22" s="3329"/>
      <c r="L22" s="3329"/>
      <c r="M22" s="3329"/>
      <c r="N22" s="3329"/>
      <c r="O22" s="3329"/>
      <c r="P22" s="3329"/>
      <c r="Q22" s="3329"/>
      <c r="R22" s="3329"/>
      <c r="S22" s="3329"/>
      <c r="T22" s="3329"/>
      <c r="U22" s="3329"/>
      <c r="V22" s="3329"/>
      <c r="W22" s="3329"/>
      <c r="X22" s="3329"/>
      <c r="Y22" s="3329"/>
      <c r="Z22" s="3329"/>
      <c r="AA22" s="3329"/>
      <c r="AB22" s="3329"/>
      <c r="AC22" s="3329"/>
      <c r="AD22" s="3329"/>
      <c r="AE22" s="3329"/>
      <c r="AF22" s="3329"/>
      <c r="AG22" s="3329"/>
      <c r="AH22" s="3329"/>
      <c r="AI22" s="3329"/>
      <c r="AJ22" s="3330"/>
      <c r="AK22" s="927"/>
      <c r="AL22" s="927"/>
      <c r="AM22" s="927"/>
      <c r="AN22" s="923"/>
    </row>
    <row r="23" spans="1:42" s="924" customFormat="1" ht="12.75" customHeight="1">
      <c r="A23" s="927"/>
      <c r="B23" s="927"/>
      <c r="C23" s="927"/>
      <c r="D23" s="938"/>
      <c r="E23" s="927"/>
      <c r="F23" s="927"/>
      <c r="G23" s="927"/>
      <c r="H23" s="927"/>
      <c r="I23" s="927"/>
      <c r="J23" s="927"/>
      <c r="K23" s="927"/>
      <c r="L23" s="927"/>
      <c r="M23" s="927"/>
      <c r="N23" s="927"/>
      <c r="O23" s="927"/>
      <c r="P23" s="927"/>
      <c r="Q23" s="927"/>
      <c r="R23" s="927"/>
      <c r="S23" s="927"/>
      <c r="T23" s="927"/>
      <c r="U23" s="927"/>
      <c r="V23" s="927"/>
      <c r="W23" s="927"/>
      <c r="X23" s="927"/>
      <c r="Y23" s="927"/>
      <c r="Z23" s="927"/>
      <c r="AA23" s="927"/>
      <c r="AB23" s="927"/>
      <c r="AC23" s="927"/>
      <c r="AD23" s="927"/>
      <c r="AE23" s="927"/>
      <c r="AF23" s="927"/>
      <c r="AG23" s="927"/>
      <c r="AH23" s="927"/>
      <c r="AI23" s="927"/>
      <c r="AJ23" s="927"/>
      <c r="AK23" s="927"/>
      <c r="AL23" s="927"/>
      <c r="AM23" s="927"/>
      <c r="AN23" s="923"/>
      <c r="AO23" s="937">
        <f>IF($B37="yes",6,0)</f>
        <v>0</v>
      </c>
    </row>
    <row r="24" spans="1:42" s="924" customFormat="1" ht="12.75" customHeight="1">
      <c r="A24" s="927"/>
      <c r="B24" s="3296" t="s">
        <v>626</v>
      </c>
      <c r="C24" s="3296"/>
      <c r="D24" s="934"/>
      <c r="E24" s="3227" t="s">
        <v>1569</v>
      </c>
      <c r="F24" s="3228"/>
      <c r="G24" s="3228"/>
      <c r="H24" s="3228"/>
      <c r="I24" s="3228"/>
      <c r="J24" s="3228"/>
      <c r="K24" s="3228"/>
      <c r="L24" s="3228"/>
      <c r="M24" s="3228"/>
      <c r="N24" s="3228"/>
      <c r="O24" s="3228"/>
      <c r="P24" s="3228"/>
      <c r="Q24" s="3228"/>
      <c r="R24" s="3228"/>
      <c r="S24" s="3228"/>
      <c r="T24" s="3228"/>
      <c r="U24" s="3228"/>
      <c r="V24" s="3228"/>
      <c r="W24" s="3228"/>
      <c r="X24" s="3228"/>
      <c r="Y24" s="3228"/>
      <c r="Z24" s="3228"/>
      <c r="AA24" s="3228"/>
      <c r="AB24" s="3228"/>
      <c r="AC24" s="3228"/>
      <c r="AD24" s="3228"/>
      <c r="AE24" s="3228"/>
      <c r="AF24" s="3228"/>
      <c r="AG24" s="3228"/>
      <c r="AH24" s="3228"/>
      <c r="AI24" s="3228"/>
      <c r="AJ24" s="3229"/>
      <c r="AK24" s="927"/>
      <c r="AL24" s="927"/>
      <c r="AM24" s="927"/>
      <c r="AN24" s="923"/>
      <c r="AO24" s="937">
        <f>IF($B39="yes",6,0)</f>
        <v>0</v>
      </c>
    </row>
    <row r="25" spans="1:42" s="924" customFormat="1" ht="12.75" customHeight="1">
      <c r="A25" s="927"/>
      <c r="B25" s="927"/>
      <c r="C25" s="927"/>
      <c r="D25" s="937"/>
      <c r="E25" s="3297"/>
      <c r="F25" s="3298"/>
      <c r="G25" s="3298"/>
      <c r="H25" s="3298"/>
      <c r="I25" s="3298"/>
      <c r="J25" s="3298"/>
      <c r="K25" s="3298"/>
      <c r="L25" s="3298"/>
      <c r="M25" s="3298"/>
      <c r="N25" s="3298"/>
      <c r="O25" s="3298"/>
      <c r="P25" s="3298"/>
      <c r="Q25" s="3298"/>
      <c r="R25" s="3298"/>
      <c r="S25" s="3298"/>
      <c r="T25" s="3298"/>
      <c r="U25" s="3298"/>
      <c r="V25" s="3298"/>
      <c r="W25" s="3298"/>
      <c r="X25" s="3298"/>
      <c r="Y25" s="3298"/>
      <c r="Z25" s="3298"/>
      <c r="AA25" s="3298"/>
      <c r="AB25" s="3298"/>
      <c r="AC25" s="3298"/>
      <c r="AD25" s="3298"/>
      <c r="AE25" s="3298"/>
      <c r="AF25" s="3298"/>
      <c r="AG25" s="3298"/>
      <c r="AH25" s="3298"/>
      <c r="AI25" s="3298"/>
      <c r="AJ25" s="3299"/>
      <c r="AK25" s="927"/>
      <c r="AL25" s="927"/>
      <c r="AM25" s="927"/>
      <c r="AN25" s="923"/>
      <c r="AO25" s="937">
        <f>IF($B41="yes",6,0)</f>
        <v>0</v>
      </c>
    </row>
    <row r="26" spans="1:42" s="924" customFormat="1" ht="12.75" customHeight="1">
      <c r="A26" s="927"/>
      <c r="B26" s="927"/>
      <c r="C26" s="927"/>
      <c r="D26" s="937"/>
      <c r="E26" s="927"/>
      <c r="F26" s="927"/>
      <c r="G26" s="927"/>
      <c r="H26" s="927"/>
      <c r="I26" s="927"/>
      <c r="J26" s="927"/>
      <c r="K26" s="927"/>
      <c r="L26" s="927"/>
      <c r="M26" s="927"/>
      <c r="N26" s="927"/>
      <c r="O26" s="927"/>
      <c r="P26" s="927"/>
      <c r="Q26" s="927"/>
      <c r="R26" s="927"/>
      <c r="S26" s="927"/>
      <c r="T26" s="927"/>
      <c r="U26" s="927"/>
      <c r="V26" s="927"/>
      <c r="W26" s="927"/>
      <c r="X26" s="927"/>
      <c r="Y26" s="927"/>
      <c r="Z26" s="927"/>
      <c r="AA26" s="927"/>
      <c r="AB26" s="927"/>
      <c r="AC26" s="927"/>
      <c r="AD26" s="927"/>
      <c r="AE26" s="927"/>
      <c r="AF26" s="927"/>
      <c r="AG26" s="927"/>
      <c r="AH26" s="927"/>
      <c r="AI26" s="927"/>
      <c r="AJ26" s="927"/>
      <c r="AK26" s="927"/>
      <c r="AL26" s="927"/>
      <c r="AM26" s="927"/>
      <c r="AN26" s="923"/>
      <c r="AO26" s="937">
        <f>IF($B43="yes",6,0)</f>
        <v>0</v>
      </c>
    </row>
    <row r="27" spans="1:42" s="924" customFormat="1" ht="12.75" customHeight="1">
      <c r="A27" s="927"/>
      <c r="B27" s="931" t="s">
        <v>1570</v>
      </c>
      <c r="C27" s="927"/>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7"/>
      <c r="AG27" s="927"/>
      <c r="AH27" s="927"/>
      <c r="AI27" s="927"/>
      <c r="AJ27" s="927"/>
      <c r="AK27" s="927"/>
      <c r="AL27" s="927"/>
      <c r="AM27" s="927"/>
      <c r="AN27" s="923"/>
      <c r="AO27" s="937">
        <f>IF($B45="yes",6,0)</f>
        <v>0</v>
      </c>
    </row>
    <row r="28" spans="1:42" s="924" customFormat="1" ht="12.75" customHeight="1">
      <c r="A28" s="927"/>
      <c r="B28" s="927"/>
      <c r="C28" s="927"/>
      <c r="E28" s="927"/>
      <c r="F28" s="927"/>
      <c r="G28" s="927"/>
      <c r="H28" s="927"/>
      <c r="I28" s="927"/>
      <c r="J28" s="927"/>
      <c r="K28" s="927"/>
      <c r="L28" s="927"/>
      <c r="M28" s="927"/>
      <c r="N28" s="927"/>
      <c r="O28" s="927"/>
      <c r="P28" s="927"/>
      <c r="Q28" s="927"/>
      <c r="R28" s="927"/>
      <c r="S28" s="927"/>
      <c r="T28" s="927"/>
      <c r="U28" s="927"/>
      <c r="V28" s="927"/>
      <c r="W28" s="927"/>
      <c r="X28" s="927"/>
      <c r="Y28" s="927"/>
      <c r="Z28" s="927"/>
      <c r="AA28" s="927"/>
      <c r="AB28" s="927"/>
      <c r="AC28" s="927"/>
      <c r="AD28" s="927"/>
      <c r="AE28" s="927"/>
      <c r="AF28" s="927"/>
      <c r="AG28" s="927"/>
      <c r="AH28" s="927"/>
      <c r="AI28" s="927"/>
      <c r="AJ28" s="927"/>
      <c r="AK28" s="927"/>
      <c r="AL28" s="927"/>
      <c r="AM28" s="927"/>
      <c r="AN28" s="923"/>
      <c r="AO28" s="937">
        <f>IF($B47="yes",6,0)</f>
        <v>0</v>
      </c>
    </row>
    <row r="29" spans="1:42" s="924" customFormat="1" ht="12.75" customHeight="1">
      <c r="A29" s="927"/>
      <c r="B29" s="3296" t="s">
        <v>626</v>
      </c>
      <c r="C29" s="3296"/>
      <c r="D29" s="934"/>
      <c r="E29" s="3227" t="s">
        <v>1571</v>
      </c>
      <c r="F29" s="3228"/>
      <c r="G29" s="3228"/>
      <c r="H29" s="3228"/>
      <c r="I29" s="3228"/>
      <c r="J29" s="3228"/>
      <c r="K29" s="3228"/>
      <c r="L29" s="3228"/>
      <c r="M29" s="3228"/>
      <c r="N29" s="3228"/>
      <c r="O29" s="3228"/>
      <c r="P29" s="3228"/>
      <c r="Q29" s="3228"/>
      <c r="R29" s="3228"/>
      <c r="S29" s="3228"/>
      <c r="T29" s="3228"/>
      <c r="U29" s="3228"/>
      <c r="V29" s="3228"/>
      <c r="W29" s="3228"/>
      <c r="X29" s="3228"/>
      <c r="Y29" s="3228"/>
      <c r="Z29" s="3228"/>
      <c r="AA29" s="3228"/>
      <c r="AB29" s="3228"/>
      <c r="AC29" s="3228"/>
      <c r="AD29" s="3228"/>
      <c r="AE29" s="3228"/>
      <c r="AF29" s="3228"/>
      <c r="AG29" s="3228"/>
      <c r="AH29" s="3228"/>
      <c r="AI29" s="3228"/>
      <c r="AJ29" s="3229"/>
      <c r="AK29" s="927"/>
      <c r="AL29" s="927"/>
      <c r="AM29" s="927"/>
      <c r="AN29" s="923"/>
      <c r="AO29" s="937">
        <f>IF($B49="yes",6,0)</f>
        <v>0</v>
      </c>
    </row>
    <row r="30" spans="1:42" s="924" customFormat="1" ht="12.75" customHeight="1">
      <c r="A30" s="927"/>
      <c r="B30" s="927"/>
      <c r="C30" s="927"/>
      <c r="E30" s="3230"/>
      <c r="F30" s="3231"/>
      <c r="G30" s="3231"/>
      <c r="H30" s="3231"/>
      <c r="I30" s="3231"/>
      <c r="J30" s="3231"/>
      <c r="K30" s="3231"/>
      <c r="L30" s="3231"/>
      <c r="M30" s="3231"/>
      <c r="N30" s="3231"/>
      <c r="O30" s="3231"/>
      <c r="P30" s="3231"/>
      <c r="Q30" s="3231"/>
      <c r="R30" s="3231"/>
      <c r="S30" s="3231"/>
      <c r="T30" s="3231"/>
      <c r="U30" s="3231"/>
      <c r="V30" s="3231"/>
      <c r="W30" s="3231"/>
      <c r="X30" s="3231"/>
      <c r="Y30" s="3231"/>
      <c r="Z30" s="3231"/>
      <c r="AA30" s="3231"/>
      <c r="AB30" s="3231"/>
      <c r="AC30" s="3231"/>
      <c r="AD30" s="3231"/>
      <c r="AE30" s="3231"/>
      <c r="AF30" s="3231"/>
      <c r="AG30" s="3231"/>
      <c r="AH30" s="3231"/>
      <c r="AI30" s="3231"/>
      <c r="AJ30" s="3232"/>
      <c r="AK30" s="927"/>
      <c r="AL30" s="927"/>
      <c r="AM30" s="927"/>
      <c r="AN30" s="923"/>
      <c r="AO30" s="924">
        <f>IF(SUM(AO23:AO29)&gt;6,6,(SUM(AO23:AO29)))</f>
        <v>0</v>
      </c>
      <c r="AP30" s="924" t="s">
        <v>1566</v>
      </c>
    </row>
    <row r="31" spans="1:42" s="924" customFormat="1" ht="12.75" customHeight="1">
      <c r="A31" s="927"/>
      <c r="B31" s="927"/>
      <c r="C31" s="927"/>
      <c r="E31" s="3297"/>
      <c r="F31" s="3298"/>
      <c r="G31" s="3298"/>
      <c r="H31" s="3298"/>
      <c r="I31" s="3298"/>
      <c r="J31" s="3298"/>
      <c r="K31" s="3298"/>
      <c r="L31" s="3298"/>
      <c r="M31" s="3298"/>
      <c r="N31" s="3298"/>
      <c r="O31" s="3298"/>
      <c r="P31" s="3298"/>
      <c r="Q31" s="3298"/>
      <c r="R31" s="3298"/>
      <c r="S31" s="3298"/>
      <c r="T31" s="3298"/>
      <c r="U31" s="3298"/>
      <c r="V31" s="3298"/>
      <c r="W31" s="3298"/>
      <c r="X31" s="3298"/>
      <c r="Y31" s="3298"/>
      <c r="Z31" s="3298"/>
      <c r="AA31" s="3298"/>
      <c r="AB31" s="3298"/>
      <c r="AC31" s="3298"/>
      <c r="AD31" s="3298"/>
      <c r="AE31" s="3298"/>
      <c r="AF31" s="3298"/>
      <c r="AG31" s="3298"/>
      <c r="AH31" s="3298"/>
      <c r="AI31" s="3298"/>
      <c r="AJ31" s="3299"/>
      <c r="AK31" s="927"/>
      <c r="AL31" s="927"/>
      <c r="AM31" s="927"/>
      <c r="AN31" s="923"/>
    </row>
    <row r="32" spans="1:42" s="924" customFormat="1" ht="12.75" customHeight="1">
      <c r="A32" s="927"/>
      <c r="B32" s="927"/>
      <c r="C32" s="927"/>
      <c r="E32" s="927"/>
      <c r="F32" s="927"/>
      <c r="G32" s="927"/>
      <c r="H32" s="927"/>
      <c r="I32" s="927"/>
      <c r="J32" s="927"/>
      <c r="K32" s="927"/>
      <c r="L32" s="927"/>
      <c r="M32" s="927"/>
      <c r="N32" s="927"/>
      <c r="O32" s="927"/>
      <c r="P32" s="927"/>
      <c r="Q32" s="927"/>
      <c r="R32" s="927"/>
      <c r="S32" s="927"/>
      <c r="T32" s="927"/>
      <c r="U32" s="927"/>
      <c r="V32" s="927"/>
      <c r="W32" s="927"/>
      <c r="X32" s="927"/>
      <c r="Y32" s="927"/>
      <c r="Z32" s="927"/>
      <c r="AA32" s="927"/>
      <c r="AB32" s="927"/>
      <c r="AC32" s="927"/>
      <c r="AD32" s="927"/>
      <c r="AE32" s="927"/>
      <c r="AF32" s="927"/>
      <c r="AG32" s="927"/>
      <c r="AH32" s="927"/>
      <c r="AI32" s="927"/>
      <c r="AJ32" s="927"/>
      <c r="AK32" s="927"/>
      <c r="AL32" s="927"/>
      <c r="AM32" s="927"/>
      <c r="AN32" s="923"/>
      <c r="AO32" s="924">
        <f>MAX(AO16,AO21,AO30)</f>
        <v>0</v>
      </c>
    </row>
    <row r="33" spans="1:41" s="924" customFormat="1" ht="12.75" customHeight="1">
      <c r="A33" s="927"/>
      <c r="B33" s="931" t="s">
        <v>1572</v>
      </c>
      <c r="C33" s="927"/>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7"/>
      <c r="AG33" s="927"/>
      <c r="AH33" s="927"/>
      <c r="AI33" s="927"/>
      <c r="AJ33" s="927"/>
      <c r="AK33" s="927"/>
      <c r="AL33" s="927"/>
      <c r="AM33" s="927"/>
      <c r="AN33" s="923"/>
    </row>
    <row r="34" spans="1:41" s="924" customFormat="1" ht="12.75" customHeight="1">
      <c r="A34" s="927"/>
      <c r="B34" s="3321" t="s">
        <v>2395</v>
      </c>
      <c r="C34" s="3321"/>
      <c r="D34" s="3321"/>
      <c r="E34" s="3321"/>
      <c r="F34" s="3321"/>
      <c r="G34" s="3321"/>
      <c r="H34" s="3321"/>
      <c r="I34" s="3321"/>
      <c r="J34" s="3321"/>
      <c r="K34" s="3321"/>
      <c r="L34" s="3321"/>
      <c r="M34" s="3321"/>
      <c r="N34" s="3321"/>
      <c r="O34" s="3321"/>
      <c r="P34" s="3321"/>
      <c r="Q34" s="3321"/>
      <c r="R34" s="3321"/>
      <c r="S34" s="3321"/>
      <c r="T34" s="3321"/>
      <c r="U34" s="3321"/>
      <c r="V34" s="3321"/>
      <c r="W34" s="3321"/>
      <c r="X34" s="3321"/>
      <c r="Y34" s="3321"/>
      <c r="Z34" s="3321"/>
      <c r="AA34" s="3321"/>
      <c r="AB34" s="3321"/>
      <c r="AC34" s="3321"/>
      <c r="AD34" s="3321"/>
      <c r="AE34" s="3321"/>
      <c r="AF34" s="3321"/>
      <c r="AG34" s="3321"/>
      <c r="AH34" s="3321"/>
      <c r="AI34" s="3321"/>
      <c r="AJ34" s="3321"/>
      <c r="AK34" s="3321"/>
      <c r="AL34" s="927"/>
      <c r="AM34" s="927"/>
      <c r="AN34" s="923"/>
    </row>
    <row r="35" spans="1:41" s="924" customFormat="1" ht="12.75" customHeight="1">
      <c r="A35" s="927"/>
      <c r="B35" s="3321"/>
      <c r="C35" s="3321"/>
      <c r="D35" s="3321"/>
      <c r="E35" s="3321"/>
      <c r="F35" s="3321"/>
      <c r="G35" s="3321"/>
      <c r="H35" s="3321"/>
      <c r="I35" s="3321"/>
      <c r="J35" s="3321"/>
      <c r="K35" s="3321"/>
      <c r="L35" s="3321"/>
      <c r="M35" s="3321"/>
      <c r="N35" s="3321"/>
      <c r="O35" s="3321"/>
      <c r="P35" s="3321"/>
      <c r="Q35" s="3321"/>
      <c r="R35" s="3321"/>
      <c r="S35" s="3321"/>
      <c r="T35" s="3321"/>
      <c r="U35" s="3321"/>
      <c r="V35" s="3321"/>
      <c r="W35" s="3321"/>
      <c r="X35" s="3321"/>
      <c r="Y35" s="3321"/>
      <c r="Z35" s="3321"/>
      <c r="AA35" s="3321"/>
      <c r="AB35" s="3321"/>
      <c r="AC35" s="3321"/>
      <c r="AD35" s="3321"/>
      <c r="AE35" s="3321"/>
      <c r="AF35" s="3321"/>
      <c r="AG35" s="3321"/>
      <c r="AH35" s="3321"/>
      <c r="AI35" s="3321"/>
      <c r="AJ35" s="3321"/>
      <c r="AK35" s="3321"/>
      <c r="AL35" s="927"/>
      <c r="AM35" s="927"/>
      <c r="AN35" s="923"/>
    </row>
    <row r="36" spans="1:41" s="924" customFormat="1" ht="12.75" customHeight="1">
      <c r="A36" s="927"/>
      <c r="B36" s="927"/>
      <c r="C36" s="927"/>
      <c r="E36" s="927"/>
      <c r="F36" s="927"/>
      <c r="G36" s="927"/>
      <c r="H36" s="927"/>
      <c r="I36" s="927"/>
      <c r="J36" s="927"/>
      <c r="K36" s="927"/>
      <c r="L36" s="927"/>
      <c r="M36" s="927"/>
      <c r="N36" s="927"/>
      <c r="O36" s="927"/>
      <c r="P36" s="927"/>
      <c r="Q36" s="927"/>
      <c r="R36" s="927"/>
      <c r="S36" s="927"/>
      <c r="T36" s="927"/>
      <c r="U36" s="927"/>
      <c r="V36" s="927"/>
      <c r="W36" s="927"/>
      <c r="X36" s="927"/>
      <c r="Y36" s="927"/>
      <c r="Z36" s="927"/>
      <c r="AA36" s="927"/>
      <c r="AB36" s="927"/>
      <c r="AC36" s="927"/>
      <c r="AD36" s="927"/>
      <c r="AE36" s="927"/>
      <c r="AF36" s="927"/>
      <c r="AG36" s="927"/>
      <c r="AH36" s="927"/>
      <c r="AI36" s="927"/>
      <c r="AJ36" s="927"/>
      <c r="AK36" s="927"/>
      <c r="AL36" s="927"/>
      <c r="AM36" s="927"/>
      <c r="AN36" s="923"/>
    </row>
    <row r="37" spans="1:41" s="924" customFormat="1" ht="12.75" customHeight="1">
      <c r="A37" s="927"/>
      <c r="B37" s="3296" t="s">
        <v>626</v>
      </c>
      <c r="C37" s="3296"/>
      <c r="D37" s="934"/>
      <c r="E37" s="942" t="s">
        <v>1573</v>
      </c>
      <c r="F37" s="927"/>
      <c r="G37" s="927"/>
      <c r="H37" s="927"/>
      <c r="I37" s="927"/>
      <c r="J37" s="927"/>
      <c r="K37" s="927"/>
      <c r="L37" s="927"/>
      <c r="M37" s="927"/>
      <c r="N37" s="927"/>
      <c r="O37" s="927"/>
      <c r="P37" s="927"/>
      <c r="Q37" s="927"/>
      <c r="R37" s="927"/>
      <c r="S37" s="927"/>
      <c r="T37" s="927"/>
      <c r="U37" s="927"/>
      <c r="V37" s="927"/>
      <c r="W37" s="927"/>
      <c r="X37" s="927"/>
      <c r="Y37" s="927"/>
      <c r="Z37" s="927"/>
      <c r="AA37" s="927"/>
      <c r="AB37" s="927"/>
      <c r="AC37" s="927"/>
      <c r="AD37" s="927"/>
      <c r="AE37" s="927"/>
      <c r="AF37" s="927"/>
      <c r="AG37" s="927"/>
      <c r="AH37" s="927"/>
      <c r="AI37" s="927"/>
      <c r="AJ37" s="927"/>
      <c r="AK37" s="927"/>
      <c r="AL37" s="927"/>
      <c r="AM37" s="927"/>
      <c r="AN37" s="923"/>
      <c r="AO37" s="943"/>
    </row>
    <row r="38" spans="1:41" s="924" customFormat="1" ht="12.75" customHeight="1">
      <c r="A38" s="927"/>
      <c r="B38" s="927"/>
      <c r="C38" s="927"/>
      <c r="E38" s="927"/>
      <c r="F38" s="927"/>
      <c r="G38" s="927"/>
      <c r="H38" s="927"/>
      <c r="I38" s="927"/>
      <c r="J38" s="927"/>
      <c r="K38" s="927"/>
      <c r="L38" s="927"/>
      <c r="M38" s="927"/>
      <c r="N38" s="927"/>
      <c r="O38" s="927"/>
      <c r="P38" s="927"/>
      <c r="Q38" s="927"/>
      <c r="R38" s="927"/>
      <c r="S38" s="927"/>
      <c r="T38" s="927"/>
      <c r="U38" s="927"/>
      <c r="V38" s="927"/>
      <c r="W38" s="927"/>
      <c r="X38" s="927"/>
      <c r="Y38" s="927"/>
      <c r="Z38" s="927"/>
      <c r="AA38" s="927"/>
      <c r="AB38" s="927"/>
      <c r="AC38" s="927"/>
      <c r="AD38" s="927"/>
      <c r="AE38" s="927"/>
      <c r="AF38" s="927"/>
      <c r="AG38" s="927"/>
      <c r="AH38" s="927"/>
      <c r="AI38" s="927"/>
      <c r="AJ38" s="927"/>
      <c r="AK38" s="927"/>
      <c r="AL38" s="927"/>
      <c r="AM38" s="927"/>
      <c r="AN38" s="923"/>
      <c r="AO38" s="943"/>
    </row>
    <row r="39" spans="1:41" s="924" customFormat="1" ht="12.75" customHeight="1">
      <c r="A39" s="927"/>
      <c r="B39" s="3296" t="s">
        <v>626</v>
      </c>
      <c r="C39" s="3296"/>
      <c r="D39" s="934"/>
      <c r="E39" s="944" t="s">
        <v>1574</v>
      </c>
      <c r="F39" s="927"/>
      <c r="G39" s="927"/>
      <c r="H39" s="927"/>
      <c r="I39" s="927"/>
      <c r="J39" s="927"/>
      <c r="K39" s="927"/>
      <c r="L39" s="927"/>
      <c r="M39" s="927"/>
      <c r="N39" s="927"/>
      <c r="O39" s="927"/>
      <c r="P39" s="927"/>
      <c r="Q39" s="927"/>
      <c r="R39" s="927"/>
      <c r="S39" s="927"/>
      <c r="T39" s="927"/>
      <c r="U39" s="927"/>
      <c r="V39" s="927"/>
      <c r="W39" s="927"/>
      <c r="X39" s="927"/>
      <c r="Y39" s="927"/>
      <c r="Z39" s="927"/>
      <c r="AA39" s="927"/>
      <c r="AB39" s="927"/>
      <c r="AC39" s="927"/>
      <c r="AD39" s="927"/>
      <c r="AE39" s="927"/>
      <c r="AF39" s="927"/>
      <c r="AG39" s="927"/>
      <c r="AH39" s="927"/>
      <c r="AI39" s="927"/>
      <c r="AJ39" s="927"/>
      <c r="AK39" s="927"/>
      <c r="AL39" s="927"/>
      <c r="AM39" s="927"/>
      <c r="AN39" s="923"/>
      <c r="AO39" s="943"/>
    </row>
    <row r="40" spans="1:41" s="924" customFormat="1" ht="12.75" customHeight="1">
      <c r="A40" s="927"/>
      <c r="B40" s="927"/>
      <c r="C40" s="927"/>
      <c r="D40" s="927"/>
      <c r="E40" s="927"/>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7"/>
      <c r="AD40" s="927"/>
      <c r="AE40" s="927"/>
      <c r="AF40" s="927"/>
      <c r="AG40" s="927"/>
      <c r="AH40" s="927"/>
      <c r="AI40" s="927"/>
      <c r="AJ40" s="927"/>
      <c r="AK40" s="927"/>
      <c r="AL40" s="927"/>
      <c r="AM40" s="927"/>
      <c r="AN40" s="923"/>
      <c r="AO40" s="943"/>
    </row>
    <row r="41" spans="1:41" s="924" customFormat="1" ht="12.75" customHeight="1">
      <c r="A41" s="927"/>
      <c r="B41" s="3296" t="s">
        <v>626</v>
      </c>
      <c r="C41" s="3296"/>
      <c r="D41" s="934"/>
      <c r="E41" s="945" t="s">
        <v>1575</v>
      </c>
      <c r="F41" s="927"/>
      <c r="G41" s="927"/>
      <c r="H41" s="927"/>
      <c r="I41" s="927"/>
      <c r="J41" s="927"/>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c r="AN41" s="923"/>
      <c r="AO41" s="943"/>
    </row>
    <row r="42" spans="1:41" s="924" customFormat="1" ht="12.75" customHeight="1">
      <c r="A42" s="927"/>
      <c r="B42" s="927"/>
      <c r="C42" s="927"/>
      <c r="D42" s="927"/>
      <c r="E42" s="945"/>
      <c r="F42" s="943"/>
      <c r="G42" s="943"/>
      <c r="H42" s="927"/>
      <c r="I42" s="927"/>
      <c r="J42" s="927"/>
      <c r="K42" s="927"/>
      <c r="L42" s="927"/>
      <c r="M42" s="927"/>
      <c r="N42" s="927"/>
      <c r="O42" s="927"/>
      <c r="P42" s="927"/>
      <c r="Q42" s="927"/>
      <c r="R42" s="927"/>
      <c r="S42" s="927"/>
      <c r="T42" s="927"/>
      <c r="U42" s="927"/>
      <c r="V42" s="927"/>
      <c r="W42" s="927"/>
      <c r="X42" s="927"/>
      <c r="Y42" s="927"/>
      <c r="Z42" s="927"/>
      <c r="AA42" s="927"/>
      <c r="AB42" s="927"/>
      <c r="AC42" s="927"/>
      <c r="AD42" s="927"/>
      <c r="AE42" s="927"/>
      <c r="AF42" s="927"/>
      <c r="AG42" s="927"/>
      <c r="AH42" s="927"/>
      <c r="AI42" s="927"/>
      <c r="AJ42" s="927"/>
      <c r="AK42" s="927"/>
      <c r="AL42" s="927"/>
      <c r="AM42" s="927"/>
      <c r="AN42" s="923"/>
      <c r="AO42" s="946"/>
    </row>
    <row r="43" spans="1:41" s="924" customFormat="1" ht="12.75" customHeight="1">
      <c r="A43" s="927"/>
      <c r="B43" s="3296" t="s">
        <v>626</v>
      </c>
      <c r="C43" s="3296"/>
      <c r="D43" s="934"/>
      <c r="E43" s="945" t="s">
        <v>1576</v>
      </c>
      <c r="F43" s="943"/>
      <c r="G43" s="943"/>
      <c r="H43" s="927"/>
      <c r="I43" s="927"/>
      <c r="J43" s="927"/>
      <c r="K43" s="927"/>
      <c r="L43" s="927"/>
      <c r="M43" s="927"/>
      <c r="N43" s="927"/>
      <c r="O43" s="927"/>
      <c r="P43" s="927"/>
      <c r="Q43" s="927"/>
      <c r="R43" s="927"/>
      <c r="S43" s="927"/>
      <c r="T43" s="927"/>
      <c r="U43" s="927"/>
      <c r="V43" s="927"/>
      <c r="W43" s="927"/>
      <c r="X43" s="927"/>
      <c r="Y43" s="927"/>
      <c r="Z43" s="927"/>
      <c r="AA43" s="927"/>
      <c r="AB43" s="927"/>
      <c r="AC43" s="927"/>
      <c r="AD43" s="927"/>
      <c r="AE43" s="927"/>
      <c r="AF43" s="927"/>
      <c r="AG43" s="927"/>
      <c r="AH43" s="927"/>
      <c r="AI43" s="927"/>
      <c r="AJ43" s="927"/>
      <c r="AK43" s="927"/>
      <c r="AL43" s="927"/>
      <c r="AM43" s="927"/>
      <c r="AN43" s="923"/>
      <c r="AO43" s="946"/>
    </row>
    <row r="44" spans="1:41" s="924" customFormat="1" ht="12.75" customHeight="1">
      <c r="A44" s="927"/>
      <c r="B44" s="927"/>
      <c r="C44" s="927"/>
      <c r="D44" s="927"/>
      <c r="E44" s="945"/>
      <c r="F44" s="943"/>
      <c r="G44" s="943"/>
      <c r="H44" s="927"/>
      <c r="I44" s="927"/>
      <c r="J44" s="927"/>
      <c r="K44" s="927"/>
      <c r="L44" s="927"/>
      <c r="M44" s="927"/>
      <c r="N44" s="927"/>
      <c r="O44" s="927"/>
      <c r="P44" s="927"/>
      <c r="Q44" s="927"/>
      <c r="R44" s="927"/>
      <c r="S44" s="927"/>
      <c r="T44" s="927"/>
      <c r="U44" s="927"/>
      <c r="V44" s="927"/>
      <c r="W44" s="927"/>
      <c r="X44" s="927"/>
      <c r="Y44" s="927"/>
      <c r="Z44" s="927"/>
      <c r="AA44" s="927"/>
      <c r="AB44" s="927"/>
      <c r="AC44" s="927"/>
      <c r="AD44" s="927"/>
      <c r="AE44" s="927"/>
      <c r="AF44" s="927"/>
      <c r="AG44" s="927"/>
      <c r="AH44" s="927"/>
      <c r="AI44" s="927"/>
      <c r="AJ44" s="927"/>
      <c r="AK44" s="927"/>
      <c r="AL44" s="927"/>
      <c r="AM44" s="927"/>
      <c r="AN44" s="923"/>
    </row>
    <row r="45" spans="1:41" s="924" customFormat="1" ht="12.75" customHeight="1">
      <c r="A45" s="927"/>
      <c r="B45" s="3296" t="s">
        <v>626</v>
      </c>
      <c r="C45" s="3296"/>
      <c r="D45" s="934"/>
      <c r="E45" s="945" t="s">
        <v>1577</v>
      </c>
      <c r="F45" s="943"/>
      <c r="G45" s="943"/>
      <c r="H45" s="927"/>
      <c r="I45" s="927"/>
      <c r="J45" s="927"/>
      <c r="K45" s="927"/>
      <c r="L45" s="927"/>
      <c r="M45" s="927"/>
      <c r="N45" s="927"/>
      <c r="O45" s="927"/>
      <c r="P45" s="927"/>
      <c r="Q45" s="927"/>
      <c r="R45" s="927"/>
      <c r="S45" s="927"/>
      <c r="T45" s="927"/>
      <c r="U45" s="927"/>
      <c r="V45" s="927"/>
      <c r="W45" s="927"/>
      <c r="X45" s="927"/>
      <c r="Y45" s="927"/>
      <c r="Z45" s="927"/>
      <c r="AA45" s="927"/>
      <c r="AB45" s="927"/>
      <c r="AC45" s="927"/>
      <c r="AD45" s="927"/>
      <c r="AE45" s="927"/>
      <c r="AF45" s="927"/>
      <c r="AG45" s="927"/>
      <c r="AH45" s="927"/>
      <c r="AI45" s="927"/>
      <c r="AJ45" s="927"/>
      <c r="AK45" s="927"/>
      <c r="AL45" s="927"/>
      <c r="AM45" s="927"/>
      <c r="AN45" s="923"/>
    </row>
    <row r="46" spans="1:41" s="924" customFormat="1" ht="12.75" customHeight="1">
      <c r="A46" s="927"/>
      <c r="B46" s="927"/>
      <c r="C46" s="927"/>
      <c r="D46" s="927"/>
      <c r="E46" s="945"/>
      <c r="F46" s="943"/>
      <c r="G46" s="943"/>
      <c r="H46" s="927"/>
      <c r="I46" s="927"/>
      <c r="J46" s="927"/>
      <c r="K46" s="927"/>
      <c r="L46" s="927"/>
      <c r="M46" s="927"/>
      <c r="N46" s="927"/>
      <c r="O46" s="927"/>
      <c r="P46" s="927"/>
      <c r="Q46" s="927"/>
      <c r="R46" s="927"/>
      <c r="S46" s="927"/>
      <c r="T46" s="927"/>
      <c r="U46" s="927"/>
      <c r="V46" s="927"/>
      <c r="W46" s="927"/>
      <c r="X46" s="927"/>
      <c r="Y46" s="927"/>
      <c r="Z46" s="927"/>
      <c r="AA46" s="927"/>
      <c r="AB46" s="927"/>
      <c r="AC46" s="927"/>
      <c r="AD46" s="927"/>
      <c r="AE46" s="927"/>
      <c r="AF46" s="927"/>
      <c r="AG46" s="927"/>
      <c r="AH46" s="927"/>
      <c r="AI46" s="927"/>
      <c r="AJ46" s="927"/>
      <c r="AK46" s="927"/>
      <c r="AL46" s="927"/>
      <c r="AM46" s="927"/>
      <c r="AN46" s="923"/>
    </row>
    <row r="47" spans="1:41" s="924" customFormat="1" ht="12.75" customHeight="1">
      <c r="A47" s="927"/>
      <c r="B47" s="3296" t="s">
        <v>626</v>
      </c>
      <c r="C47" s="3296"/>
      <c r="D47" s="934"/>
      <c r="E47" s="947" t="s">
        <v>1578</v>
      </c>
      <c r="F47" s="943"/>
      <c r="G47" s="943"/>
      <c r="H47" s="927"/>
      <c r="I47" s="927"/>
      <c r="J47" s="927"/>
      <c r="K47" s="927"/>
      <c r="L47" s="927"/>
      <c r="M47" s="927"/>
      <c r="N47" s="927"/>
      <c r="O47" s="927"/>
      <c r="P47" s="927"/>
      <c r="Q47" s="927"/>
      <c r="R47" s="927"/>
      <c r="S47" s="927"/>
      <c r="T47" s="927"/>
      <c r="U47" s="927"/>
      <c r="V47" s="927"/>
      <c r="W47" s="927"/>
      <c r="X47" s="927"/>
      <c r="Y47" s="927"/>
      <c r="Z47" s="927"/>
      <c r="AA47" s="927"/>
      <c r="AB47" s="927"/>
      <c r="AC47" s="927"/>
      <c r="AD47" s="927"/>
      <c r="AE47" s="927"/>
      <c r="AF47" s="927"/>
      <c r="AG47" s="927"/>
      <c r="AH47" s="927"/>
      <c r="AI47" s="927"/>
      <c r="AJ47" s="927"/>
      <c r="AK47" s="927"/>
      <c r="AL47" s="927"/>
      <c r="AM47" s="927"/>
      <c r="AN47" s="923"/>
    </row>
    <row r="48" spans="1:41" s="924" customFormat="1" ht="12.75" customHeight="1">
      <c r="A48" s="927"/>
      <c r="B48" s="927"/>
      <c r="C48" s="927"/>
      <c r="D48" s="927"/>
      <c r="E48" s="927"/>
      <c r="F48" s="927"/>
      <c r="G48" s="927"/>
      <c r="H48" s="927"/>
      <c r="I48" s="927"/>
      <c r="J48" s="927"/>
      <c r="K48" s="927"/>
      <c r="L48" s="927"/>
      <c r="M48" s="927"/>
      <c r="N48" s="927"/>
      <c r="O48" s="927"/>
      <c r="P48" s="927"/>
      <c r="Q48" s="927"/>
      <c r="R48" s="927"/>
      <c r="S48" s="927"/>
      <c r="T48" s="927"/>
      <c r="U48" s="927"/>
      <c r="V48" s="927"/>
      <c r="W48" s="927"/>
      <c r="X48" s="927"/>
      <c r="Y48" s="927"/>
      <c r="Z48" s="927"/>
      <c r="AA48" s="927"/>
      <c r="AB48" s="927"/>
      <c r="AC48" s="927"/>
      <c r="AD48" s="927"/>
      <c r="AE48" s="927"/>
      <c r="AF48" s="927"/>
      <c r="AG48" s="927"/>
      <c r="AH48" s="927"/>
      <c r="AI48" s="927"/>
      <c r="AJ48" s="927"/>
      <c r="AK48" s="927"/>
      <c r="AL48" s="927"/>
      <c r="AM48" s="927"/>
      <c r="AN48" s="923"/>
    </row>
    <row r="49" spans="1:50" s="924" customFormat="1" ht="12.75" customHeight="1">
      <c r="A49" s="927"/>
      <c r="B49" s="3296" t="s">
        <v>626</v>
      </c>
      <c r="C49" s="3296"/>
      <c r="D49" s="934"/>
      <c r="E49" s="947" t="s">
        <v>1579</v>
      </c>
      <c r="F49" s="927"/>
      <c r="G49" s="927"/>
      <c r="H49" s="927"/>
      <c r="I49" s="927"/>
      <c r="J49" s="927"/>
      <c r="K49" s="927"/>
      <c r="L49" s="927"/>
      <c r="M49" s="927"/>
      <c r="N49" s="927"/>
      <c r="O49" s="927"/>
      <c r="P49" s="927"/>
      <c r="Q49" s="927"/>
      <c r="R49" s="927"/>
      <c r="S49" s="927"/>
      <c r="T49" s="927"/>
      <c r="U49" s="927"/>
      <c r="V49" s="927"/>
      <c r="W49" s="927"/>
      <c r="X49" s="927"/>
      <c r="Y49" s="927"/>
      <c r="Z49" s="927"/>
      <c r="AA49" s="927"/>
      <c r="AB49" s="927"/>
      <c r="AC49" s="927"/>
      <c r="AD49" s="927"/>
      <c r="AE49" s="927"/>
      <c r="AF49" s="927"/>
      <c r="AG49" s="927"/>
      <c r="AH49" s="927"/>
      <c r="AI49" s="927"/>
      <c r="AJ49" s="927"/>
      <c r="AK49" s="927"/>
      <c r="AL49" s="927"/>
      <c r="AM49" s="927"/>
      <c r="AN49" s="923"/>
      <c r="AX49" s="948"/>
    </row>
    <row r="50" spans="1:50" s="924" customFormat="1" ht="12.75" customHeight="1">
      <c r="A50" s="927"/>
      <c r="B50" s="927"/>
      <c r="C50" s="927"/>
      <c r="D50" s="927"/>
      <c r="E50" s="927"/>
      <c r="F50" s="927"/>
      <c r="G50" s="927"/>
      <c r="H50" s="927"/>
      <c r="I50" s="927"/>
      <c r="J50" s="927"/>
      <c r="K50" s="927"/>
      <c r="L50" s="927"/>
      <c r="M50" s="927"/>
      <c r="N50" s="927"/>
      <c r="O50" s="927"/>
      <c r="P50" s="927"/>
      <c r="Q50" s="927"/>
      <c r="R50" s="927"/>
      <c r="S50" s="927"/>
      <c r="T50" s="927"/>
      <c r="U50" s="927"/>
      <c r="V50" s="927"/>
      <c r="W50" s="927"/>
      <c r="X50" s="927"/>
      <c r="Y50" s="927"/>
      <c r="Z50" s="927"/>
      <c r="AA50" s="927"/>
      <c r="AB50" s="927"/>
      <c r="AC50" s="927"/>
      <c r="AD50" s="927"/>
      <c r="AE50" s="927"/>
      <c r="AF50" s="927"/>
      <c r="AG50" s="927"/>
      <c r="AH50" s="927"/>
      <c r="AI50" s="927"/>
      <c r="AJ50" s="927"/>
      <c r="AK50" s="927"/>
      <c r="AL50" s="927"/>
      <c r="AM50" s="927"/>
      <c r="AN50" s="923"/>
    </row>
    <row r="51" spans="1:50" s="924" customFormat="1" ht="12.75" customHeight="1">
      <c r="A51" s="949"/>
      <c r="B51" s="950"/>
      <c r="C51" s="950"/>
      <c r="D51" s="950"/>
      <c r="E51" s="950"/>
      <c r="F51" s="950"/>
      <c r="G51" s="951"/>
      <c r="H51" s="952"/>
      <c r="I51" s="952"/>
      <c r="J51" s="952"/>
      <c r="K51" s="952"/>
      <c r="L51" s="952"/>
      <c r="M51" s="952"/>
      <c r="N51" s="952"/>
      <c r="O51" s="952"/>
      <c r="P51" s="952"/>
      <c r="Q51" s="952"/>
      <c r="R51" s="952"/>
      <c r="S51" s="952"/>
      <c r="T51" s="952"/>
      <c r="U51" s="952"/>
      <c r="V51" s="952"/>
      <c r="W51" s="952"/>
      <c r="X51" s="952"/>
      <c r="Y51" s="952"/>
      <c r="Z51" s="952"/>
      <c r="AA51" s="952"/>
      <c r="AB51" s="952"/>
      <c r="AC51" s="952"/>
      <c r="AD51" s="952"/>
      <c r="AE51" s="952"/>
      <c r="AF51" s="952"/>
      <c r="AG51" s="952"/>
      <c r="AH51" s="952"/>
      <c r="AI51" s="953"/>
      <c r="AJ51" s="953" t="s">
        <v>1580</v>
      </c>
      <c r="AK51" s="3271">
        <f>AO32</f>
        <v>0</v>
      </c>
      <c r="AL51" s="3272"/>
      <c r="AM51" s="3273"/>
      <c r="AN51" s="923"/>
    </row>
    <row r="52" spans="1:50" s="924" customFormat="1" ht="12.75" customHeight="1" thickBot="1">
      <c r="A52" s="954"/>
      <c r="B52" s="955"/>
      <c r="C52" s="95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c r="AH52" s="956"/>
      <c r="AI52" s="956"/>
      <c r="AJ52" s="956"/>
      <c r="AK52" s="956"/>
      <c r="AL52" s="956"/>
      <c r="AM52" s="957"/>
      <c r="AN52" s="923"/>
    </row>
    <row r="53" spans="1:50" s="924" customFormat="1" ht="12.75" customHeight="1" thickTop="1">
      <c r="A53" s="958"/>
      <c r="B53" s="959"/>
      <c r="C53" s="960"/>
      <c r="D53" s="960"/>
      <c r="E53" s="960"/>
      <c r="F53" s="960"/>
      <c r="G53" s="960"/>
      <c r="H53" s="960"/>
      <c r="I53" s="961"/>
      <c r="J53" s="961"/>
      <c r="K53" s="961"/>
      <c r="L53" s="961"/>
      <c r="M53" s="961"/>
      <c r="N53" s="961"/>
      <c r="O53" s="961"/>
      <c r="P53" s="961"/>
      <c r="Q53" s="961"/>
      <c r="R53" s="958"/>
      <c r="S53" s="926"/>
      <c r="T53" s="926"/>
      <c r="U53" s="926"/>
      <c r="V53" s="926"/>
      <c r="W53" s="926"/>
      <c r="X53" s="926"/>
      <c r="Y53" s="926"/>
      <c r="Z53" s="926"/>
      <c r="AA53" s="926"/>
      <c r="AB53" s="926"/>
      <c r="AC53" s="926"/>
      <c r="AD53" s="926"/>
      <c r="AE53" s="926"/>
      <c r="AF53" s="958"/>
      <c r="AG53" s="926"/>
      <c r="AH53" s="926"/>
      <c r="AI53" s="926"/>
      <c r="AJ53" s="926"/>
      <c r="AK53" s="937"/>
      <c r="AL53" s="937"/>
      <c r="AM53" s="937"/>
      <c r="AN53" s="923"/>
    </row>
    <row r="54" spans="1:50" s="924" customFormat="1" ht="12.75" customHeight="1">
      <c r="A54" s="925" t="s">
        <v>1581</v>
      </c>
      <c r="B54" s="926" t="s">
        <v>1582</v>
      </c>
      <c r="C54" s="926"/>
      <c r="D54" s="926"/>
      <c r="E54" s="926"/>
      <c r="F54" s="926"/>
      <c r="G54" s="926"/>
      <c r="H54" s="926"/>
      <c r="I54" s="926"/>
      <c r="J54" s="926"/>
      <c r="K54" s="926"/>
      <c r="L54" s="926"/>
      <c r="M54" s="926"/>
      <c r="N54" s="926"/>
      <c r="O54" s="926"/>
      <c r="P54" s="926"/>
      <c r="Q54" s="926"/>
      <c r="R54" s="926"/>
      <c r="S54" s="926"/>
      <c r="T54" s="926"/>
      <c r="U54" s="926"/>
      <c r="V54" s="926"/>
      <c r="W54" s="926"/>
      <c r="X54" s="926"/>
      <c r="Y54" s="926"/>
      <c r="Z54" s="926"/>
      <c r="AA54" s="926"/>
      <c r="AB54" s="926"/>
      <c r="AC54" s="926"/>
      <c r="AD54" s="926"/>
      <c r="AE54" s="3287" t="s">
        <v>1583</v>
      </c>
      <c r="AF54" s="3287"/>
      <c r="AG54" s="3287"/>
      <c r="AH54" s="3287"/>
      <c r="AI54" s="3287"/>
      <c r="AJ54" s="3287"/>
      <c r="AK54" s="3287"/>
      <c r="AL54" s="927"/>
      <c r="AM54" s="927"/>
      <c r="AN54" s="923"/>
    </row>
    <row r="55" spans="1:50" s="924" customFormat="1" ht="12.75" customHeight="1">
      <c r="A55" s="925"/>
      <c r="B55" s="926" t="s">
        <v>2222</v>
      </c>
      <c r="C55" s="926"/>
      <c r="D55" s="926"/>
      <c r="E55" s="926"/>
      <c r="F55" s="926"/>
      <c r="G55" s="926"/>
      <c r="H55" s="926"/>
      <c r="I55" s="926"/>
      <c r="J55" s="926"/>
      <c r="K55" s="926"/>
      <c r="L55" s="926"/>
      <c r="M55" s="926"/>
      <c r="N55" s="926"/>
      <c r="O55" s="926"/>
      <c r="P55" s="926"/>
      <c r="Q55" s="926"/>
      <c r="R55" s="926"/>
      <c r="S55" s="926"/>
      <c r="T55" s="926"/>
      <c r="U55" s="926"/>
      <c r="V55" s="926"/>
      <c r="W55" s="926"/>
      <c r="X55" s="926"/>
      <c r="Y55" s="926"/>
      <c r="Z55" s="926"/>
      <c r="AA55" s="926"/>
      <c r="AB55" s="926"/>
      <c r="AC55" s="926"/>
      <c r="AD55" s="926"/>
      <c r="AE55" s="930"/>
      <c r="AF55" s="930"/>
      <c r="AG55" s="930"/>
      <c r="AH55" s="930"/>
      <c r="AI55" s="930"/>
      <c r="AJ55" s="930"/>
      <c r="AK55" s="930"/>
      <c r="AL55" s="927"/>
      <c r="AM55" s="927"/>
      <c r="AN55" s="923"/>
    </row>
    <row r="56" spans="1:50" s="924" customFormat="1" ht="12.75" customHeight="1">
      <c r="A56" s="925"/>
      <c r="B56" s="926"/>
      <c r="C56" s="926"/>
      <c r="D56" s="926"/>
      <c r="E56" s="926"/>
      <c r="F56" s="926"/>
      <c r="G56" s="926"/>
      <c r="H56" s="926"/>
      <c r="I56" s="926"/>
      <c r="J56" s="926"/>
      <c r="K56" s="926"/>
      <c r="L56" s="926"/>
      <c r="M56" s="926"/>
      <c r="N56" s="926"/>
      <c r="O56" s="926"/>
      <c r="P56" s="926"/>
      <c r="Q56" s="926"/>
      <c r="R56" s="926"/>
      <c r="S56" s="926"/>
      <c r="T56" s="926"/>
      <c r="U56" s="926"/>
      <c r="V56" s="926"/>
      <c r="W56" s="926"/>
      <c r="X56" s="926"/>
      <c r="Y56" s="926"/>
      <c r="Z56" s="926"/>
      <c r="AA56" s="926"/>
      <c r="AB56" s="926"/>
      <c r="AC56" s="926"/>
      <c r="AD56" s="926"/>
      <c r="AE56" s="930"/>
      <c r="AF56" s="930"/>
      <c r="AG56" s="930"/>
      <c r="AH56" s="930"/>
      <c r="AI56" s="930"/>
      <c r="AJ56" s="930"/>
      <c r="AK56" s="930"/>
      <c r="AL56" s="927"/>
      <c r="AM56" s="927"/>
      <c r="AN56" s="923"/>
    </row>
    <row r="57" spans="1:50" s="924" customFormat="1" ht="12.75" customHeight="1">
      <c r="A57" s="925"/>
      <c r="B57" s="3296" t="s">
        <v>626</v>
      </c>
      <c r="C57" s="3296"/>
      <c r="D57" s="934" t="s">
        <v>1584</v>
      </c>
      <c r="E57" s="3315" t="s">
        <v>2234</v>
      </c>
      <c r="F57" s="3316"/>
      <c r="G57" s="3316"/>
      <c r="H57" s="3316"/>
      <c r="I57" s="3316"/>
      <c r="J57" s="3316"/>
      <c r="K57" s="3316"/>
      <c r="L57" s="3316"/>
      <c r="M57" s="3316"/>
      <c r="N57" s="3316"/>
      <c r="O57" s="3316"/>
      <c r="P57" s="3316"/>
      <c r="Q57" s="3316"/>
      <c r="R57" s="3316"/>
      <c r="S57" s="3316"/>
      <c r="T57" s="3316"/>
      <c r="U57" s="3316"/>
      <c r="V57" s="3316"/>
      <c r="W57" s="3316"/>
      <c r="X57" s="3316"/>
      <c r="Y57" s="3316"/>
      <c r="Z57" s="3316"/>
      <c r="AA57" s="3316"/>
      <c r="AB57" s="3316"/>
      <c r="AC57" s="3316"/>
      <c r="AD57" s="3316"/>
      <c r="AE57" s="3316"/>
      <c r="AF57" s="3316"/>
      <c r="AG57" s="3316"/>
      <c r="AH57" s="3316"/>
      <c r="AI57" s="3316"/>
      <c r="AJ57" s="3317"/>
      <c r="AK57" s="930"/>
      <c r="AL57" s="927"/>
      <c r="AM57" s="927"/>
      <c r="AN57" s="923"/>
      <c r="AO57" s="937">
        <f>IF($B57="yes",10,0)</f>
        <v>0</v>
      </c>
    </row>
    <row r="58" spans="1:50" s="924" customFormat="1" ht="12.75" customHeight="1">
      <c r="A58" s="925"/>
      <c r="B58" s="927"/>
      <c r="C58" s="927"/>
      <c r="D58" s="938"/>
      <c r="E58" s="3318"/>
      <c r="F58" s="3319"/>
      <c r="G58" s="3319"/>
      <c r="H58" s="3319"/>
      <c r="I58" s="3319"/>
      <c r="J58" s="3319"/>
      <c r="K58" s="3319"/>
      <c r="L58" s="3319"/>
      <c r="M58" s="3319"/>
      <c r="N58" s="3319"/>
      <c r="O58" s="3319"/>
      <c r="P58" s="3319"/>
      <c r="Q58" s="3319"/>
      <c r="R58" s="3319"/>
      <c r="S58" s="3319"/>
      <c r="T58" s="3319"/>
      <c r="U58" s="3319"/>
      <c r="V58" s="3319"/>
      <c r="W58" s="3319"/>
      <c r="X58" s="3319"/>
      <c r="Y58" s="3319"/>
      <c r="Z58" s="3319"/>
      <c r="AA58" s="3319"/>
      <c r="AB58" s="3319"/>
      <c r="AC58" s="3319"/>
      <c r="AD58" s="3319"/>
      <c r="AE58" s="3319"/>
      <c r="AF58" s="3319"/>
      <c r="AG58" s="3319"/>
      <c r="AH58" s="3319"/>
      <c r="AI58" s="3319"/>
      <c r="AJ58" s="3320"/>
      <c r="AK58" s="930"/>
      <c r="AL58" s="927"/>
      <c r="AM58" s="927"/>
      <c r="AN58" s="923"/>
      <c r="AO58" s="937">
        <f>IF($B62="yes",10,0)</f>
        <v>10</v>
      </c>
    </row>
    <row r="59" spans="1:50" s="924" customFormat="1" ht="12.75" customHeight="1">
      <c r="A59" s="925"/>
      <c r="B59" s="927"/>
      <c r="C59" s="927"/>
      <c r="D59" s="938"/>
      <c r="E59" s="3318"/>
      <c r="F59" s="3319"/>
      <c r="G59" s="3319"/>
      <c r="H59" s="3319"/>
      <c r="I59" s="3319"/>
      <c r="J59" s="3319"/>
      <c r="K59" s="3319"/>
      <c r="L59" s="3319"/>
      <c r="M59" s="3319"/>
      <c r="N59" s="3319"/>
      <c r="O59" s="3319"/>
      <c r="P59" s="3319"/>
      <c r="Q59" s="3319"/>
      <c r="R59" s="3319"/>
      <c r="S59" s="3319"/>
      <c r="T59" s="3319"/>
      <c r="U59" s="3319"/>
      <c r="V59" s="3319"/>
      <c r="W59" s="3319"/>
      <c r="X59" s="3319"/>
      <c r="Y59" s="3319"/>
      <c r="Z59" s="3319"/>
      <c r="AA59" s="3319"/>
      <c r="AB59" s="3319"/>
      <c r="AC59" s="3319"/>
      <c r="AD59" s="3319"/>
      <c r="AE59" s="3319"/>
      <c r="AF59" s="3319"/>
      <c r="AG59" s="3319"/>
      <c r="AH59" s="3319"/>
      <c r="AI59" s="3319"/>
      <c r="AJ59" s="3320"/>
      <c r="AK59" s="930"/>
      <c r="AL59" s="927"/>
      <c r="AM59" s="927"/>
      <c r="AN59" s="923"/>
      <c r="AO59" s="937">
        <f>IF($B69="yes",10,0)</f>
        <v>0</v>
      </c>
    </row>
    <row r="60" spans="1:50" s="924" customFormat="1" ht="12.75" customHeight="1">
      <c r="A60" s="925"/>
      <c r="B60" s="927"/>
      <c r="C60" s="927"/>
      <c r="D60" s="938"/>
      <c r="E60" s="3331"/>
      <c r="F60" s="3332"/>
      <c r="G60" s="3332"/>
      <c r="H60" s="3332"/>
      <c r="I60" s="3332"/>
      <c r="J60" s="3332"/>
      <c r="K60" s="3332"/>
      <c r="L60" s="3332"/>
      <c r="M60" s="3332"/>
      <c r="N60" s="3332"/>
      <c r="O60" s="3332"/>
      <c r="P60" s="3332"/>
      <c r="Q60" s="3332"/>
      <c r="R60" s="3332"/>
      <c r="S60" s="3332"/>
      <c r="T60" s="3332"/>
      <c r="U60" s="3332"/>
      <c r="V60" s="3332"/>
      <c r="W60" s="3332"/>
      <c r="X60" s="3332"/>
      <c r="Y60" s="3332"/>
      <c r="Z60" s="3332"/>
      <c r="AA60" s="3332"/>
      <c r="AB60" s="3332"/>
      <c r="AC60" s="3332"/>
      <c r="AD60" s="3332"/>
      <c r="AE60" s="3332"/>
      <c r="AF60" s="3332"/>
      <c r="AG60" s="3332"/>
      <c r="AH60" s="3332"/>
      <c r="AI60" s="3332"/>
      <c r="AJ60" s="3333"/>
      <c r="AK60" s="930"/>
      <c r="AL60" s="927"/>
      <c r="AM60" s="927"/>
      <c r="AN60" s="923"/>
      <c r="AO60" s="924">
        <f>IF(SUM(AO57:AO59)&gt;10,10,(SUM(AO57:AO59)))</f>
        <v>10</v>
      </c>
      <c r="AP60" s="962" t="s">
        <v>1585</v>
      </c>
    </row>
    <row r="61" spans="1:50" s="924" customFormat="1" ht="12.75" customHeight="1">
      <c r="A61" s="925"/>
      <c r="B61" s="927"/>
      <c r="C61" s="927"/>
      <c r="E61" s="927"/>
      <c r="F61" s="927"/>
      <c r="G61" s="927"/>
      <c r="H61" s="927"/>
      <c r="I61" s="927"/>
      <c r="J61" s="927"/>
      <c r="K61" s="927"/>
      <c r="L61" s="927"/>
      <c r="M61" s="927"/>
      <c r="N61" s="927"/>
      <c r="O61" s="927"/>
      <c r="P61" s="927"/>
      <c r="Q61" s="927"/>
      <c r="R61" s="927"/>
      <c r="S61" s="927"/>
      <c r="T61" s="927"/>
      <c r="U61" s="927"/>
      <c r="V61" s="927"/>
      <c r="W61" s="927"/>
      <c r="X61" s="927"/>
      <c r="Y61" s="927"/>
      <c r="Z61" s="927"/>
      <c r="AA61" s="927"/>
      <c r="AB61" s="927"/>
      <c r="AC61" s="927"/>
      <c r="AD61" s="927"/>
      <c r="AE61" s="927"/>
      <c r="AF61" s="927"/>
      <c r="AG61" s="927"/>
      <c r="AH61" s="927"/>
      <c r="AI61" s="927"/>
      <c r="AJ61" s="927"/>
      <c r="AK61" s="930"/>
      <c r="AL61" s="927"/>
      <c r="AM61" s="927"/>
      <c r="AN61" s="923"/>
    </row>
    <row r="62" spans="1:50" s="924" customFormat="1" ht="12.75" customHeight="1">
      <c r="A62" s="925"/>
      <c r="B62" s="3296" t="s">
        <v>578</v>
      </c>
      <c r="C62" s="3296"/>
      <c r="D62" s="934" t="s">
        <v>1586</v>
      </c>
      <c r="E62" s="1673" t="s">
        <v>2218</v>
      </c>
      <c r="F62" s="1674"/>
      <c r="G62" s="1674"/>
      <c r="H62" s="1674"/>
      <c r="I62" s="1674"/>
      <c r="J62" s="1674"/>
      <c r="K62" s="1674"/>
      <c r="L62" s="1674"/>
      <c r="M62" s="1674"/>
      <c r="N62" s="1674"/>
      <c r="O62" s="1674"/>
      <c r="P62" s="1674"/>
      <c r="Q62" s="1674"/>
      <c r="R62" s="1674"/>
      <c r="S62" s="1674"/>
      <c r="T62" s="1674"/>
      <c r="U62" s="1674"/>
      <c r="V62" s="1674"/>
      <c r="W62" s="1674"/>
      <c r="X62" s="1674"/>
      <c r="Y62" s="1674"/>
      <c r="Z62" s="1674"/>
      <c r="AA62" s="1674"/>
      <c r="AB62" s="1674"/>
      <c r="AC62" s="1674"/>
      <c r="AD62" s="1674"/>
      <c r="AE62" s="1674"/>
      <c r="AF62" s="1674"/>
      <c r="AG62" s="1674"/>
      <c r="AH62" s="1674"/>
      <c r="AI62" s="1674"/>
      <c r="AJ62" s="1675"/>
      <c r="AK62" s="930"/>
      <c r="AL62" s="927"/>
      <c r="AM62" s="927"/>
      <c r="AN62" s="923"/>
    </row>
    <row r="63" spans="1:50" s="924" customFormat="1" ht="12.75" customHeight="1">
      <c r="A63" s="925"/>
      <c r="B63" s="927"/>
      <c r="C63" s="927"/>
      <c r="D63" s="937"/>
      <c r="E63" s="3300" t="s">
        <v>626</v>
      </c>
      <c r="F63" s="3296"/>
      <c r="G63" s="963"/>
      <c r="H63" s="1672" t="s">
        <v>1587</v>
      </c>
      <c r="I63" s="1587"/>
      <c r="J63" s="963"/>
      <c r="K63" s="963"/>
      <c r="L63" s="963"/>
      <c r="M63" s="963"/>
      <c r="N63" s="963"/>
      <c r="O63" s="963"/>
      <c r="P63" s="963"/>
      <c r="Q63" s="963"/>
      <c r="R63" s="963"/>
      <c r="S63" s="963"/>
      <c r="T63" s="963"/>
      <c r="U63" s="963"/>
      <c r="V63" s="963"/>
      <c r="W63" s="963"/>
      <c r="X63" s="963"/>
      <c r="Y63" s="963"/>
      <c r="Z63" s="963"/>
      <c r="AA63" s="963"/>
      <c r="AB63" s="963"/>
      <c r="AC63" s="963"/>
      <c r="AD63" s="963"/>
      <c r="AE63" s="963"/>
      <c r="AF63" s="963"/>
      <c r="AG63" s="963"/>
      <c r="AH63" s="963"/>
      <c r="AI63" s="963"/>
      <c r="AJ63" s="1676"/>
      <c r="AK63" s="930"/>
      <c r="AL63" s="927"/>
      <c r="AM63" s="927"/>
      <c r="AN63" s="923"/>
    </row>
    <row r="64" spans="1:50" s="924" customFormat="1" ht="12.75" customHeight="1">
      <c r="A64" s="925"/>
      <c r="B64" s="927"/>
      <c r="C64" s="927"/>
      <c r="D64" s="937"/>
      <c r="E64" s="3294" t="s">
        <v>626</v>
      </c>
      <c r="F64" s="3295"/>
      <c r="G64" s="963"/>
      <c r="H64" s="1672" t="s">
        <v>1588</v>
      </c>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1676"/>
      <c r="AK64" s="930"/>
      <c r="AL64" s="927"/>
      <c r="AM64" s="927"/>
      <c r="AN64" s="923"/>
    </row>
    <row r="65" spans="1:40" s="924" customFormat="1" ht="12.75" customHeight="1">
      <c r="A65" s="925"/>
      <c r="B65" s="927"/>
      <c r="C65" s="927"/>
      <c r="D65" s="937"/>
      <c r="E65" s="3294" t="s">
        <v>626</v>
      </c>
      <c r="F65" s="3295"/>
      <c r="G65" s="963"/>
      <c r="H65" s="1672" t="s">
        <v>2233</v>
      </c>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1676"/>
      <c r="AK65" s="930"/>
      <c r="AL65" s="927"/>
      <c r="AM65" s="927"/>
      <c r="AN65" s="923"/>
    </row>
    <row r="66" spans="1:40" s="924" customFormat="1" ht="12.75" customHeight="1">
      <c r="A66" s="925"/>
      <c r="B66" s="927"/>
      <c r="C66" s="927"/>
      <c r="D66" s="937"/>
      <c r="E66" s="1092"/>
      <c r="F66" s="963"/>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1676"/>
      <c r="AK66" s="1588"/>
      <c r="AL66" s="927"/>
      <c r="AM66" s="927"/>
      <c r="AN66" s="923"/>
    </row>
    <row r="67" spans="1:40" s="924" customFormat="1" ht="12.75" customHeight="1">
      <c r="A67" s="925"/>
      <c r="B67" s="927"/>
      <c r="C67" s="927"/>
      <c r="D67" s="937"/>
      <c r="E67" s="3300" t="s">
        <v>578</v>
      </c>
      <c r="F67" s="3296"/>
      <c r="G67" s="1585"/>
      <c r="H67" s="1681" t="s">
        <v>2232</v>
      </c>
      <c r="I67" s="1585"/>
      <c r="J67" s="1585"/>
      <c r="K67" s="1585"/>
      <c r="L67" s="1585"/>
      <c r="M67" s="1585"/>
      <c r="N67" s="1585"/>
      <c r="O67" s="1585"/>
      <c r="P67" s="1585"/>
      <c r="Q67" s="1585"/>
      <c r="R67" s="1585"/>
      <c r="S67" s="1585"/>
      <c r="T67" s="1585"/>
      <c r="U67" s="1585"/>
      <c r="V67" s="1585"/>
      <c r="W67" s="1585"/>
      <c r="X67" s="1585"/>
      <c r="Y67" s="1585"/>
      <c r="Z67" s="1585"/>
      <c r="AA67" s="1585"/>
      <c r="AB67" s="1585"/>
      <c r="AC67" s="1585"/>
      <c r="AD67" s="1585"/>
      <c r="AE67" s="1585"/>
      <c r="AF67" s="1585"/>
      <c r="AG67" s="1585"/>
      <c r="AH67" s="1585"/>
      <c r="AI67" s="1585"/>
      <c r="AJ67" s="1586"/>
      <c r="AK67" s="1588"/>
      <c r="AL67" s="927"/>
      <c r="AM67" s="927"/>
      <c r="AN67" s="923"/>
    </row>
    <row r="68" spans="1:40" s="924" customFormat="1" ht="12.75" customHeight="1">
      <c r="A68" s="925"/>
      <c r="B68" s="927"/>
      <c r="C68" s="927"/>
      <c r="D68" s="938"/>
      <c r="E68" s="927"/>
      <c r="F68" s="927"/>
      <c r="G68" s="927"/>
      <c r="H68" s="927"/>
      <c r="I68" s="927"/>
      <c r="J68" s="927"/>
      <c r="K68" s="927"/>
      <c r="L68" s="927"/>
      <c r="M68" s="927"/>
      <c r="N68" s="927"/>
      <c r="O68" s="927"/>
      <c r="P68" s="927"/>
      <c r="Q68" s="927"/>
      <c r="R68" s="927"/>
      <c r="S68" s="927"/>
      <c r="T68" s="927"/>
      <c r="U68" s="927"/>
      <c r="V68" s="927"/>
      <c r="W68" s="927"/>
      <c r="X68" s="927"/>
      <c r="Y68" s="927"/>
      <c r="Z68" s="927"/>
      <c r="AA68" s="927"/>
      <c r="AB68" s="927"/>
      <c r="AC68" s="927"/>
      <c r="AD68" s="927"/>
      <c r="AE68" s="927"/>
      <c r="AF68" s="927"/>
      <c r="AG68" s="927"/>
      <c r="AH68" s="927"/>
      <c r="AI68" s="927"/>
      <c r="AJ68" s="927"/>
      <c r="AK68" s="930"/>
      <c r="AL68" s="927"/>
      <c r="AM68" s="927"/>
      <c r="AN68" s="923"/>
    </row>
    <row r="69" spans="1:40" s="924" customFormat="1" ht="12.75" customHeight="1">
      <c r="A69" s="925"/>
      <c r="B69" s="3296" t="s">
        <v>626</v>
      </c>
      <c r="C69" s="3296"/>
      <c r="D69" s="934" t="s">
        <v>1589</v>
      </c>
      <c r="E69" s="3227" t="s">
        <v>2235</v>
      </c>
      <c r="F69" s="3228"/>
      <c r="G69" s="3228"/>
      <c r="H69" s="3228"/>
      <c r="I69" s="3228"/>
      <c r="J69" s="3228"/>
      <c r="K69" s="3228"/>
      <c r="L69" s="3228"/>
      <c r="M69" s="3228"/>
      <c r="N69" s="3228"/>
      <c r="O69" s="3228"/>
      <c r="P69" s="3228"/>
      <c r="Q69" s="3228"/>
      <c r="R69" s="3228"/>
      <c r="S69" s="3228"/>
      <c r="T69" s="3228"/>
      <c r="U69" s="3228"/>
      <c r="V69" s="3228"/>
      <c r="W69" s="3228"/>
      <c r="X69" s="3228"/>
      <c r="Y69" s="3228"/>
      <c r="Z69" s="3228"/>
      <c r="AA69" s="3228"/>
      <c r="AB69" s="3228"/>
      <c r="AC69" s="3228"/>
      <c r="AD69" s="3228"/>
      <c r="AE69" s="3228"/>
      <c r="AF69" s="3228"/>
      <c r="AG69" s="3228"/>
      <c r="AH69" s="3228"/>
      <c r="AI69" s="3228"/>
      <c r="AJ69" s="3229"/>
      <c r="AK69" s="930"/>
      <c r="AL69" s="927"/>
      <c r="AM69" s="927"/>
      <c r="AN69" s="923"/>
    </row>
    <row r="70" spans="1:40" s="924" customFormat="1" ht="12.75" customHeight="1">
      <c r="A70" s="925"/>
      <c r="B70" s="927"/>
      <c r="C70" s="927"/>
      <c r="D70" s="937"/>
      <c r="E70" s="3297"/>
      <c r="F70" s="3298"/>
      <c r="G70" s="3298"/>
      <c r="H70" s="3298"/>
      <c r="I70" s="3298"/>
      <c r="J70" s="3298"/>
      <c r="K70" s="3298"/>
      <c r="L70" s="3298"/>
      <c r="M70" s="3298"/>
      <c r="N70" s="3298"/>
      <c r="O70" s="3298"/>
      <c r="P70" s="3298"/>
      <c r="Q70" s="3298"/>
      <c r="R70" s="3298"/>
      <c r="S70" s="3298"/>
      <c r="T70" s="3298"/>
      <c r="U70" s="3298"/>
      <c r="V70" s="3298"/>
      <c r="W70" s="3298"/>
      <c r="X70" s="3298"/>
      <c r="Y70" s="3298"/>
      <c r="Z70" s="3298"/>
      <c r="AA70" s="3298"/>
      <c r="AB70" s="3298"/>
      <c r="AC70" s="3298"/>
      <c r="AD70" s="3298"/>
      <c r="AE70" s="3298"/>
      <c r="AF70" s="3298"/>
      <c r="AG70" s="3298"/>
      <c r="AH70" s="3298"/>
      <c r="AI70" s="3298"/>
      <c r="AJ70" s="3299"/>
      <c r="AK70" s="930"/>
      <c r="AL70" s="927"/>
      <c r="AM70" s="927"/>
      <c r="AN70" s="923"/>
    </row>
    <row r="71" spans="1:40" s="924" customFormat="1" ht="12.75" customHeight="1">
      <c r="A71" s="925"/>
      <c r="B71" s="927"/>
      <c r="C71" s="927"/>
      <c r="D71" s="937"/>
      <c r="E71" s="927"/>
      <c r="F71" s="927"/>
      <c r="G71" s="927"/>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30"/>
      <c r="AL71" s="927"/>
      <c r="AM71" s="927"/>
      <c r="AN71" s="923"/>
    </row>
    <row r="72" spans="1:40" s="924" customFormat="1" ht="12.75" customHeight="1">
      <c r="A72" s="949"/>
      <c r="B72" s="950"/>
      <c r="C72" s="950"/>
      <c r="D72" s="950"/>
      <c r="E72" s="950"/>
      <c r="F72" s="950"/>
      <c r="G72" s="951"/>
      <c r="H72" s="952"/>
      <c r="I72" s="952"/>
      <c r="J72" s="952"/>
      <c r="K72" s="952"/>
      <c r="L72" s="952"/>
      <c r="M72" s="952"/>
      <c r="N72" s="952"/>
      <c r="O72" s="952"/>
      <c r="P72" s="952"/>
      <c r="Q72" s="952"/>
      <c r="R72" s="952"/>
      <c r="S72" s="952"/>
      <c r="T72" s="952"/>
      <c r="U72" s="952"/>
      <c r="V72" s="952"/>
      <c r="W72" s="952"/>
      <c r="X72" s="952"/>
      <c r="Y72" s="952"/>
      <c r="Z72" s="952"/>
      <c r="AA72" s="952"/>
      <c r="AB72" s="952"/>
      <c r="AC72" s="952"/>
      <c r="AD72" s="952"/>
      <c r="AE72" s="952"/>
      <c r="AF72" s="952"/>
      <c r="AG72" s="952"/>
      <c r="AH72" s="952"/>
      <c r="AI72" s="953"/>
      <c r="AJ72" s="953" t="s">
        <v>1590</v>
      </c>
      <c r="AK72" s="3271">
        <f>IF(AK51&gt;0,0,AO60)</f>
        <v>10</v>
      </c>
      <c r="AL72" s="3272"/>
      <c r="AM72" s="3273"/>
      <c r="AN72" s="923"/>
    </row>
    <row r="73" spans="1:40" s="924" customFormat="1" ht="12.75" customHeight="1" thickBot="1">
      <c r="A73" s="954"/>
      <c r="B73" s="955"/>
      <c r="C73" s="956"/>
      <c r="D73" s="956"/>
      <c r="E73" s="956"/>
      <c r="F73" s="956"/>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c r="AL73" s="956"/>
      <c r="AM73" s="957"/>
      <c r="AN73" s="923"/>
    </row>
    <row r="74" spans="1:40" s="924" customFormat="1" ht="12.75" customHeight="1" thickTop="1">
      <c r="A74" s="958"/>
      <c r="B74" s="959"/>
      <c r="C74" s="960"/>
      <c r="D74" s="960"/>
      <c r="E74" s="960"/>
      <c r="F74" s="960"/>
      <c r="G74" s="960"/>
      <c r="H74" s="960"/>
      <c r="I74" s="961"/>
      <c r="J74" s="961"/>
      <c r="K74" s="961"/>
      <c r="L74" s="961"/>
      <c r="M74" s="961"/>
      <c r="N74" s="961"/>
      <c r="O74" s="961"/>
      <c r="P74" s="961"/>
      <c r="Q74" s="961"/>
      <c r="R74" s="958"/>
      <c r="S74" s="926"/>
      <c r="T74" s="926"/>
      <c r="U74" s="926"/>
      <c r="V74" s="926"/>
      <c r="W74" s="926"/>
      <c r="X74" s="926"/>
      <c r="Y74" s="926"/>
      <c r="Z74" s="926"/>
      <c r="AA74" s="926"/>
      <c r="AB74" s="926"/>
      <c r="AC74" s="926"/>
      <c r="AD74" s="926"/>
      <c r="AE74" s="926"/>
      <c r="AF74" s="958"/>
      <c r="AG74" s="926"/>
      <c r="AH74" s="926"/>
      <c r="AI74" s="926"/>
      <c r="AJ74" s="926"/>
      <c r="AK74" s="937"/>
      <c r="AL74" s="937"/>
      <c r="AM74" s="937"/>
      <c r="AN74" s="923"/>
    </row>
    <row r="75" spans="1:40" s="924" customFormat="1" ht="12.75" customHeight="1">
      <c r="A75" s="925" t="s">
        <v>1591</v>
      </c>
      <c r="B75" s="926" t="s">
        <v>1592</v>
      </c>
      <c r="C75" s="926"/>
      <c r="D75" s="926"/>
      <c r="E75" s="926"/>
      <c r="F75" s="926"/>
      <c r="G75" s="926"/>
      <c r="H75" s="926"/>
      <c r="I75" s="926"/>
      <c r="J75" s="926"/>
      <c r="K75" s="926"/>
      <c r="L75" s="926"/>
      <c r="M75" s="926"/>
      <c r="N75" s="926"/>
      <c r="O75" s="926"/>
      <c r="P75" s="926"/>
      <c r="Q75" s="926"/>
      <c r="R75" s="926"/>
      <c r="S75" s="926"/>
      <c r="T75" s="926"/>
      <c r="U75" s="926"/>
      <c r="V75" s="926"/>
      <c r="W75" s="926"/>
      <c r="X75" s="926"/>
      <c r="Y75" s="926"/>
      <c r="Z75" s="926"/>
      <c r="AA75" s="926"/>
      <c r="AB75" s="926"/>
      <c r="AC75" s="926"/>
      <c r="AD75" s="926"/>
      <c r="AE75" s="3287" t="s">
        <v>1562</v>
      </c>
      <c r="AF75" s="3287"/>
      <c r="AG75" s="3287"/>
      <c r="AH75" s="3287"/>
      <c r="AI75" s="3287"/>
      <c r="AJ75" s="3287"/>
      <c r="AK75" s="3287"/>
      <c r="AL75" s="927"/>
      <c r="AM75" s="927"/>
      <c r="AN75" s="923"/>
    </row>
    <row r="76" spans="1:40" s="924" customFormat="1" ht="12.75" customHeight="1">
      <c r="A76" s="925"/>
      <c r="B76" s="926" t="s">
        <v>1593</v>
      </c>
      <c r="C76" s="926"/>
      <c r="D76" s="926"/>
      <c r="E76" s="926"/>
      <c r="F76" s="926"/>
      <c r="G76" s="926"/>
      <c r="H76" s="926"/>
      <c r="I76" s="926"/>
      <c r="J76" s="926"/>
      <c r="K76" s="926"/>
      <c r="L76" s="926"/>
      <c r="M76" s="926"/>
      <c r="N76" s="926"/>
      <c r="O76" s="926"/>
      <c r="P76" s="926"/>
      <c r="Q76" s="926"/>
      <c r="R76" s="926"/>
      <c r="S76" s="926"/>
      <c r="T76" s="926"/>
      <c r="U76" s="926"/>
      <c r="V76" s="926"/>
      <c r="W76" s="926"/>
      <c r="X76" s="926"/>
      <c r="Y76" s="926"/>
      <c r="Z76" s="926"/>
      <c r="AA76" s="926"/>
      <c r="AB76" s="926"/>
      <c r="AC76" s="926"/>
      <c r="AD76" s="926"/>
      <c r="AE76" s="930"/>
      <c r="AF76" s="930"/>
      <c r="AG76" s="930"/>
      <c r="AH76" s="930"/>
      <c r="AI76" s="930"/>
      <c r="AJ76" s="930"/>
      <c r="AK76" s="930"/>
      <c r="AL76" s="927"/>
      <c r="AM76" s="927"/>
      <c r="AN76" s="923"/>
    </row>
    <row r="77" spans="1:40" s="924" customFormat="1" ht="12.75" customHeight="1">
      <c r="A77" s="925"/>
      <c r="B77" s="926"/>
      <c r="C77" s="926"/>
      <c r="D77" s="926"/>
      <c r="E77" s="926"/>
      <c r="F77" s="926"/>
      <c r="G77" s="926"/>
      <c r="H77" s="926"/>
      <c r="I77" s="926"/>
      <c r="J77" s="926"/>
      <c r="K77" s="926"/>
      <c r="L77" s="926"/>
      <c r="M77" s="926"/>
      <c r="N77" s="926"/>
      <c r="O77" s="926"/>
      <c r="P77" s="926"/>
      <c r="Q77" s="926"/>
      <c r="R77" s="926"/>
      <c r="S77" s="926"/>
      <c r="T77" s="926"/>
      <c r="U77" s="926"/>
      <c r="V77" s="926"/>
      <c r="W77" s="926"/>
      <c r="X77" s="926"/>
      <c r="Y77" s="926"/>
      <c r="Z77" s="926"/>
      <c r="AA77" s="926"/>
      <c r="AB77" s="926"/>
      <c r="AC77" s="926"/>
      <c r="AD77" s="926"/>
      <c r="AE77" s="930"/>
      <c r="AF77" s="930"/>
      <c r="AG77" s="930"/>
      <c r="AH77" s="930"/>
      <c r="AI77" s="930"/>
      <c r="AJ77" s="930"/>
      <c r="AK77" s="930"/>
      <c r="AL77" s="927"/>
      <c r="AM77" s="927"/>
      <c r="AN77" s="923"/>
    </row>
    <row r="78" spans="1:40" s="924" customFormat="1" ht="12.75" customHeight="1">
      <c r="A78" s="925"/>
      <c r="B78" s="3296" t="s">
        <v>626</v>
      </c>
      <c r="C78" s="3296"/>
      <c r="D78" s="934" t="s">
        <v>1584</v>
      </c>
      <c r="E78" s="3303" t="s">
        <v>1594</v>
      </c>
      <c r="F78" s="3304"/>
      <c r="G78" s="3304"/>
      <c r="H78" s="3304"/>
      <c r="I78" s="3304"/>
      <c r="J78" s="3304"/>
      <c r="K78" s="3304"/>
      <c r="L78" s="3304"/>
      <c r="M78" s="3304"/>
      <c r="N78" s="3304"/>
      <c r="O78" s="3304"/>
      <c r="P78" s="3304"/>
      <c r="Q78" s="3304"/>
      <c r="R78" s="3304"/>
      <c r="S78" s="3304"/>
      <c r="T78" s="3304"/>
      <c r="U78" s="3304"/>
      <c r="V78" s="3304"/>
      <c r="W78" s="3304"/>
      <c r="X78" s="3304"/>
      <c r="Y78" s="3304"/>
      <c r="Z78" s="3304"/>
      <c r="AA78" s="3304"/>
      <c r="AB78" s="3304"/>
      <c r="AC78" s="3304"/>
      <c r="AD78" s="3304"/>
      <c r="AE78" s="3304"/>
      <c r="AF78" s="3304"/>
      <c r="AG78" s="3304"/>
      <c r="AH78" s="3304"/>
      <c r="AI78" s="3304"/>
      <c r="AJ78" s="3305"/>
      <c r="AK78" s="930"/>
      <c r="AL78" s="927"/>
      <c r="AM78" s="927"/>
      <c r="AN78" s="923"/>
    </row>
    <row r="79" spans="1:40" s="924" customFormat="1" ht="12.75" customHeight="1">
      <c r="A79" s="925"/>
      <c r="B79" s="926"/>
      <c r="C79" s="926"/>
      <c r="D79" s="926"/>
      <c r="E79" s="3306"/>
      <c r="F79" s="3307"/>
      <c r="G79" s="3307"/>
      <c r="H79" s="3307"/>
      <c r="I79" s="3307"/>
      <c r="J79" s="3307"/>
      <c r="K79" s="3307"/>
      <c r="L79" s="3307"/>
      <c r="M79" s="3307"/>
      <c r="N79" s="3307"/>
      <c r="O79" s="3307"/>
      <c r="P79" s="3307"/>
      <c r="Q79" s="3307"/>
      <c r="R79" s="3307"/>
      <c r="S79" s="3307"/>
      <c r="T79" s="3307"/>
      <c r="U79" s="3307"/>
      <c r="V79" s="3307"/>
      <c r="W79" s="3307"/>
      <c r="X79" s="3307"/>
      <c r="Y79" s="3307"/>
      <c r="Z79" s="3307"/>
      <c r="AA79" s="3307"/>
      <c r="AB79" s="3307"/>
      <c r="AC79" s="3307"/>
      <c r="AD79" s="3307"/>
      <c r="AE79" s="3307"/>
      <c r="AF79" s="3307"/>
      <c r="AG79" s="3307"/>
      <c r="AH79" s="3307"/>
      <c r="AI79" s="3307"/>
      <c r="AJ79" s="3308"/>
      <c r="AK79" s="930"/>
      <c r="AL79" s="927"/>
      <c r="AM79" s="927"/>
      <c r="AN79" s="923"/>
    </row>
    <row r="80" spans="1:40" s="924" customFormat="1" ht="12.75" customHeight="1">
      <c r="A80" s="925"/>
      <c r="B80" s="926"/>
      <c r="C80" s="926"/>
      <c r="D80" s="926"/>
      <c r="E80" s="964"/>
      <c r="F80" s="965"/>
      <c r="G80" s="965"/>
      <c r="H80" s="965"/>
      <c r="I80" s="965"/>
      <c r="J80" s="965"/>
      <c r="K80" s="965"/>
      <c r="L80" s="965"/>
      <c r="M80" s="965"/>
      <c r="N80" s="965"/>
      <c r="O80" s="965"/>
      <c r="P80" s="965"/>
      <c r="Q80" s="965"/>
      <c r="R80" s="965"/>
      <c r="S80" s="965"/>
      <c r="T80" s="965"/>
      <c r="U80" s="965"/>
      <c r="V80" s="965"/>
      <c r="W80" s="965"/>
      <c r="X80" s="965"/>
      <c r="Y80" s="965"/>
      <c r="Z80" s="966"/>
      <c r="AA80" s="966"/>
      <c r="AB80" s="966"/>
      <c r="AC80" s="965"/>
      <c r="AD80" s="965"/>
      <c r="AE80" s="965"/>
      <c r="AF80" s="965"/>
      <c r="AG80" s="965"/>
      <c r="AH80" s="965"/>
      <c r="AI80" s="965"/>
      <c r="AJ80" s="967"/>
      <c r="AK80" s="930"/>
      <c r="AL80" s="927"/>
      <c r="AM80" s="927"/>
      <c r="AN80" s="923"/>
    </row>
    <row r="81" spans="1:47" s="924" customFormat="1" ht="12.75" customHeight="1">
      <c r="A81" s="925"/>
      <c r="B81" s="926"/>
      <c r="C81" s="926"/>
      <c r="D81" s="926"/>
      <c r="E81" s="3285">
        <f>Application!AH753</f>
        <v>0.5479797979797979</v>
      </c>
      <c r="F81" s="3286"/>
      <c r="G81" s="3286"/>
      <c r="H81" s="3286"/>
      <c r="I81" s="965"/>
      <c r="J81" s="968" t="s">
        <v>1595</v>
      </c>
      <c r="K81" s="965"/>
      <c r="L81" s="965"/>
      <c r="M81" s="965"/>
      <c r="N81" s="965"/>
      <c r="O81" s="965"/>
      <c r="P81" s="965"/>
      <c r="Q81" s="965"/>
      <c r="R81" s="965"/>
      <c r="S81" s="965"/>
      <c r="T81" s="965"/>
      <c r="U81" s="965"/>
      <c r="V81" s="965"/>
      <c r="W81" s="965"/>
      <c r="X81" s="965"/>
      <c r="Y81" s="965"/>
      <c r="Z81" s="969"/>
      <c r="AA81" s="969"/>
      <c r="AB81" s="969"/>
      <c r="AC81" s="965"/>
      <c r="AD81" s="965"/>
      <c r="AE81" s="965"/>
      <c r="AF81" s="965"/>
      <c r="AG81" s="965"/>
      <c r="AH81" s="965"/>
      <c r="AI81" s="965"/>
      <c r="AJ81" s="967"/>
      <c r="AK81" s="930"/>
      <c r="AL81" s="927"/>
      <c r="AM81" s="927"/>
      <c r="AN81" s="923"/>
    </row>
    <row r="82" spans="1:47" s="924" customFormat="1" ht="12.75" customHeight="1">
      <c r="A82" s="925"/>
      <c r="B82" s="926"/>
      <c r="C82" s="926"/>
      <c r="D82" s="926"/>
      <c r="E82" s="3309">
        <f>0.6-ROUNDUP(E81,2)</f>
        <v>4.9999999999999933E-2</v>
      </c>
      <c r="F82" s="3310"/>
      <c r="G82" s="3310"/>
      <c r="H82" s="3310"/>
      <c r="I82" s="965"/>
      <c r="J82" s="968" t="s">
        <v>1596</v>
      </c>
      <c r="K82" s="965"/>
      <c r="L82" s="965"/>
      <c r="M82" s="965"/>
      <c r="N82" s="965"/>
      <c r="O82" s="965"/>
      <c r="P82" s="965"/>
      <c r="Q82" s="965"/>
      <c r="R82" s="965"/>
      <c r="S82" s="965"/>
      <c r="T82" s="965"/>
      <c r="U82" s="965"/>
      <c r="V82" s="965"/>
      <c r="W82" s="965"/>
      <c r="X82" s="965"/>
      <c r="Y82" s="965"/>
      <c r="Z82" s="965"/>
      <c r="AA82" s="965"/>
      <c r="AB82" s="965"/>
      <c r="AC82" s="965"/>
      <c r="AD82" s="965"/>
      <c r="AE82" s="965"/>
      <c r="AF82" s="965"/>
      <c r="AG82" s="965"/>
      <c r="AH82" s="965"/>
      <c r="AI82" s="965"/>
      <c r="AJ82" s="967"/>
      <c r="AK82" s="930"/>
      <c r="AL82" s="927"/>
      <c r="AM82" s="927"/>
      <c r="AN82" s="923"/>
    </row>
    <row r="83" spans="1:47" s="924" customFormat="1" ht="12.75" customHeight="1">
      <c r="A83" s="925"/>
      <c r="B83" s="926"/>
      <c r="C83" s="926"/>
      <c r="D83" s="926"/>
      <c r="E83" s="3301">
        <f>IF(E82*200&gt;20,20,E82*200)</f>
        <v>9.9999999999999858</v>
      </c>
      <c r="F83" s="3302"/>
      <c r="G83" s="3302"/>
      <c r="H83" s="3302"/>
      <c r="I83" s="965"/>
      <c r="J83" s="968" t="s">
        <v>1597</v>
      </c>
      <c r="K83" s="965"/>
      <c r="L83" s="965"/>
      <c r="M83" s="965"/>
      <c r="N83" s="965"/>
      <c r="O83" s="965"/>
      <c r="P83" s="965"/>
      <c r="Q83" s="965"/>
      <c r="R83" s="965"/>
      <c r="S83" s="965"/>
      <c r="T83" s="965"/>
      <c r="U83" s="965"/>
      <c r="V83" s="965"/>
      <c r="W83" s="965"/>
      <c r="X83" s="965"/>
      <c r="Y83" s="965"/>
      <c r="Z83" s="965"/>
      <c r="AA83" s="965"/>
      <c r="AB83" s="965"/>
      <c r="AC83" s="965"/>
      <c r="AD83" s="965"/>
      <c r="AE83" s="965"/>
      <c r="AF83" s="965"/>
      <c r="AG83" s="965"/>
      <c r="AH83" s="965"/>
      <c r="AI83" s="965"/>
      <c r="AJ83" s="967"/>
      <c r="AK83" s="930"/>
      <c r="AL83" s="927"/>
      <c r="AM83" s="927"/>
      <c r="AN83" s="923"/>
      <c r="AP83" s="924">
        <f>IF(B78="yes",E83,0)</f>
        <v>0</v>
      </c>
      <c r="AQ83" s="924" t="s">
        <v>1566</v>
      </c>
    </row>
    <row r="84" spans="1:47" s="924" customFormat="1" ht="12.75" customHeight="1">
      <c r="A84" s="925"/>
      <c r="B84" s="926"/>
      <c r="C84" s="926"/>
      <c r="D84" s="926"/>
      <c r="E84" s="970"/>
      <c r="F84" s="971"/>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2"/>
      <c r="AF84" s="972"/>
      <c r="AG84" s="972"/>
      <c r="AH84" s="972"/>
      <c r="AI84" s="972"/>
      <c r="AJ84" s="973"/>
      <c r="AK84" s="930"/>
      <c r="AL84" s="927"/>
      <c r="AM84" s="927"/>
      <c r="AN84" s="923"/>
    </row>
    <row r="85" spans="1:47" s="924" customFormat="1" ht="12.75" customHeight="1">
      <c r="A85" s="925"/>
      <c r="B85" s="926"/>
      <c r="C85" s="926"/>
      <c r="D85" s="926"/>
      <c r="E85" s="926"/>
      <c r="F85" s="926"/>
      <c r="G85" s="926"/>
      <c r="H85" s="926"/>
      <c r="I85" s="926"/>
      <c r="J85" s="926"/>
      <c r="K85" s="926"/>
      <c r="L85" s="926"/>
      <c r="M85" s="926"/>
      <c r="N85" s="926"/>
      <c r="O85" s="926"/>
      <c r="P85" s="926"/>
      <c r="Q85" s="926"/>
      <c r="R85" s="926"/>
      <c r="S85" s="926"/>
      <c r="T85" s="926"/>
      <c r="U85" s="926"/>
      <c r="V85" s="926"/>
      <c r="W85" s="926"/>
      <c r="X85" s="926"/>
      <c r="Y85" s="926"/>
      <c r="Z85" s="926"/>
      <c r="AA85" s="926"/>
      <c r="AB85" s="926"/>
      <c r="AC85" s="926"/>
      <c r="AD85" s="926"/>
      <c r="AE85" s="930"/>
      <c r="AF85" s="930"/>
      <c r="AG85" s="930"/>
      <c r="AH85" s="930"/>
      <c r="AI85" s="930"/>
      <c r="AJ85" s="930"/>
      <c r="AK85" s="930"/>
      <c r="AL85" s="927"/>
      <c r="AM85" s="927"/>
      <c r="AN85" s="923"/>
    </row>
    <row r="86" spans="1:47" s="924" customFormat="1" ht="12.75" customHeight="1">
      <c r="A86" s="925"/>
      <c r="B86" s="3296" t="s">
        <v>578</v>
      </c>
      <c r="C86" s="3296"/>
      <c r="D86" s="934" t="s">
        <v>1586</v>
      </c>
      <c r="E86" s="3303" t="s">
        <v>2219</v>
      </c>
      <c r="F86" s="3304"/>
      <c r="G86" s="3304"/>
      <c r="H86" s="3304"/>
      <c r="I86" s="3304"/>
      <c r="J86" s="3304"/>
      <c r="K86" s="3304"/>
      <c r="L86" s="3304"/>
      <c r="M86" s="3304"/>
      <c r="N86" s="3304"/>
      <c r="O86" s="3304"/>
      <c r="P86" s="3304"/>
      <c r="Q86" s="3304"/>
      <c r="R86" s="3304"/>
      <c r="S86" s="3304"/>
      <c r="T86" s="3304"/>
      <c r="U86" s="3304"/>
      <c r="V86" s="3304"/>
      <c r="W86" s="3304"/>
      <c r="X86" s="3304"/>
      <c r="Y86" s="3304"/>
      <c r="Z86" s="3304"/>
      <c r="AA86" s="3304"/>
      <c r="AB86" s="3304"/>
      <c r="AC86" s="3304"/>
      <c r="AD86" s="3304"/>
      <c r="AE86" s="3304"/>
      <c r="AF86" s="3304"/>
      <c r="AG86" s="3304"/>
      <c r="AH86" s="3304"/>
      <c r="AI86" s="3304"/>
      <c r="AJ86" s="3305"/>
      <c r="AK86" s="930"/>
      <c r="AL86" s="927"/>
      <c r="AM86" s="927"/>
      <c r="AN86" s="923"/>
    </row>
    <row r="87" spans="1:47" s="924" customFormat="1" ht="12.75" customHeight="1">
      <c r="A87" s="925"/>
      <c r="B87" s="926"/>
      <c r="C87" s="926"/>
      <c r="D87" s="926"/>
      <c r="E87" s="3306"/>
      <c r="F87" s="3307"/>
      <c r="G87" s="3307"/>
      <c r="H87" s="3307"/>
      <c r="I87" s="3307"/>
      <c r="J87" s="3307"/>
      <c r="K87" s="3307"/>
      <c r="L87" s="3307"/>
      <c r="M87" s="3307"/>
      <c r="N87" s="3307"/>
      <c r="O87" s="3307"/>
      <c r="P87" s="3307"/>
      <c r="Q87" s="3307"/>
      <c r="R87" s="3307"/>
      <c r="S87" s="3307"/>
      <c r="T87" s="3307"/>
      <c r="U87" s="3307"/>
      <c r="V87" s="3307"/>
      <c r="W87" s="3307"/>
      <c r="X87" s="3307"/>
      <c r="Y87" s="3307"/>
      <c r="Z87" s="3307"/>
      <c r="AA87" s="3307"/>
      <c r="AB87" s="3307"/>
      <c r="AC87" s="3307"/>
      <c r="AD87" s="3307"/>
      <c r="AE87" s="3307"/>
      <c r="AF87" s="3307"/>
      <c r="AG87" s="3307"/>
      <c r="AH87" s="3307"/>
      <c r="AI87" s="3307"/>
      <c r="AJ87" s="3308"/>
      <c r="AK87" s="930"/>
      <c r="AL87" s="927"/>
      <c r="AM87" s="927"/>
      <c r="AN87" s="923"/>
    </row>
    <row r="88" spans="1:47" s="924" customFormat="1" ht="12.75" customHeight="1">
      <c r="A88" s="925"/>
      <c r="B88" s="926"/>
      <c r="C88" s="926"/>
      <c r="D88" s="926"/>
      <c r="E88" s="3306"/>
      <c r="F88" s="3307"/>
      <c r="G88" s="3307"/>
      <c r="H88" s="3307"/>
      <c r="I88" s="3307"/>
      <c r="J88" s="3307"/>
      <c r="K88" s="3307"/>
      <c r="L88" s="3307"/>
      <c r="M88" s="3307"/>
      <c r="N88" s="3307"/>
      <c r="O88" s="3307"/>
      <c r="P88" s="3307"/>
      <c r="Q88" s="3307"/>
      <c r="R88" s="3307"/>
      <c r="S88" s="3307"/>
      <c r="T88" s="3307"/>
      <c r="U88" s="3307"/>
      <c r="V88" s="3307"/>
      <c r="W88" s="3307"/>
      <c r="X88" s="3307"/>
      <c r="Y88" s="3307"/>
      <c r="Z88" s="3307"/>
      <c r="AA88" s="3307"/>
      <c r="AB88" s="3307"/>
      <c r="AC88" s="3307"/>
      <c r="AD88" s="3307"/>
      <c r="AE88" s="3307"/>
      <c r="AF88" s="3307"/>
      <c r="AG88" s="3307"/>
      <c r="AH88" s="3307"/>
      <c r="AI88" s="3307"/>
      <c r="AJ88" s="3308"/>
      <c r="AK88" s="930"/>
      <c r="AL88" s="927"/>
      <c r="AM88" s="927"/>
      <c r="AN88" s="923"/>
    </row>
    <row r="89" spans="1:47" s="924" customFormat="1" ht="12.75" customHeight="1">
      <c r="A89" s="925"/>
      <c r="B89" s="926"/>
      <c r="C89" s="926"/>
      <c r="D89" s="926"/>
      <c r="E89" s="3306"/>
      <c r="F89" s="3307"/>
      <c r="G89" s="3307"/>
      <c r="H89" s="3307"/>
      <c r="I89" s="3307"/>
      <c r="J89" s="3307"/>
      <c r="K89" s="3307"/>
      <c r="L89" s="3307"/>
      <c r="M89" s="3307"/>
      <c r="N89" s="3307"/>
      <c r="O89" s="3307"/>
      <c r="P89" s="3307"/>
      <c r="Q89" s="3307"/>
      <c r="R89" s="3307"/>
      <c r="S89" s="3307"/>
      <c r="T89" s="3307"/>
      <c r="U89" s="3307"/>
      <c r="V89" s="3307"/>
      <c r="W89" s="3307"/>
      <c r="X89" s="3307"/>
      <c r="Y89" s="3307"/>
      <c r="Z89" s="3307"/>
      <c r="AA89" s="3307"/>
      <c r="AB89" s="3307"/>
      <c r="AC89" s="3307"/>
      <c r="AD89" s="3307"/>
      <c r="AE89" s="3307"/>
      <c r="AF89" s="3307"/>
      <c r="AG89" s="3307"/>
      <c r="AH89" s="3307"/>
      <c r="AI89" s="3307"/>
      <c r="AJ89" s="3308"/>
      <c r="AK89" s="930"/>
      <c r="AL89" s="927"/>
      <c r="AM89" s="927"/>
      <c r="AN89" s="923"/>
    </row>
    <row r="90" spans="1:47" s="924" customFormat="1" ht="12.75" customHeight="1">
      <c r="A90" s="925"/>
      <c r="B90" s="926"/>
      <c r="C90" s="926"/>
      <c r="D90" s="926"/>
      <c r="E90" s="974"/>
      <c r="F90" s="940"/>
      <c r="G90" s="940"/>
      <c r="H90" s="940"/>
      <c r="I90" s="940"/>
      <c r="J90" s="940"/>
      <c r="K90" s="940"/>
      <c r="L90" s="940"/>
      <c r="M90" s="940"/>
      <c r="N90" s="940"/>
      <c r="O90" s="940"/>
      <c r="P90" s="940"/>
      <c r="Q90" s="940"/>
      <c r="R90" s="940"/>
      <c r="S90" s="940"/>
      <c r="T90" s="940"/>
      <c r="U90" s="940"/>
      <c r="V90" s="940"/>
      <c r="W90" s="940"/>
      <c r="X90" s="940"/>
      <c r="Y90" s="940"/>
      <c r="Z90" s="940"/>
      <c r="AA90" s="940"/>
      <c r="AB90" s="940"/>
      <c r="AC90" s="940"/>
      <c r="AD90" s="940"/>
      <c r="AE90" s="940"/>
      <c r="AF90" s="940"/>
      <c r="AG90" s="940"/>
      <c r="AH90" s="940"/>
      <c r="AI90" s="940"/>
      <c r="AJ90" s="941"/>
      <c r="AK90" s="930"/>
      <c r="AL90" s="927"/>
      <c r="AM90" s="927"/>
      <c r="AN90" s="923"/>
    </row>
    <row r="91" spans="1:47" s="924" customFormat="1" ht="12.75" customHeight="1">
      <c r="A91" s="925"/>
      <c r="B91" s="926"/>
      <c r="C91" s="926"/>
      <c r="D91" s="926"/>
      <c r="E91" s="3285">
        <f>Application!AH753</f>
        <v>0.5479797979797979</v>
      </c>
      <c r="F91" s="3286"/>
      <c r="G91" s="3286"/>
      <c r="H91" s="3286"/>
      <c r="I91" s="965"/>
      <c r="J91" s="1474" t="s">
        <v>1595</v>
      </c>
      <c r="K91" s="1467"/>
      <c r="L91" s="1467"/>
      <c r="M91" s="1467"/>
      <c r="N91" s="1467"/>
      <c r="O91" s="1467"/>
      <c r="P91" s="1467"/>
      <c r="Q91" s="1467"/>
      <c r="R91" s="1476"/>
      <c r="S91" s="1476"/>
      <c r="T91" s="1476"/>
      <c r="U91" s="1476"/>
      <c r="V91" s="1476"/>
      <c r="W91" s="1476"/>
      <c r="X91" s="940"/>
      <c r="Y91" s="940"/>
      <c r="Z91" s="940"/>
      <c r="AA91" s="940"/>
      <c r="AB91" s="940"/>
      <c r="AC91" s="940"/>
      <c r="AD91" s="940"/>
      <c r="AE91" s="940"/>
      <c r="AF91" s="940"/>
      <c r="AG91" s="940"/>
      <c r="AH91" s="940"/>
      <c r="AI91" s="940"/>
      <c r="AJ91" s="941"/>
      <c r="AK91" s="930"/>
      <c r="AL91" s="927"/>
      <c r="AM91" s="927"/>
      <c r="AN91" s="923"/>
    </row>
    <row r="92" spans="1:47" s="924" customFormat="1" ht="12.75" customHeight="1">
      <c r="A92" s="925"/>
      <c r="B92" s="926"/>
      <c r="C92" s="926"/>
      <c r="D92" s="926"/>
      <c r="E92" s="3285">
        <f ca="1">SUMIF(Application!AH728:AL752,0.2,Application!G728:J752)/Application!G753+SUMIF(Application!AH728:AL752,0.25,Application!G728:J752)/Application!G753+SUMIF(Application!AH728:AL752,0.3,Application!G728:J752)/Application!G753</f>
        <v>0.13636363636363635</v>
      </c>
      <c r="F92" s="3286"/>
      <c r="G92" s="3286"/>
      <c r="H92" s="3286"/>
      <c r="I92" s="965"/>
      <c r="J92" s="968" t="s">
        <v>1598</v>
      </c>
      <c r="K92" s="965"/>
      <c r="L92" s="965"/>
      <c r="M92" s="965"/>
      <c r="N92" s="965"/>
      <c r="O92" s="965"/>
      <c r="P92" s="965"/>
      <c r="Q92" s="965"/>
      <c r="R92" s="940"/>
      <c r="S92" s="940"/>
      <c r="T92" s="940"/>
      <c r="U92" s="940"/>
      <c r="V92" s="940"/>
      <c r="W92" s="940"/>
      <c r="X92" s="940"/>
      <c r="Y92" s="940"/>
      <c r="Z92" s="940"/>
      <c r="AA92" s="940"/>
      <c r="AB92" s="940"/>
      <c r="AC92" s="940"/>
      <c r="AD92" s="940"/>
      <c r="AE92" s="940"/>
      <c r="AF92" s="940"/>
      <c r="AG92" s="940"/>
      <c r="AH92" s="940"/>
      <c r="AI92" s="940"/>
      <c r="AJ92" s="941"/>
      <c r="AK92" s="930"/>
      <c r="AL92" s="927"/>
      <c r="AM92" s="927"/>
      <c r="AN92" s="923"/>
      <c r="AU92" s="1465"/>
    </row>
    <row r="93" spans="1:47" s="924" customFormat="1" ht="12.75" customHeight="1">
      <c r="A93" s="925"/>
      <c r="B93" s="926"/>
      <c r="C93" s="926"/>
      <c r="D93" s="926"/>
      <c r="E93" s="3285">
        <f ca="1">SUMIF(Application!AH728:AL752,0.35,Application!G728:J752)/Application!G753+SUMIF(Application!AH728:AL752,0.4,Application!G728:J752)/Application!G753+SUMIF(Application!AH728:AL752,0.45,Application!G728:J752)/Application!G753+SUMIF(Application!AH728:AL752,0.5,Application!G728:J752)/Application!G753</f>
        <v>0.35858585858585856</v>
      </c>
      <c r="F93" s="3286"/>
      <c r="G93" s="3286"/>
      <c r="H93" s="3286"/>
      <c r="I93" s="965"/>
      <c r="J93" s="968" t="s">
        <v>1599</v>
      </c>
      <c r="K93" s="965"/>
      <c r="L93" s="965"/>
      <c r="M93" s="965"/>
      <c r="N93" s="965"/>
      <c r="O93" s="965"/>
      <c r="P93" s="965"/>
      <c r="Q93" s="965"/>
      <c r="R93" s="940"/>
      <c r="S93" s="940"/>
      <c r="T93" s="940"/>
      <c r="U93" s="940"/>
      <c r="V93" s="940"/>
      <c r="W93" s="940"/>
      <c r="X93" s="940"/>
      <c r="Y93" s="940"/>
      <c r="Z93" s="940"/>
      <c r="AA93" s="940"/>
      <c r="AB93" s="940"/>
      <c r="AC93" s="940"/>
      <c r="AD93" s="940"/>
      <c r="AE93" s="940"/>
      <c r="AF93" s="940"/>
      <c r="AG93" s="940"/>
      <c r="AH93" s="940"/>
      <c r="AI93" s="940"/>
      <c r="AJ93" s="941"/>
      <c r="AK93" s="930"/>
      <c r="AL93" s="927"/>
      <c r="AM93" s="927"/>
      <c r="AN93" s="923"/>
      <c r="AU93" s="1465"/>
    </row>
    <row r="94" spans="1:47" s="924" customFormat="1" ht="12.75" customHeight="1">
      <c r="A94" s="925"/>
      <c r="B94" s="926"/>
      <c r="C94" s="926"/>
      <c r="D94" s="926"/>
      <c r="E94" s="3288">
        <f ca="1">IF(AND(E91&lt;=0.6,E92&gt;=0.1,OR(E93&gt;=0.1,E92=1)),20,0)</f>
        <v>20</v>
      </c>
      <c r="F94" s="3289"/>
      <c r="G94" s="3289"/>
      <c r="H94" s="3289"/>
      <c r="I94" s="940"/>
      <c r="J94" s="975" t="s">
        <v>1597</v>
      </c>
      <c r="K94" s="940"/>
      <c r="L94" s="940"/>
      <c r="M94" s="940"/>
      <c r="N94" s="940"/>
      <c r="O94" s="940"/>
      <c r="P94" s="940"/>
      <c r="Q94" s="940"/>
      <c r="R94" s="940"/>
      <c r="S94" s="940"/>
      <c r="T94" s="940"/>
      <c r="U94" s="940"/>
      <c r="V94" s="940"/>
      <c r="W94" s="940"/>
      <c r="X94" s="940"/>
      <c r="Y94" s="940"/>
      <c r="Z94" s="940"/>
      <c r="AA94" s="940"/>
      <c r="AB94" s="940"/>
      <c r="AC94" s="940"/>
      <c r="AD94" s="940"/>
      <c r="AE94" s="940"/>
      <c r="AF94" s="940"/>
      <c r="AG94" s="940"/>
      <c r="AH94" s="940"/>
      <c r="AI94" s="940"/>
      <c r="AJ94" s="941"/>
      <c r="AK94" s="930"/>
      <c r="AL94" s="927"/>
      <c r="AM94" s="927"/>
      <c r="AN94" s="923"/>
      <c r="AP94" s="924">
        <f ca="1">IF(B86="yes",E94,0)</f>
        <v>20</v>
      </c>
      <c r="AQ94" s="924" t="s">
        <v>1566</v>
      </c>
    </row>
    <row r="95" spans="1:47" s="924" customFormat="1" ht="12.75" customHeight="1">
      <c r="A95" s="925"/>
      <c r="B95" s="926"/>
      <c r="C95" s="926"/>
      <c r="D95" s="926"/>
      <c r="E95" s="970"/>
      <c r="F95" s="971"/>
      <c r="G95" s="971"/>
      <c r="H95" s="971"/>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2"/>
      <c r="AF95" s="972"/>
      <c r="AG95" s="972"/>
      <c r="AH95" s="972"/>
      <c r="AI95" s="972"/>
      <c r="AJ95" s="973"/>
      <c r="AK95" s="930"/>
      <c r="AL95" s="927"/>
      <c r="AM95" s="927"/>
      <c r="AN95" s="923"/>
    </row>
    <row r="96" spans="1:47" s="924" customFormat="1" ht="12.75" customHeight="1">
      <c r="A96" s="925"/>
      <c r="B96" s="926"/>
      <c r="C96" s="926"/>
      <c r="D96" s="926"/>
      <c r="E96" s="926"/>
      <c r="F96" s="926"/>
      <c r="G96" s="926"/>
      <c r="H96" s="926"/>
      <c r="I96" s="926"/>
      <c r="J96" s="926"/>
      <c r="K96" s="926"/>
      <c r="L96" s="926"/>
      <c r="M96" s="926"/>
      <c r="N96" s="926"/>
      <c r="O96" s="926"/>
      <c r="P96" s="926"/>
      <c r="Q96" s="926"/>
      <c r="R96" s="926"/>
      <c r="S96" s="926"/>
      <c r="T96" s="926"/>
      <c r="U96" s="926"/>
      <c r="V96" s="926"/>
      <c r="W96" s="926"/>
      <c r="X96" s="926"/>
      <c r="Y96" s="926"/>
      <c r="Z96" s="926"/>
      <c r="AA96" s="926"/>
      <c r="AB96" s="926"/>
      <c r="AC96" s="926"/>
      <c r="AD96" s="926"/>
      <c r="AE96" s="930"/>
      <c r="AF96" s="930"/>
      <c r="AG96" s="930"/>
      <c r="AH96" s="930"/>
      <c r="AI96" s="930"/>
      <c r="AJ96" s="930"/>
      <c r="AK96" s="930"/>
      <c r="AL96" s="927"/>
      <c r="AM96" s="927"/>
      <c r="AN96" s="923"/>
    </row>
    <row r="97" spans="1:49" s="924" customFormat="1" ht="12.75" customHeight="1">
      <c r="A97" s="949"/>
      <c r="B97" s="950"/>
      <c r="C97" s="950"/>
      <c r="D97" s="950"/>
      <c r="E97" s="950"/>
      <c r="F97" s="950"/>
      <c r="G97" s="951"/>
      <c r="H97" s="952"/>
      <c r="I97" s="952"/>
      <c r="J97" s="952"/>
      <c r="K97" s="952"/>
      <c r="L97" s="952"/>
      <c r="M97" s="952"/>
      <c r="N97" s="952"/>
      <c r="O97" s="952"/>
      <c r="P97" s="952"/>
      <c r="Q97" s="952"/>
      <c r="R97" s="952"/>
      <c r="S97" s="952"/>
      <c r="T97" s="952"/>
      <c r="U97" s="952"/>
      <c r="V97" s="952"/>
      <c r="W97" s="952"/>
      <c r="X97" s="952"/>
      <c r="Y97" s="952"/>
      <c r="Z97" s="952"/>
      <c r="AA97" s="952"/>
      <c r="AB97" s="952"/>
      <c r="AC97" s="952"/>
      <c r="AD97" s="952"/>
      <c r="AE97" s="952"/>
      <c r="AF97" s="952"/>
      <c r="AG97" s="952"/>
      <c r="AH97" s="952"/>
      <c r="AI97" s="953"/>
      <c r="AJ97" s="953" t="s">
        <v>1600</v>
      </c>
      <c r="AK97" s="3271">
        <f ca="1">MAX(AP83,AP94)</f>
        <v>20</v>
      </c>
      <c r="AL97" s="3272"/>
      <c r="AM97" s="3273"/>
      <c r="AN97" s="923"/>
    </row>
    <row r="98" spans="1:49" s="924" customFormat="1" ht="12.75" customHeight="1" thickBot="1">
      <c r="A98" s="954"/>
      <c r="B98" s="955"/>
      <c r="C98" s="956"/>
      <c r="D98" s="956"/>
      <c r="E98" s="956"/>
      <c r="F98" s="956"/>
      <c r="G98" s="956"/>
      <c r="H98" s="956"/>
      <c r="I98" s="956"/>
      <c r="J98" s="956"/>
      <c r="K98" s="956"/>
      <c r="L98" s="956"/>
      <c r="M98" s="956"/>
      <c r="N98" s="956"/>
      <c r="O98" s="956"/>
      <c r="P98" s="956"/>
      <c r="Q98" s="956"/>
      <c r="R98" s="956"/>
      <c r="S98" s="956"/>
      <c r="T98" s="956"/>
      <c r="U98" s="956"/>
      <c r="V98" s="956"/>
      <c r="W98" s="956"/>
      <c r="X98" s="956"/>
      <c r="Y98" s="956"/>
      <c r="Z98" s="956"/>
      <c r="AA98" s="956"/>
      <c r="AB98" s="956"/>
      <c r="AC98" s="956"/>
      <c r="AD98" s="956"/>
      <c r="AE98" s="956"/>
      <c r="AF98" s="956"/>
      <c r="AG98" s="956"/>
      <c r="AH98" s="956"/>
      <c r="AI98" s="956"/>
      <c r="AJ98" s="956"/>
      <c r="AK98" s="956"/>
      <c r="AL98" s="956"/>
      <c r="AM98" s="957"/>
      <c r="AN98" s="923"/>
    </row>
    <row r="99" spans="1:49" s="924" customFormat="1" ht="12.75" customHeight="1" thickTop="1">
      <c r="A99" s="958"/>
      <c r="B99" s="959"/>
      <c r="C99" s="960"/>
      <c r="D99" s="960"/>
      <c r="E99" s="960"/>
      <c r="F99" s="960"/>
      <c r="G99" s="960"/>
      <c r="H99" s="960"/>
      <c r="I99" s="961"/>
      <c r="J99" s="961"/>
      <c r="K99" s="961"/>
      <c r="L99" s="961"/>
      <c r="M99" s="961"/>
      <c r="N99" s="961"/>
      <c r="O99" s="961"/>
      <c r="P99" s="961"/>
      <c r="Q99" s="961"/>
      <c r="R99" s="958"/>
      <c r="S99" s="926"/>
      <c r="T99" s="926"/>
      <c r="U99" s="926"/>
      <c r="V99" s="926"/>
      <c r="W99" s="926"/>
      <c r="X99" s="926"/>
      <c r="Y99" s="926"/>
      <c r="Z99" s="926"/>
      <c r="AA99" s="926"/>
      <c r="AB99" s="926"/>
      <c r="AC99" s="926"/>
      <c r="AD99" s="926"/>
      <c r="AE99" s="926"/>
      <c r="AF99" s="958"/>
      <c r="AG99" s="926"/>
      <c r="AH99" s="926"/>
      <c r="AI99" s="926"/>
      <c r="AJ99" s="926"/>
      <c r="AK99" s="937"/>
      <c r="AL99" s="937"/>
      <c r="AM99" s="937"/>
      <c r="AN99" s="923"/>
    </row>
    <row r="100" spans="1:49" s="924" customFormat="1" ht="12.75" customHeight="1">
      <c r="A100" s="925" t="s">
        <v>1601</v>
      </c>
      <c r="B100" s="926" t="s">
        <v>1602</v>
      </c>
      <c r="C100" s="926"/>
      <c r="D100" s="926"/>
      <c r="E100" s="926"/>
      <c r="F100" s="926"/>
      <c r="G100" s="926"/>
      <c r="H100" s="926"/>
      <c r="I100" s="926"/>
      <c r="J100" s="926"/>
      <c r="K100" s="926"/>
      <c r="L100" s="926"/>
      <c r="M100" s="926"/>
      <c r="N100" s="926"/>
      <c r="O100" s="926"/>
      <c r="P100" s="926"/>
      <c r="Q100" s="926"/>
      <c r="R100" s="926"/>
      <c r="S100" s="926"/>
      <c r="T100" s="926"/>
      <c r="U100" s="926"/>
      <c r="V100" s="926"/>
      <c r="W100" s="926"/>
      <c r="X100" s="926"/>
      <c r="Y100" s="926"/>
      <c r="Z100" s="926"/>
      <c r="AA100" s="926"/>
      <c r="AB100" s="926"/>
      <c r="AC100" s="926"/>
      <c r="AD100" s="926"/>
      <c r="AE100" s="3287" t="s">
        <v>1583</v>
      </c>
      <c r="AF100" s="3287"/>
      <c r="AG100" s="3287"/>
      <c r="AH100" s="3287"/>
      <c r="AI100" s="3287"/>
      <c r="AJ100" s="3287"/>
      <c r="AK100" s="3287"/>
      <c r="AL100" s="927"/>
      <c r="AM100" s="927"/>
      <c r="AN100" s="923"/>
      <c r="AO100" s="924" t="str">
        <f>Application!B728</f>
        <v>1 Bedroom</v>
      </c>
      <c r="AQ100" s="924">
        <f>Application!O728</f>
        <v>441</v>
      </c>
    </row>
    <row r="101" spans="1:49" s="924" customFormat="1" ht="12.75" customHeight="1">
      <c r="A101" s="927"/>
      <c r="B101" s="926" t="s">
        <v>1593</v>
      </c>
      <c r="C101" s="926"/>
      <c r="D101" s="926"/>
      <c r="E101" s="926"/>
      <c r="F101" s="926"/>
      <c r="G101" s="926"/>
      <c r="H101" s="926"/>
      <c r="I101" s="926"/>
      <c r="J101" s="926"/>
      <c r="K101" s="926"/>
      <c r="L101" s="926"/>
      <c r="M101" s="926"/>
      <c r="N101" s="926"/>
      <c r="O101" s="926"/>
      <c r="P101" s="926"/>
      <c r="Q101" s="926"/>
      <c r="R101" s="926"/>
      <c r="S101" s="926"/>
      <c r="T101" s="926"/>
      <c r="U101" s="926"/>
      <c r="V101" s="926"/>
      <c r="W101" s="926"/>
      <c r="X101" s="926"/>
      <c r="Y101" s="926"/>
      <c r="Z101" s="926"/>
      <c r="AA101" s="926"/>
      <c r="AB101" s="926"/>
      <c r="AC101" s="926"/>
      <c r="AD101" s="926"/>
      <c r="AE101" s="1767"/>
      <c r="AF101" s="1767"/>
      <c r="AG101" s="1767"/>
      <c r="AH101" s="1767"/>
      <c r="AI101" s="1767"/>
      <c r="AJ101" s="1767"/>
      <c r="AK101" s="927"/>
      <c r="AL101" s="927"/>
      <c r="AM101" s="927"/>
      <c r="AN101" s="923"/>
      <c r="AO101" s="924" t="str">
        <f>Application!B729</f>
        <v>2 Bedrooms</v>
      </c>
      <c r="AQ101" s="924">
        <f>Application!O729</f>
        <v>526</v>
      </c>
    </row>
    <row r="102" spans="1:49" s="924" customFormat="1" ht="12.75" customHeight="1">
      <c r="A102" s="927"/>
      <c r="B102" s="926"/>
      <c r="C102" s="926"/>
      <c r="D102" s="926"/>
      <c r="E102" s="1467"/>
      <c r="F102" s="1467"/>
      <c r="G102" s="1467"/>
      <c r="H102" s="1467"/>
      <c r="I102" s="1467"/>
      <c r="J102" s="1467"/>
      <c r="K102" s="1467"/>
      <c r="L102" s="1467"/>
      <c r="M102" s="1467"/>
      <c r="N102" s="1467"/>
      <c r="O102" s="1467"/>
      <c r="P102" s="1467"/>
      <c r="Q102" s="1467"/>
      <c r="R102" s="1467"/>
      <c r="S102" s="1467"/>
      <c r="T102" s="1467"/>
      <c r="U102" s="1467"/>
      <c r="V102" s="1467"/>
      <c r="W102" s="1467"/>
      <c r="X102" s="1467"/>
      <c r="Y102" s="1467"/>
      <c r="Z102" s="1467"/>
      <c r="AA102" s="1467"/>
      <c r="AB102" s="1467"/>
      <c r="AC102" s="1467"/>
      <c r="AD102" s="1467"/>
      <c r="AE102" s="1467"/>
      <c r="AF102" s="1467"/>
      <c r="AG102" s="1467"/>
      <c r="AH102" s="1467"/>
      <c r="AI102" s="1467"/>
      <c r="AJ102" s="1467"/>
      <c r="AK102" s="927"/>
      <c r="AL102" s="927"/>
      <c r="AM102" s="927"/>
      <c r="AN102" s="923"/>
      <c r="AO102" s="924" t="str">
        <f>Application!B730</f>
        <v>3 Bedrooms</v>
      </c>
      <c r="AQ102" s="924">
        <f>Application!O730</f>
        <v>601</v>
      </c>
    </row>
    <row r="103" spans="1:49" s="924" customFormat="1" ht="12.75" customHeight="1">
      <c r="A103" s="927"/>
      <c r="B103" s="3296" t="s">
        <v>578</v>
      </c>
      <c r="C103" s="3296"/>
      <c r="D103" s="934" t="s">
        <v>1584</v>
      </c>
      <c r="E103" s="3303" t="s">
        <v>2381</v>
      </c>
      <c r="F103" s="3304"/>
      <c r="G103" s="3304"/>
      <c r="H103" s="3304"/>
      <c r="I103" s="3304"/>
      <c r="J103" s="3304"/>
      <c r="K103" s="3304"/>
      <c r="L103" s="3304"/>
      <c r="M103" s="3304"/>
      <c r="N103" s="3304"/>
      <c r="O103" s="3304"/>
      <c r="P103" s="3304"/>
      <c r="Q103" s="3304"/>
      <c r="R103" s="3304"/>
      <c r="S103" s="3304"/>
      <c r="T103" s="3304"/>
      <c r="U103" s="3304"/>
      <c r="V103" s="3304"/>
      <c r="W103" s="3304"/>
      <c r="X103" s="3304"/>
      <c r="Y103" s="3304"/>
      <c r="Z103" s="3304"/>
      <c r="AA103" s="3304"/>
      <c r="AB103" s="3304"/>
      <c r="AC103" s="3304"/>
      <c r="AD103" s="3304"/>
      <c r="AE103" s="3304"/>
      <c r="AF103" s="3304"/>
      <c r="AG103" s="3304"/>
      <c r="AH103" s="3304"/>
      <c r="AI103" s="3304"/>
      <c r="AJ103" s="3305"/>
      <c r="AK103" s="927"/>
      <c r="AL103" s="927"/>
      <c r="AM103" s="927"/>
      <c r="AN103" s="923"/>
      <c r="AO103" s="924">
        <f>Application!B731</f>
        <v>0</v>
      </c>
      <c r="AQ103" s="924">
        <f>Application!O731</f>
        <v>0</v>
      </c>
      <c r="AU103" s="924" t="s">
        <v>2359</v>
      </c>
      <c r="AV103" s="1749" t="s">
        <v>2360</v>
      </c>
      <c r="AW103" s="924" t="s">
        <v>2361</v>
      </c>
    </row>
    <row r="104" spans="1:49" s="924" customFormat="1" ht="12.75" customHeight="1">
      <c r="A104" s="927"/>
      <c r="B104" s="926"/>
      <c r="C104" s="926"/>
      <c r="D104" s="926"/>
      <c r="E104" s="3306"/>
      <c r="F104" s="3307"/>
      <c r="G104" s="3307"/>
      <c r="H104" s="3307"/>
      <c r="I104" s="3307"/>
      <c r="J104" s="3307"/>
      <c r="K104" s="3307"/>
      <c r="L104" s="3307"/>
      <c r="M104" s="3307"/>
      <c r="N104" s="3307"/>
      <c r="O104" s="3307"/>
      <c r="P104" s="3307"/>
      <c r="Q104" s="3307"/>
      <c r="R104" s="3307"/>
      <c r="S104" s="3307"/>
      <c r="T104" s="3307"/>
      <c r="U104" s="3307"/>
      <c r="V104" s="3307"/>
      <c r="W104" s="3307"/>
      <c r="X104" s="3307"/>
      <c r="Y104" s="3307"/>
      <c r="Z104" s="3307"/>
      <c r="AA104" s="3307"/>
      <c r="AB104" s="3307"/>
      <c r="AC104" s="3307"/>
      <c r="AD104" s="3307"/>
      <c r="AE104" s="3307"/>
      <c r="AF104" s="3307"/>
      <c r="AG104" s="3307"/>
      <c r="AH104" s="3307"/>
      <c r="AI104" s="3307"/>
      <c r="AJ104" s="3308"/>
      <c r="AK104" s="927"/>
      <c r="AL104" s="927"/>
      <c r="AM104" s="927"/>
      <c r="AN104" s="923"/>
      <c r="AO104" s="924" t="str">
        <f>Application!B732</f>
        <v>1 Bedroom</v>
      </c>
      <c r="AQ104" s="924">
        <f>Application!O732</f>
        <v>781</v>
      </c>
      <c r="AU104" s="1752" t="str">
        <f>E112</f>
        <v>Studio/SRO</v>
      </c>
      <c r="AV104" s="924">
        <f t="array" ref="AV104">SUM(IF(Application!B728:F752="SRO/Studio",Application!G728:J752))</f>
        <v>0</v>
      </c>
      <c r="AW104" s="1787">
        <f>AV104/AV110</f>
        <v>0</v>
      </c>
    </row>
    <row r="105" spans="1:49" s="924" customFormat="1" ht="12.75" customHeight="1">
      <c r="A105" s="927"/>
      <c r="B105" s="926"/>
      <c r="C105" s="926"/>
      <c r="D105" s="926"/>
      <c r="E105" s="3306"/>
      <c r="F105" s="3307"/>
      <c r="G105" s="3307"/>
      <c r="H105" s="3307"/>
      <c r="I105" s="3307"/>
      <c r="J105" s="3307"/>
      <c r="K105" s="3307"/>
      <c r="L105" s="3307"/>
      <c r="M105" s="3307"/>
      <c r="N105" s="3307"/>
      <c r="O105" s="3307"/>
      <c r="P105" s="3307"/>
      <c r="Q105" s="3307"/>
      <c r="R105" s="3307"/>
      <c r="S105" s="3307"/>
      <c r="T105" s="3307"/>
      <c r="U105" s="3307"/>
      <c r="V105" s="3307"/>
      <c r="W105" s="3307"/>
      <c r="X105" s="3307"/>
      <c r="Y105" s="3307"/>
      <c r="Z105" s="3307"/>
      <c r="AA105" s="3307"/>
      <c r="AB105" s="3307"/>
      <c r="AC105" s="3307"/>
      <c r="AD105" s="3307"/>
      <c r="AE105" s="3307"/>
      <c r="AF105" s="3307"/>
      <c r="AG105" s="3307"/>
      <c r="AH105" s="3307"/>
      <c r="AI105" s="3307"/>
      <c r="AJ105" s="3308"/>
      <c r="AK105" s="927"/>
      <c r="AL105" s="927"/>
      <c r="AM105" s="927"/>
      <c r="AN105" s="923"/>
      <c r="AO105" s="924" t="str">
        <f>Application!B733</f>
        <v>2 Bedrooms</v>
      </c>
      <c r="AQ105" s="924">
        <f>Application!O733</f>
        <v>934</v>
      </c>
      <c r="AU105" s="1752" t="str">
        <f>J112</f>
        <v>1-bedroom</v>
      </c>
      <c r="AV105" s="924">
        <f t="array" ref="AV105">SUM(IF(Application!B728:F752="1 Bedroom",Application!G728:J752))</f>
        <v>47</v>
      </c>
      <c r="AW105" s="1787">
        <f>AV105/AV110</f>
        <v>0.23737373737373738</v>
      </c>
    </row>
    <row r="106" spans="1:49" s="924" customFormat="1" ht="12.75" customHeight="1">
      <c r="A106" s="927"/>
      <c r="B106" s="926"/>
      <c r="C106" s="926"/>
      <c r="D106" s="926"/>
      <c r="E106" s="3306"/>
      <c r="F106" s="3307"/>
      <c r="G106" s="3307"/>
      <c r="H106" s="3307"/>
      <c r="I106" s="3307"/>
      <c r="J106" s="3307"/>
      <c r="K106" s="3307"/>
      <c r="L106" s="3307"/>
      <c r="M106" s="3307"/>
      <c r="N106" s="3307"/>
      <c r="O106" s="3307"/>
      <c r="P106" s="3307"/>
      <c r="Q106" s="3307"/>
      <c r="R106" s="3307"/>
      <c r="S106" s="3307"/>
      <c r="T106" s="3307"/>
      <c r="U106" s="3307"/>
      <c r="V106" s="3307"/>
      <c r="W106" s="3307"/>
      <c r="X106" s="3307"/>
      <c r="Y106" s="3307"/>
      <c r="Z106" s="3307"/>
      <c r="AA106" s="3307"/>
      <c r="AB106" s="3307"/>
      <c r="AC106" s="3307"/>
      <c r="AD106" s="3307"/>
      <c r="AE106" s="3307"/>
      <c r="AF106" s="3307"/>
      <c r="AG106" s="3307"/>
      <c r="AH106" s="3307"/>
      <c r="AI106" s="3307"/>
      <c r="AJ106" s="3308"/>
      <c r="AK106" s="927"/>
      <c r="AL106" s="927"/>
      <c r="AM106" s="927"/>
      <c r="AN106" s="923"/>
      <c r="AO106" s="924" t="str">
        <f>Application!B734</f>
        <v>3 Bedrooms</v>
      </c>
      <c r="AQ106" s="924">
        <f>Application!O734</f>
        <v>1073</v>
      </c>
      <c r="AU106" s="1752" t="str">
        <f>O112</f>
        <v>2-bedroom</v>
      </c>
      <c r="AV106" s="924">
        <f t="array" ref="AV106">SUM(IF(Application!B728:F752="2 Bedrooms",Application!G728:J752))</f>
        <v>93</v>
      </c>
      <c r="AW106" s="1787">
        <f>AV106/AV110</f>
        <v>0.46969696969696972</v>
      </c>
    </row>
    <row r="107" spans="1:49" s="924" customFormat="1" ht="12.75" customHeight="1">
      <c r="A107" s="927"/>
      <c r="B107" s="926"/>
      <c r="C107" s="926"/>
      <c r="D107" s="926"/>
      <c r="E107" s="3306"/>
      <c r="F107" s="3307"/>
      <c r="G107" s="3307"/>
      <c r="H107" s="3307"/>
      <c r="I107" s="3307"/>
      <c r="J107" s="3307"/>
      <c r="K107" s="3307"/>
      <c r="L107" s="3307"/>
      <c r="M107" s="3307"/>
      <c r="N107" s="3307"/>
      <c r="O107" s="3307"/>
      <c r="P107" s="3307"/>
      <c r="Q107" s="3307"/>
      <c r="R107" s="3307"/>
      <c r="S107" s="3307"/>
      <c r="T107" s="3307"/>
      <c r="U107" s="3307"/>
      <c r="V107" s="3307"/>
      <c r="W107" s="3307"/>
      <c r="X107" s="3307"/>
      <c r="Y107" s="3307"/>
      <c r="Z107" s="3307"/>
      <c r="AA107" s="3307"/>
      <c r="AB107" s="3307"/>
      <c r="AC107" s="3307"/>
      <c r="AD107" s="3307"/>
      <c r="AE107" s="3307"/>
      <c r="AF107" s="3307"/>
      <c r="AG107" s="3307"/>
      <c r="AH107" s="3307"/>
      <c r="AI107" s="3307"/>
      <c r="AJ107" s="3308"/>
      <c r="AK107" s="927"/>
      <c r="AL107" s="927"/>
      <c r="AM107" s="927"/>
      <c r="AN107" s="923"/>
      <c r="AO107" s="924">
        <f>Application!B735</f>
        <v>0</v>
      </c>
      <c r="AQ107" s="924">
        <f>Application!O735</f>
        <v>0</v>
      </c>
      <c r="AU107" s="1752" t="str">
        <f>T112</f>
        <v>3-bedroom</v>
      </c>
      <c r="AV107" s="924">
        <f t="array" ref="AV107">SUM(IF(Application!B728:F752="3 Bedrooms",Application!G728:J752))</f>
        <v>58</v>
      </c>
      <c r="AW107" s="1787">
        <f>AV107/AV110</f>
        <v>0.29292929292929293</v>
      </c>
    </row>
    <row r="108" spans="1:49" s="924" customFormat="1" ht="12.75" customHeight="1">
      <c r="A108" s="927"/>
      <c r="B108" s="926"/>
      <c r="C108" s="926"/>
      <c r="D108" s="926"/>
      <c r="E108" s="3306"/>
      <c r="F108" s="3307"/>
      <c r="G108" s="3307"/>
      <c r="H108" s="3307"/>
      <c r="I108" s="3307"/>
      <c r="J108" s="3307"/>
      <c r="K108" s="3307"/>
      <c r="L108" s="3307"/>
      <c r="M108" s="3307"/>
      <c r="N108" s="3307"/>
      <c r="O108" s="3307"/>
      <c r="P108" s="3307"/>
      <c r="Q108" s="3307"/>
      <c r="R108" s="3307"/>
      <c r="S108" s="3307"/>
      <c r="T108" s="3307"/>
      <c r="U108" s="3307"/>
      <c r="V108" s="3307"/>
      <c r="W108" s="3307"/>
      <c r="X108" s="3307"/>
      <c r="Y108" s="3307"/>
      <c r="Z108" s="3307"/>
      <c r="AA108" s="3307"/>
      <c r="AB108" s="3307"/>
      <c r="AC108" s="3307"/>
      <c r="AD108" s="3307"/>
      <c r="AE108" s="3307"/>
      <c r="AF108" s="3307"/>
      <c r="AG108" s="3307"/>
      <c r="AH108" s="3307"/>
      <c r="AI108" s="3307"/>
      <c r="AJ108" s="3308"/>
      <c r="AK108" s="927"/>
      <c r="AL108" s="927"/>
      <c r="AM108" s="927"/>
      <c r="AN108" s="923"/>
      <c r="AO108" s="924" t="str">
        <f>Application!B736</f>
        <v>1 Bedroom</v>
      </c>
      <c r="AQ108" s="924">
        <f>Application!O736</f>
        <v>951</v>
      </c>
      <c r="AU108" s="1752" t="str">
        <f>Y112</f>
        <v>4-bedroom</v>
      </c>
      <c r="AV108" s="924">
        <f t="array" ref="AV108">SUM(IF(Application!B728:F752="4 Bedrooms",Application!G728:J752))</f>
        <v>0</v>
      </c>
      <c r="AW108" s="1787">
        <f>AV108/AV110</f>
        <v>0</v>
      </c>
    </row>
    <row r="109" spans="1:49" s="924" customFormat="1" ht="12.75" customHeight="1">
      <c r="A109" s="927"/>
      <c r="B109" s="926"/>
      <c r="C109" s="926"/>
      <c r="D109" s="926"/>
      <c r="E109" s="3306"/>
      <c r="F109" s="3307"/>
      <c r="G109" s="3307"/>
      <c r="H109" s="3307"/>
      <c r="I109" s="3307"/>
      <c r="J109" s="3307"/>
      <c r="K109" s="3307"/>
      <c r="L109" s="3307"/>
      <c r="M109" s="3307"/>
      <c r="N109" s="3307"/>
      <c r="O109" s="3307"/>
      <c r="P109" s="3307"/>
      <c r="Q109" s="3307"/>
      <c r="R109" s="3307"/>
      <c r="S109" s="3307"/>
      <c r="T109" s="3307"/>
      <c r="U109" s="3307"/>
      <c r="V109" s="3307"/>
      <c r="W109" s="3307"/>
      <c r="X109" s="3307"/>
      <c r="Y109" s="3307"/>
      <c r="Z109" s="3307"/>
      <c r="AA109" s="3307"/>
      <c r="AB109" s="3307"/>
      <c r="AC109" s="3307"/>
      <c r="AD109" s="3307"/>
      <c r="AE109" s="3307"/>
      <c r="AF109" s="3307"/>
      <c r="AG109" s="3307"/>
      <c r="AH109" s="3307"/>
      <c r="AI109" s="3307"/>
      <c r="AJ109" s="3308"/>
      <c r="AK109" s="927"/>
      <c r="AL109" s="927"/>
      <c r="AM109" s="927"/>
      <c r="AN109" s="923"/>
      <c r="AO109" s="924" t="str">
        <f>Application!B737</f>
        <v>2 Bedrooms</v>
      </c>
      <c r="AQ109" s="924">
        <f>Application!O737</f>
        <v>1138</v>
      </c>
      <c r="AU109" s="1752" t="str">
        <f>AD112</f>
        <v>5-bedroom</v>
      </c>
      <c r="AV109" s="924">
        <f t="array" ref="AV109">SUM(IF(Application!B728:F752="5 Bedrooms",Application!G728:J752))</f>
        <v>0</v>
      </c>
      <c r="AW109" s="1787">
        <f>AV109/AV110</f>
        <v>0</v>
      </c>
    </row>
    <row r="110" spans="1:49" s="924" customFormat="1" ht="12.75" customHeight="1">
      <c r="A110" s="927"/>
      <c r="B110" s="926"/>
      <c r="C110" s="926"/>
      <c r="D110" s="926"/>
      <c r="E110" s="3306"/>
      <c r="F110" s="3307"/>
      <c r="G110" s="3307"/>
      <c r="H110" s="3307"/>
      <c r="I110" s="3307"/>
      <c r="J110" s="3307"/>
      <c r="K110" s="3307"/>
      <c r="L110" s="3307"/>
      <c r="M110" s="3307"/>
      <c r="N110" s="3307"/>
      <c r="O110" s="3307"/>
      <c r="P110" s="3307"/>
      <c r="Q110" s="3307"/>
      <c r="R110" s="3307"/>
      <c r="S110" s="3307"/>
      <c r="T110" s="3307"/>
      <c r="U110" s="3307"/>
      <c r="V110" s="3307"/>
      <c r="W110" s="3307"/>
      <c r="X110" s="3307"/>
      <c r="Y110" s="3307"/>
      <c r="Z110" s="3307"/>
      <c r="AA110" s="3307"/>
      <c r="AB110" s="3307"/>
      <c r="AC110" s="3307"/>
      <c r="AD110" s="3307"/>
      <c r="AE110" s="3307"/>
      <c r="AF110" s="3307"/>
      <c r="AG110" s="3307"/>
      <c r="AH110" s="3307"/>
      <c r="AI110" s="3307"/>
      <c r="AJ110" s="3308"/>
      <c r="AK110" s="927"/>
      <c r="AL110" s="927"/>
      <c r="AM110" s="927"/>
      <c r="AN110" s="923"/>
      <c r="AO110" s="924" t="str">
        <f>Application!B738</f>
        <v>3 Bedrooms</v>
      </c>
      <c r="AQ110" s="924">
        <f>Application!O738</f>
        <v>1308</v>
      </c>
      <c r="AV110" s="924">
        <f>SUM(AV104:AV109)</f>
        <v>198</v>
      </c>
      <c r="AW110" s="1787">
        <f>SUM(AW104:AW109)</f>
        <v>1</v>
      </c>
    </row>
    <row r="111" spans="1:49" s="924" customFormat="1" ht="12.75" customHeight="1">
      <c r="A111" s="927"/>
      <c r="B111" s="926"/>
      <c r="C111" s="926"/>
      <c r="D111" s="926"/>
      <c r="E111" s="974"/>
      <c r="F111" s="940"/>
      <c r="G111" s="940"/>
      <c r="H111" s="940"/>
      <c r="I111" s="940"/>
      <c r="J111" s="940"/>
      <c r="K111" s="940"/>
      <c r="L111" s="940"/>
      <c r="M111" s="940"/>
      <c r="N111" s="940"/>
      <c r="O111" s="940"/>
      <c r="P111" s="940"/>
      <c r="Q111" s="940"/>
      <c r="R111" s="940"/>
      <c r="S111" s="940"/>
      <c r="T111" s="940"/>
      <c r="U111" s="940"/>
      <c r="V111" s="940"/>
      <c r="W111" s="940"/>
      <c r="X111" s="940"/>
      <c r="Y111" s="940"/>
      <c r="Z111" s="940"/>
      <c r="AA111" s="940"/>
      <c r="AB111" s="940"/>
      <c r="AC111" s="940"/>
      <c r="AD111" s="940"/>
      <c r="AE111" s="940"/>
      <c r="AF111" s="940"/>
      <c r="AG111" s="940"/>
      <c r="AH111" s="940"/>
      <c r="AI111" s="940"/>
      <c r="AJ111" s="941"/>
      <c r="AK111" s="927"/>
      <c r="AL111" s="927"/>
      <c r="AM111" s="927"/>
      <c r="AN111" s="923"/>
      <c r="AO111" s="924">
        <f>Application!B739</f>
        <v>0</v>
      </c>
      <c r="AQ111" s="924">
        <f>Application!O739</f>
        <v>0</v>
      </c>
    </row>
    <row r="112" spans="1:49" s="924" customFormat="1" ht="12.75" customHeight="1">
      <c r="A112" s="927"/>
      <c r="B112" s="926"/>
      <c r="C112" s="927"/>
      <c r="D112" s="927"/>
      <c r="E112" s="3285" t="s">
        <v>1885</v>
      </c>
      <c r="F112" s="3286"/>
      <c r="G112" s="3286"/>
      <c r="H112" s="3286"/>
      <c r="I112" s="1467"/>
      <c r="J112" s="3286" t="s">
        <v>1978</v>
      </c>
      <c r="K112" s="3286"/>
      <c r="L112" s="3286"/>
      <c r="M112" s="3286"/>
      <c r="N112" s="1467"/>
      <c r="O112" s="3286" t="s">
        <v>1979</v>
      </c>
      <c r="P112" s="3286"/>
      <c r="Q112" s="3286"/>
      <c r="R112" s="3286"/>
      <c r="S112" s="1467"/>
      <c r="T112" s="3286" t="s">
        <v>1603</v>
      </c>
      <c r="U112" s="3286"/>
      <c r="V112" s="3286"/>
      <c r="W112" s="3286"/>
      <c r="X112" s="1467"/>
      <c r="Y112" s="3286" t="s">
        <v>1980</v>
      </c>
      <c r="Z112" s="3286"/>
      <c r="AA112" s="3286"/>
      <c r="AB112" s="3286"/>
      <c r="AC112" s="1467"/>
      <c r="AD112" s="3286" t="s">
        <v>1981</v>
      </c>
      <c r="AE112" s="3286"/>
      <c r="AF112" s="3286"/>
      <c r="AG112" s="3286"/>
      <c r="AH112" s="965"/>
      <c r="AI112" s="965"/>
      <c r="AJ112" s="967"/>
      <c r="AK112" s="927"/>
      <c r="AL112" s="927"/>
      <c r="AM112" s="927"/>
      <c r="AN112" s="923"/>
      <c r="AO112" s="924" t="str">
        <f>Application!B740</f>
        <v>1 Bedroom</v>
      </c>
      <c r="AQ112" s="924">
        <f>Application!O740</f>
        <v>1121</v>
      </c>
    </row>
    <row r="113" spans="1:52" s="924" customFormat="1" ht="12.75" customHeight="1">
      <c r="A113" s="927"/>
      <c r="B113" s="948"/>
      <c r="C113" s="927"/>
      <c r="D113" s="927"/>
      <c r="E113" s="1470"/>
      <c r="F113" s="1466"/>
      <c r="G113" s="1466"/>
      <c r="H113" s="1466"/>
      <c r="I113" s="1467"/>
      <c r="J113" s="1466"/>
      <c r="K113" s="1466"/>
      <c r="L113" s="1466"/>
      <c r="M113" s="1466"/>
      <c r="N113" s="1467"/>
      <c r="O113" s="1466"/>
      <c r="P113" s="1466"/>
      <c r="Q113" s="1466"/>
      <c r="R113" s="1466"/>
      <c r="S113" s="1467"/>
      <c r="T113" s="1466"/>
      <c r="U113" s="1466"/>
      <c r="V113" s="1466"/>
      <c r="W113" s="1466"/>
      <c r="X113" s="1467"/>
      <c r="Y113" s="1466"/>
      <c r="Z113" s="1466"/>
      <c r="AA113" s="1466"/>
      <c r="AB113" s="1466"/>
      <c r="AC113" s="1467"/>
      <c r="AD113" s="1466"/>
      <c r="AE113" s="1466"/>
      <c r="AF113" s="1466"/>
      <c r="AG113" s="1466"/>
      <c r="AH113" s="1467"/>
      <c r="AI113" s="1467"/>
      <c r="AJ113" s="1468"/>
      <c r="AK113" s="927"/>
      <c r="AL113" s="927"/>
      <c r="AM113" s="927"/>
      <c r="AN113" s="923"/>
      <c r="AO113" s="924" t="str">
        <f>Application!B741</f>
        <v>2 Bedrooms</v>
      </c>
      <c r="AQ113" s="924">
        <f>Application!O741</f>
        <v>1342</v>
      </c>
    </row>
    <row r="114" spans="1:52" s="924" customFormat="1" ht="12.75" customHeight="1">
      <c r="A114" s="927"/>
      <c r="B114" s="948"/>
      <c r="C114" s="927"/>
      <c r="D114" s="927"/>
      <c r="E114" s="1471" t="s">
        <v>1982</v>
      </c>
      <c r="F114" s="1466"/>
      <c r="G114" s="1466"/>
      <c r="H114" s="1466"/>
      <c r="I114" s="1467"/>
      <c r="J114" s="1466"/>
      <c r="K114" s="1466"/>
      <c r="L114" s="1466"/>
      <c r="M114" s="1466"/>
      <c r="N114" s="1467"/>
      <c r="O114" s="1466"/>
      <c r="P114" s="1466"/>
      <c r="Q114" s="1466"/>
      <c r="R114" s="1466"/>
      <c r="S114" s="1467"/>
      <c r="T114" s="1466"/>
      <c r="U114" s="1466"/>
      <c r="V114" s="1466"/>
      <c r="W114" s="1466"/>
      <c r="X114" s="1467"/>
      <c r="Y114" s="1466"/>
      <c r="Z114" s="1466"/>
      <c r="AA114" s="1466"/>
      <c r="AB114" s="1466"/>
      <c r="AC114" s="1467"/>
      <c r="AD114" s="1466"/>
      <c r="AE114" s="1466"/>
      <c r="AF114" s="1466"/>
      <c r="AG114" s="1466"/>
      <c r="AH114" s="1467"/>
      <c r="AI114" s="1467"/>
      <c r="AJ114" s="1468"/>
      <c r="AK114" s="927"/>
      <c r="AL114" s="927"/>
      <c r="AM114" s="927"/>
      <c r="AN114" s="923"/>
      <c r="AO114" s="924" t="str">
        <f>Application!B742</f>
        <v>3 Bedrooms</v>
      </c>
      <c r="AQ114" s="924">
        <f>Application!O742</f>
        <v>1544</v>
      </c>
    </row>
    <row r="115" spans="1:52" s="924" customFormat="1" ht="12.75" customHeight="1">
      <c r="A115" s="927"/>
      <c r="B115" s="948"/>
      <c r="C115" s="927"/>
      <c r="D115" s="927"/>
      <c r="E115" s="3290">
        <v>0</v>
      </c>
      <c r="F115" s="3291"/>
      <c r="G115" s="3291"/>
      <c r="H115" s="3291"/>
      <c r="I115" s="1469"/>
      <c r="J115" s="3291">
        <v>1424</v>
      </c>
      <c r="K115" s="3291"/>
      <c r="L115" s="3291"/>
      <c r="M115" s="3291"/>
      <c r="N115" s="1469"/>
      <c r="O115" s="3291">
        <v>1638</v>
      </c>
      <c r="P115" s="3291"/>
      <c r="Q115" s="3291"/>
      <c r="R115" s="3291"/>
      <c r="S115" s="1469"/>
      <c r="T115" s="3291">
        <v>2185</v>
      </c>
      <c r="U115" s="3291"/>
      <c r="V115" s="3291"/>
      <c r="W115" s="3291"/>
      <c r="X115" s="1469"/>
      <c r="Y115" s="3291">
        <v>0</v>
      </c>
      <c r="Z115" s="3291"/>
      <c r="AA115" s="3291"/>
      <c r="AB115" s="3291"/>
      <c r="AC115" s="1469"/>
      <c r="AD115" s="3291">
        <v>0</v>
      </c>
      <c r="AE115" s="3291"/>
      <c r="AF115" s="3291"/>
      <c r="AG115" s="3291"/>
      <c r="AH115" s="1467"/>
      <c r="AI115" s="1467"/>
      <c r="AJ115" s="1468"/>
      <c r="AK115" s="927"/>
      <c r="AL115" s="927"/>
      <c r="AM115" s="927"/>
      <c r="AN115" s="923"/>
      <c r="AO115" s="924">
        <f>Application!B743</f>
        <v>0</v>
      </c>
      <c r="AQ115" s="924">
        <f>Application!O743</f>
        <v>0</v>
      </c>
    </row>
    <row r="116" spans="1:52" s="924" customFormat="1" ht="12.75" customHeight="1">
      <c r="A116" s="927"/>
      <c r="B116" s="948"/>
      <c r="C116" s="927"/>
      <c r="D116" s="927"/>
      <c r="E116" s="1470"/>
      <c r="F116" s="1466"/>
      <c r="G116" s="1466"/>
      <c r="H116" s="1466"/>
      <c r="I116" s="1467"/>
      <c r="J116" s="1466"/>
      <c r="K116" s="1466"/>
      <c r="L116" s="1466"/>
      <c r="M116" s="1466"/>
      <c r="N116" s="1467"/>
      <c r="O116" s="1466"/>
      <c r="P116" s="1466"/>
      <c r="Q116" s="1466"/>
      <c r="R116" s="1466"/>
      <c r="S116" s="1467"/>
      <c r="T116" s="1466"/>
      <c r="U116" s="1466"/>
      <c r="V116" s="1466"/>
      <c r="W116" s="1466"/>
      <c r="X116" s="1467"/>
      <c r="Y116" s="1466"/>
      <c r="Z116" s="1466"/>
      <c r="AA116" s="1466"/>
      <c r="AB116" s="1466"/>
      <c r="AC116" s="1467"/>
      <c r="AD116" s="1466"/>
      <c r="AE116" s="1466"/>
      <c r="AF116" s="1466"/>
      <c r="AG116" s="1466"/>
      <c r="AH116" s="1467"/>
      <c r="AI116" s="1467"/>
      <c r="AJ116" s="1468"/>
      <c r="AK116" s="927"/>
      <c r="AL116" s="927"/>
      <c r="AM116" s="927"/>
      <c r="AN116" s="923"/>
      <c r="AO116" s="924">
        <f>Application!B744</f>
        <v>0</v>
      </c>
      <c r="AQ116" s="924">
        <f>Application!O744</f>
        <v>0</v>
      </c>
      <c r="AU116" s="1785"/>
      <c r="AV116" s="1785"/>
      <c r="AW116" s="1785"/>
      <c r="AX116" s="1785"/>
      <c r="AY116" s="1785"/>
      <c r="AZ116" s="1785"/>
    </row>
    <row r="117" spans="1:52" s="924" customFormat="1" ht="12.75" customHeight="1">
      <c r="A117" s="927"/>
      <c r="B117" s="948"/>
      <c r="C117" s="927"/>
      <c r="D117" s="927"/>
      <c r="E117" s="1471" t="s">
        <v>2363</v>
      </c>
      <c r="F117" s="1466"/>
      <c r="G117" s="1466"/>
      <c r="H117" s="1466"/>
      <c r="I117" s="1467"/>
      <c r="J117" s="1466"/>
      <c r="K117" s="1466"/>
      <c r="L117" s="1466"/>
      <c r="M117" s="1466"/>
      <c r="N117" s="1467"/>
      <c r="O117" s="1466"/>
      <c r="P117" s="1466"/>
      <c r="Q117" s="1466"/>
      <c r="R117" s="1466"/>
      <c r="S117" s="1467"/>
      <c r="T117" s="1466"/>
      <c r="U117" s="1466"/>
      <c r="V117" s="1466"/>
      <c r="W117" s="1466"/>
      <c r="X117" s="1467"/>
      <c r="Y117" s="1466"/>
      <c r="Z117" s="1466"/>
      <c r="AA117" s="1466"/>
      <c r="AB117" s="1466"/>
      <c r="AC117" s="1467"/>
      <c r="AD117" s="1466"/>
      <c r="AE117" s="1466"/>
      <c r="AF117" s="1466"/>
      <c r="AG117" s="1466"/>
      <c r="AH117" s="1467"/>
      <c r="AI117" s="1467"/>
      <c r="AJ117" s="1468"/>
      <c r="AK117" s="927"/>
      <c r="AL117" s="927"/>
      <c r="AM117" s="927"/>
      <c r="AN117" s="923"/>
      <c r="AO117" s="924">
        <f>Application!B745</f>
        <v>0</v>
      </c>
      <c r="AQ117" s="924">
        <f>Application!O745</f>
        <v>0</v>
      </c>
      <c r="AU117" s="1785"/>
      <c r="AV117" s="1785"/>
      <c r="AW117" s="1785"/>
      <c r="AX117" s="1785"/>
      <c r="AY117" s="1785"/>
      <c r="AZ117" s="1785"/>
    </row>
    <row r="118" spans="1:52" s="924" customFormat="1" ht="12.75" customHeight="1">
      <c r="A118" s="927"/>
      <c r="B118" s="926"/>
      <c r="C118" s="927"/>
      <c r="D118" s="927"/>
      <c r="E118" s="3292">
        <f>Application!DX663</f>
        <v>0</v>
      </c>
      <c r="F118" s="3293"/>
      <c r="G118" s="3293"/>
      <c r="H118" s="3293"/>
      <c r="I118" s="1469"/>
      <c r="J118" s="3293">
        <f>Application!EC663</f>
        <v>864.191489361702</v>
      </c>
      <c r="K118" s="3293"/>
      <c r="L118" s="3293"/>
      <c r="M118" s="3293"/>
      <c r="N118" s="1469"/>
      <c r="O118" s="3293">
        <f>Application!EH663</f>
        <v>1021.741935483871</v>
      </c>
      <c r="P118" s="3293"/>
      <c r="Q118" s="3293"/>
      <c r="R118" s="3293"/>
      <c r="S118" s="1473"/>
      <c r="T118" s="3293">
        <f>Application!EM663</f>
        <v>1202.655172413793</v>
      </c>
      <c r="U118" s="3293"/>
      <c r="V118" s="3293"/>
      <c r="W118" s="3293"/>
      <c r="X118" s="1473"/>
      <c r="Y118" s="3293">
        <f>Application!ER663</f>
        <v>0</v>
      </c>
      <c r="Z118" s="3293"/>
      <c r="AA118" s="3293"/>
      <c r="AB118" s="3293"/>
      <c r="AC118" s="1473"/>
      <c r="AD118" s="3293">
        <f>Application!EW663</f>
        <v>0</v>
      </c>
      <c r="AE118" s="3293"/>
      <c r="AF118" s="3293"/>
      <c r="AG118" s="3293"/>
      <c r="AH118" s="965"/>
      <c r="AI118" s="965"/>
      <c r="AJ118" s="967"/>
      <c r="AK118" s="927"/>
      <c r="AL118" s="927"/>
      <c r="AM118" s="927"/>
      <c r="AN118" s="923"/>
      <c r="AO118" s="924">
        <f>Application!B746</f>
        <v>0</v>
      </c>
      <c r="AQ118" s="924">
        <f>Application!O746</f>
        <v>0</v>
      </c>
      <c r="AU118" s="1785"/>
      <c r="AV118" s="1785"/>
      <c r="AW118" s="1786"/>
      <c r="AX118" s="1786"/>
      <c r="AY118" s="1785"/>
      <c r="AZ118" s="1785"/>
    </row>
    <row r="119" spans="1:52" s="924" customFormat="1" ht="12.75" customHeight="1">
      <c r="A119" s="927"/>
      <c r="B119" s="926"/>
      <c r="C119" s="927"/>
      <c r="D119" s="927"/>
      <c r="E119" s="1472"/>
      <c r="F119" s="1466"/>
      <c r="G119" s="1466"/>
      <c r="H119" s="1466"/>
      <c r="I119" s="965"/>
      <c r="J119" s="968"/>
      <c r="K119" s="965"/>
      <c r="L119" s="965"/>
      <c r="M119" s="965"/>
      <c r="N119" s="965"/>
      <c r="O119" s="965"/>
      <c r="P119" s="965"/>
      <c r="Q119" s="965"/>
      <c r="R119" s="965"/>
      <c r="S119" s="965"/>
      <c r="T119" s="965"/>
      <c r="U119" s="965"/>
      <c r="V119" s="965"/>
      <c r="W119" s="965"/>
      <c r="X119" s="965"/>
      <c r="Y119" s="965"/>
      <c r="Z119" s="965"/>
      <c r="AA119" s="965"/>
      <c r="AB119" s="965"/>
      <c r="AC119" s="965"/>
      <c r="AD119" s="965"/>
      <c r="AE119" s="965"/>
      <c r="AF119" s="965"/>
      <c r="AG119" s="965"/>
      <c r="AH119" s="965"/>
      <c r="AI119" s="965"/>
      <c r="AJ119" s="967"/>
      <c r="AK119" s="927"/>
      <c r="AL119" s="927"/>
      <c r="AM119" s="927"/>
      <c r="AN119" s="923"/>
      <c r="AO119" s="924">
        <f>Application!B747</f>
        <v>0</v>
      </c>
      <c r="AQ119" s="924">
        <f>Application!O747</f>
        <v>0</v>
      </c>
      <c r="AU119" s="1785"/>
      <c r="AV119" s="1785"/>
      <c r="AW119" s="1786"/>
      <c r="AX119" s="1786"/>
      <c r="AY119" s="1785"/>
      <c r="AZ119" s="1785"/>
    </row>
    <row r="120" spans="1:52" s="924" customFormat="1" ht="12.75" customHeight="1">
      <c r="A120" s="927"/>
      <c r="B120" s="926"/>
      <c r="C120" s="927"/>
      <c r="D120" s="927"/>
      <c r="E120" s="1471" t="s">
        <v>2364</v>
      </c>
      <c r="F120" s="1466"/>
      <c r="G120" s="1466"/>
      <c r="H120" s="1466"/>
      <c r="I120" s="965"/>
      <c r="J120" s="968"/>
      <c r="K120" s="965"/>
      <c r="L120" s="965"/>
      <c r="M120" s="965"/>
      <c r="N120" s="965"/>
      <c r="O120" s="965"/>
      <c r="P120" s="965"/>
      <c r="Q120" s="965"/>
      <c r="R120" s="965"/>
      <c r="S120" s="965"/>
      <c r="T120" s="965"/>
      <c r="U120" s="965"/>
      <c r="V120" s="965"/>
      <c r="W120" s="965"/>
      <c r="X120" s="965"/>
      <c r="Y120" s="965"/>
      <c r="Z120" s="965"/>
      <c r="AA120" s="965"/>
      <c r="AB120" s="965"/>
      <c r="AC120" s="965"/>
      <c r="AD120" s="965"/>
      <c r="AE120" s="965"/>
      <c r="AF120" s="965"/>
      <c r="AG120" s="965"/>
      <c r="AH120" s="965"/>
      <c r="AI120" s="965"/>
      <c r="AJ120" s="967"/>
      <c r="AK120" s="927"/>
      <c r="AL120" s="927"/>
      <c r="AM120" s="927"/>
      <c r="AN120" s="923"/>
      <c r="AO120" s="924">
        <f>Application!B748</f>
        <v>0</v>
      </c>
      <c r="AQ120" s="924">
        <f>Application!O748</f>
        <v>0</v>
      </c>
      <c r="AU120" s="1785"/>
      <c r="AV120" s="1785"/>
      <c r="AW120" s="1786"/>
      <c r="AX120" s="1786"/>
      <c r="AY120" s="1785"/>
      <c r="AZ120" s="1785"/>
    </row>
    <row r="121" spans="1:52" s="924" customFormat="1" ht="12.75" customHeight="1">
      <c r="A121" s="927"/>
      <c r="B121" s="926"/>
      <c r="C121" s="927"/>
      <c r="D121" s="927"/>
      <c r="E121" s="3078" t="e">
        <f>(E115-E118)/E115</f>
        <v>#DIV/0!</v>
      </c>
      <c r="F121" s="3079"/>
      <c r="G121" s="3079"/>
      <c r="H121" s="3080"/>
      <c r="I121" s="965"/>
      <c r="J121" s="3078">
        <f>(J115-J118)/J115</f>
        <v>0.3931239540999284</v>
      </c>
      <c r="K121" s="3079"/>
      <c r="L121" s="3079"/>
      <c r="M121" s="3080"/>
      <c r="N121" s="965"/>
      <c r="O121" s="3078">
        <f>(O115-O118)/O115</f>
        <v>0.3762259246130214</v>
      </c>
      <c r="P121" s="3079"/>
      <c r="Q121" s="3079"/>
      <c r="R121" s="3080"/>
      <c r="S121" s="965"/>
      <c r="T121" s="3078">
        <f>(T115-T118)/T115</f>
        <v>0.44958573344906499</v>
      </c>
      <c r="U121" s="3079"/>
      <c r="V121" s="3079"/>
      <c r="W121" s="3080"/>
      <c r="X121" s="965"/>
      <c r="Y121" s="3078" t="e">
        <f>(Y115-Y118)/Y115</f>
        <v>#DIV/0!</v>
      </c>
      <c r="Z121" s="3079"/>
      <c r="AA121" s="3079"/>
      <c r="AB121" s="3080"/>
      <c r="AC121" s="965"/>
      <c r="AD121" s="3078" t="e">
        <f>(AD115-AD118)/AD115</f>
        <v>#DIV/0!</v>
      </c>
      <c r="AE121" s="3079"/>
      <c r="AF121" s="3079"/>
      <c r="AG121" s="3080"/>
      <c r="AH121" s="965"/>
      <c r="AI121" s="965"/>
      <c r="AJ121" s="967"/>
      <c r="AK121" s="927"/>
      <c r="AL121" s="927"/>
      <c r="AM121" s="927"/>
      <c r="AN121" s="923"/>
      <c r="AO121" s="924">
        <f>Application!B749</f>
        <v>0</v>
      </c>
      <c r="AQ121" s="924">
        <f>Application!O749</f>
        <v>0</v>
      </c>
      <c r="AU121" s="1785"/>
      <c r="AV121" s="1785"/>
      <c r="AW121" s="1786"/>
      <c r="AX121" s="1786"/>
      <c r="AY121" s="1785"/>
      <c r="AZ121" s="1785"/>
    </row>
    <row r="122" spans="1:52" s="924" customFormat="1" ht="12.75" customHeight="1">
      <c r="A122" s="927"/>
      <c r="B122" s="926"/>
      <c r="C122" s="927"/>
      <c r="D122" s="927"/>
      <c r="E122" s="1765"/>
      <c r="F122" s="1764"/>
      <c r="G122" s="1764"/>
      <c r="H122" s="1764"/>
      <c r="I122" s="965"/>
      <c r="J122" s="1764"/>
      <c r="K122" s="1764"/>
      <c r="L122" s="1764"/>
      <c r="M122" s="1764"/>
      <c r="N122" s="965"/>
      <c r="O122" s="1764"/>
      <c r="P122" s="1764"/>
      <c r="Q122" s="1764"/>
      <c r="R122" s="1764"/>
      <c r="S122" s="965"/>
      <c r="T122" s="1764"/>
      <c r="U122" s="1764"/>
      <c r="V122" s="1764"/>
      <c r="W122" s="1764"/>
      <c r="X122" s="965"/>
      <c r="Y122" s="1764"/>
      <c r="Z122" s="1764"/>
      <c r="AA122" s="1764"/>
      <c r="AB122" s="1764"/>
      <c r="AC122" s="965"/>
      <c r="AD122" s="1764"/>
      <c r="AE122" s="1764"/>
      <c r="AF122" s="1764"/>
      <c r="AG122" s="1764"/>
      <c r="AH122" s="965"/>
      <c r="AI122" s="965"/>
      <c r="AJ122" s="967"/>
      <c r="AK122" s="927"/>
      <c r="AL122" s="927"/>
      <c r="AM122" s="927"/>
      <c r="AN122" s="923"/>
      <c r="AO122" s="924">
        <f>Application!B750</f>
        <v>0</v>
      </c>
      <c r="AQ122" s="924">
        <f>Application!O750</f>
        <v>0</v>
      </c>
      <c r="AU122" s="1785"/>
      <c r="AV122" s="1785"/>
      <c r="AW122" s="1786"/>
      <c r="AX122" s="1786"/>
      <c r="AY122" s="1785"/>
      <c r="AZ122" s="1785"/>
    </row>
    <row r="123" spans="1:52" s="924" customFormat="1" ht="12.75" customHeight="1">
      <c r="A123" s="927"/>
      <c r="B123" s="926"/>
      <c r="C123" s="927"/>
      <c r="D123" s="927"/>
      <c r="E123" s="1766" t="s">
        <v>2365</v>
      </c>
      <c r="F123" s="1764"/>
      <c r="G123" s="1764"/>
      <c r="H123" s="1764"/>
      <c r="I123" s="965"/>
      <c r="J123" s="1764"/>
      <c r="K123" s="1764"/>
      <c r="L123" s="1764"/>
      <c r="M123" s="1764"/>
      <c r="N123" s="965"/>
      <c r="O123" s="1764"/>
      <c r="P123" s="1764"/>
      <c r="Q123" s="1764"/>
      <c r="R123" s="1764"/>
      <c r="S123" s="965"/>
      <c r="T123" s="1764"/>
      <c r="U123" s="1764"/>
      <c r="V123" s="1764"/>
      <c r="W123" s="1764"/>
      <c r="X123" s="965"/>
      <c r="Y123" s="1764"/>
      <c r="Z123" s="1764"/>
      <c r="AA123" s="1764"/>
      <c r="AB123" s="1764"/>
      <c r="AC123" s="965"/>
      <c r="AD123" s="1764"/>
      <c r="AE123" s="1764"/>
      <c r="AF123" s="1764"/>
      <c r="AG123" s="1764"/>
      <c r="AH123" s="965"/>
      <c r="AI123" s="965"/>
      <c r="AJ123" s="967"/>
      <c r="AK123" s="927"/>
      <c r="AL123" s="927"/>
      <c r="AM123" s="927"/>
      <c r="AN123" s="923"/>
      <c r="AO123" s="924">
        <f>Application!B751</f>
        <v>0</v>
      </c>
      <c r="AQ123" s="924">
        <f>Application!O751</f>
        <v>0</v>
      </c>
      <c r="AU123" s="1786"/>
      <c r="AV123" s="1785"/>
      <c r="AW123" s="1786"/>
      <c r="AX123" s="1786"/>
      <c r="AY123" s="1785"/>
      <c r="AZ123" s="1785"/>
    </row>
    <row r="124" spans="1:52" s="924" customFormat="1" ht="12.75" customHeight="1">
      <c r="A124" s="927"/>
      <c r="B124" s="926"/>
      <c r="C124" s="927"/>
      <c r="D124" s="927"/>
      <c r="E124" s="3334" t="e">
        <f>IF(((E121-0.1)*AW104)&gt;0,((E121-0.1)*AW104),0)</f>
        <v>#DIV/0!</v>
      </c>
      <c r="F124" s="3335"/>
      <c r="G124" s="3335"/>
      <c r="H124" s="3336"/>
      <c r="I124" s="965"/>
      <c r="J124" s="3334">
        <f>IF(((J121-0.1)*AW105)&gt;0,((J121-0.1)*AW105),0)</f>
        <v>6.9579928498467863E-2</v>
      </c>
      <c r="K124" s="3335"/>
      <c r="L124" s="3335"/>
      <c r="M124" s="3336"/>
      <c r="N124" s="965"/>
      <c r="O124" s="3334">
        <f>IF(((O121-0.1)*AW106)&gt;0,((O121-0.1)*AW106),0)</f>
        <v>0.12974247974247977</v>
      </c>
      <c r="P124" s="3335"/>
      <c r="Q124" s="3335"/>
      <c r="R124" s="3336"/>
      <c r="S124" s="965"/>
      <c r="T124" s="3334">
        <f>IF(((T121-0.1)*AW107)&gt;0,((T121-0.1)*AW107),0)</f>
        <v>0.10240390171740286</v>
      </c>
      <c r="U124" s="3335"/>
      <c r="V124" s="3335"/>
      <c r="W124" s="3336"/>
      <c r="X124" s="965"/>
      <c r="Y124" s="3334" t="e">
        <f>IF(((Y121-0.1)*AW108)&gt;0,((Y121-0.1)*AW108),0)</f>
        <v>#DIV/0!</v>
      </c>
      <c r="Z124" s="3335"/>
      <c r="AA124" s="3335"/>
      <c r="AB124" s="3336"/>
      <c r="AC124" s="965"/>
      <c r="AD124" s="3334" t="e">
        <f>IF(((AD121-0.1)*AW109)&gt;0,((AD121-0.1)*AW109),0)</f>
        <v>#DIV/0!</v>
      </c>
      <c r="AE124" s="3335"/>
      <c r="AF124" s="3335"/>
      <c r="AG124" s="3336"/>
      <c r="AH124" s="965"/>
      <c r="AI124" s="965"/>
      <c r="AJ124" s="967"/>
      <c r="AK124" s="927"/>
      <c r="AL124" s="927"/>
      <c r="AM124" s="927"/>
      <c r="AN124" s="923"/>
      <c r="AO124" s="924">
        <f>Application!B752</f>
        <v>0</v>
      </c>
      <c r="AQ124" s="924">
        <f>Application!O752</f>
        <v>0</v>
      </c>
      <c r="AU124" s="1785"/>
      <c r="AV124" s="1785"/>
      <c r="AW124" s="1785"/>
      <c r="AX124" s="1786"/>
      <c r="AY124" s="1785"/>
      <c r="AZ124" s="1785"/>
    </row>
    <row r="125" spans="1:52" s="924" customFormat="1" ht="12.75" customHeight="1">
      <c r="A125" s="927"/>
      <c r="B125" s="926"/>
      <c r="C125" s="927"/>
      <c r="D125" s="927"/>
      <c r="E125" s="1472"/>
      <c r="F125" s="1466"/>
      <c r="G125" s="1466"/>
      <c r="H125" s="1466"/>
      <c r="I125" s="965"/>
      <c r="J125" s="968"/>
      <c r="K125" s="965"/>
      <c r="L125" s="965"/>
      <c r="M125" s="965"/>
      <c r="N125" s="965"/>
      <c r="O125" s="965"/>
      <c r="P125" s="965"/>
      <c r="Q125" s="965"/>
      <c r="R125" s="965"/>
      <c r="S125" s="965"/>
      <c r="T125" s="965"/>
      <c r="U125" s="965"/>
      <c r="V125" s="965"/>
      <c r="W125" s="965"/>
      <c r="X125" s="965"/>
      <c r="Y125" s="965"/>
      <c r="Z125" s="965"/>
      <c r="AA125" s="965"/>
      <c r="AB125" s="965"/>
      <c r="AC125" s="965"/>
      <c r="AD125" s="965"/>
      <c r="AE125" s="965"/>
      <c r="AF125" s="965"/>
      <c r="AG125" s="965"/>
      <c r="AH125" s="965"/>
      <c r="AI125" s="965"/>
      <c r="AJ125" s="967"/>
      <c r="AK125" s="927"/>
      <c r="AL125" s="927"/>
      <c r="AM125" s="927"/>
      <c r="AN125" s="923"/>
      <c r="AU125" s="1785"/>
      <c r="AV125" s="1785"/>
      <c r="AW125" s="1785"/>
      <c r="AX125" s="1785"/>
      <c r="AY125" s="1785"/>
      <c r="AZ125" s="1785"/>
    </row>
    <row r="126" spans="1:52" s="924" customFormat="1" ht="12.75" customHeight="1">
      <c r="A126" s="927"/>
      <c r="B126" s="926"/>
      <c r="C126" s="927"/>
      <c r="D126" s="927"/>
      <c r="E126" s="3078">
        <f>ROUNDDOWN(SUMIF(E124:AG124,"&gt;0"),2)</f>
        <v>0.3</v>
      </c>
      <c r="F126" s="3079"/>
      <c r="G126" s="3079"/>
      <c r="H126" s="3080"/>
      <c r="I126" s="1467"/>
      <c r="J126" s="1474" t="s">
        <v>2366</v>
      </c>
      <c r="K126" s="1467"/>
      <c r="L126" s="1467"/>
      <c r="M126" s="1467"/>
      <c r="N126" s="1467"/>
      <c r="O126" s="1467"/>
      <c r="P126" s="965"/>
      <c r="Q126" s="965"/>
      <c r="R126" s="965"/>
      <c r="S126" s="965"/>
      <c r="T126" s="965"/>
      <c r="U126" s="965"/>
      <c r="V126" s="965"/>
      <c r="W126" s="965"/>
      <c r="X126" s="965"/>
      <c r="Y126" s="965"/>
      <c r="Z126" s="965"/>
      <c r="AA126" s="965"/>
      <c r="AB126" s="965"/>
      <c r="AC126" s="965"/>
      <c r="AD126" s="1475"/>
      <c r="AE126" s="1475"/>
      <c r="AF126" s="1475"/>
      <c r="AG126" s="1475"/>
      <c r="AH126" s="965"/>
      <c r="AI126" s="965"/>
      <c r="AJ126" s="967"/>
      <c r="AK126" s="927"/>
      <c r="AL126" s="927"/>
      <c r="AM126" s="927"/>
      <c r="AN126" s="923"/>
      <c r="AU126" s="1785"/>
      <c r="AV126" s="1785"/>
      <c r="AW126" s="1785"/>
      <c r="AX126" s="1786"/>
      <c r="AY126" s="1785"/>
      <c r="AZ126" s="1785"/>
    </row>
    <row r="127" spans="1:52" s="924" customFormat="1" ht="12.75" customHeight="1">
      <c r="A127" s="927"/>
      <c r="B127" s="926"/>
      <c r="C127" s="927"/>
      <c r="D127" s="927"/>
      <c r="E127" s="3271">
        <f>IF((E126*100)&gt;10,10,E126*100)</f>
        <v>10</v>
      </c>
      <c r="F127" s="3272"/>
      <c r="G127" s="3272"/>
      <c r="H127" s="3273"/>
      <c r="I127" s="965"/>
      <c r="J127" s="968" t="s">
        <v>1597</v>
      </c>
      <c r="K127" s="965"/>
      <c r="L127" s="965"/>
      <c r="M127" s="965"/>
      <c r="N127" s="965"/>
      <c r="O127" s="965"/>
      <c r="P127" s="965"/>
      <c r="Q127" s="965"/>
      <c r="R127" s="965"/>
      <c r="S127" s="965"/>
      <c r="T127" s="965"/>
      <c r="U127" s="965"/>
      <c r="V127" s="965"/>
      <c r="W127" s="965"/>
      <c r="X127" s="965"/>
      <c r="Y127" s="965"/>
      <c r="Z127" s="965"/>
      <c r="AA127" s="965"/>
      <c r="AB127" s="965"/>
      <c r="AC127" s="965"/>
      <c r="AD127" s="965"/>
      <c r="AE127" s="965"/>
      <c r="AF127" s="965"/>
      <c r="AG127" s="965"/>
      <c r="AH127" s="965"/>
      <c r="AI127" s="965"/>
      <c r="AJ127" s="967"/>
      <c r="AK127" s="927"/>
      <c r="AL127" s="927"/>
      <c r="AM127" s="927"/>
      <c r="AN127" s="923"/>
      <c r="AU127" s="1785"/>
      <c r="AV127" s="1785"/>
      <c r="AW127" s="1785"/>
      <c r="AX127" s="1785"/>
      <c r="AY127" s="1785"/>
      <c r="AZ127" s="1785"/>
    </row>
    <row r="128" spans="1:52" s="924" customFormat="1" ht="12.75" customHeight="1">
      <c r="A128" s="927"/>
      <c r="B128" s="927"/>
      <c r="C128" s="927"/>
      <c r="D128" s="927"/>
      <c r="E128" s="976"/>
      <c r="F128" s="977"/>
      <c r="G128" s="977"/>
      <c r="H128" s="977"/>
      <c r="I128" s="977"/>
      <c r="J128" s="977"/>
      <c r="K128" s="977"/>
      <c r="L128" s="977"/>
      <c r="M128" s="977"/>
      <c r="N128" s="977"/>
      <c r="O128" s="977"/>
      <c r="P128" s="977"/>
      <c r="Q128" s="977"/>
      <c r="R128" s="977"/>
      <c r="S128" s="977"/>
      <c r="T128" s="977"/>
      <c r="U128" s="977"/>
      <c r="V128" s="977"/>
      <c r="W128" s="977"/>
      <c r="X128" s="977"/>
      <c r="Y128" s="977"/>
      <c r="Z128" s="977"/>
      <c r="AA128" s="977"/>
      <c r="AB128" s="977"/>
      <c r="AC128" s="977"/>
      <c r="AD128" s="977"/>
      <c r="AE128" s="977"/>
      <c r="AF128" s="977"/>
      <c r="AG128" s="977"/>
      <c r="AH128" s="977"/>
      <c r="AI128" s="977"/>
      <c r="AJ128" s="978"/>
      <c r="AK128" s="927"/>
      <c r="AL128" s="927"/>
      <c r="AM128" s="927"/>
      <c r="AN128" s="923"/>
      <c r="AT128" s="1748"/>
      <c r="AU128" s="1785"/>
      <c r="AV128" s="1785"/>
      <c r="AW128" s="1786"/>
      <c r="AX128" s="1785"/>
      <c r="AY128" s="1785"/>
      <c r="AZ128" s="1785"/>
    </row>
    <row r="129" spans="1:52" s="924" customFormat="1" ht="12.75" customHeight="1">
      <c r="A129" s="927"/>
      <c r="B129" s="927"/>
      <c r="C129" s="927"/>
      <c r="D129" s="927"/>
      <c r="E129" s="927"/>
      <c r="F129" s="927"/>
      <c r="G129" s="927"/>
      <c r="H129" s="927"/>
      <c r="I129" s="927"/>
      <c r="J129" s="927"/>
      <c r="K129" s="927"/>
      <c r="L129" s="927"/>
      <c r="M129" s="927"/>
      <c r="N129" s="927"/>
      <c r="O129" s="927"/>
      <c r="P129" s="927"/>
      <c r="Q129" s="927"/>
      <c r="R129" s="927"/>
      <c r="S129" s="927"/>
      <c r="T129" s="927"/>
      <c r="U129" s="927"/>
      <c r="V129" s="927"/>
      <c r="W129" s="927"/>
      <c r="X129" s="927"/>
      <c r="Y129" s="927"/>
      <c r="Z129" s="927"/>
      <c r="AA129" s="927"/>
      <c r="AB129" s="927"/>
      <c r="AC129" s="927"/>
      <c r="AD129" s="927"/>
      <c r="AE129" s="927"/>
      <c r="AF129" s="927"/>
      <c r="AG129" s="927"/>
      <c r="AH129" s="927"/>
      <c r="AI129" s="927"/>
      <c r="AJ129" s="927"/>
      <c r="AK129" s="927"/>
      <c r="AL129" s="927"/>
      <c r="AM129" s="927"/>
      <c r="AN129" s="923"/>
      <c r="AU129" s="1785"/>
      <c r="AV129" s="1785"/>
      <c r="AW129" s="1785"/>
      <c r="AX129" s="1785"/>
      <c r="AY129" s="1785"/>
      <c r="AZ129" s="1785"/>
    </row>
    <row r="130" spans="1:52" s="924" customFormat="1" ht="12.75" customHeight="1">
      <c r="A130" s="927"/>
      <c r="B130" s="927"/>
      <c r="C130" s="927"/>
      <c r="D130" s="927"/>
      <c r="E130" s="927"/>
      <c r="F130" s="927"/>
      <c r="G130" s="927"/>
      <c r="H130" s="927"/>
      <c r="I130" s="927"/>
      <c r="J130" s="927"/>
      <c r="K130" s="927"/>
      <c r="L130" s="927"/>
      <c r="M130" s="927"/>
      <c r="N130" s="927"/>
      <c r="O130" s="927"/>
      <c r="P130" s="927"/>
      <c r="Q130" s="927"/>
      <c r="R130" s="927"/>
      <c r="S130" s="927"/>
      <c r="T130" s="927"/>
      <c r="U130" s="927"/>
      <c r="V130" s="927"/>
      <c r="W130" s="927"/>
      <c r="X130" s="927"/>
      <c r="Y130" s="927"/>
      <c r="Z130" s="927"/>
      <c r="AA130" s="927"/>
      <c r="AB130" s="927"/>
      <c r="AC130" s="927"/>
      <c r="AD130" s="927"/>
      <c r="AE130" s="927"/>
      <c r="AF130" s="927"/>
      <c r="AG130" s="927"/>
      <c r="AH130" s="927"/>
      <c r="AI130" s="927"/>
      <c r="AJ130" s="927"/>
      <c r="AK130" s="927"/>
      <c r="AL130" s="927"/>
      <c r="AM130" s="927"/>
      <c r="AN130" s="923"/>
    </row>
    <row r="131" spans="1:52" s="924" customFormat="1" ht="12.75" customHeight="1">
      <c r="A131" s="949"/>
      <c r="B131" s="950"/>
      <c r="C131" s="950"/>
      <c r="D131" s="950"/>
      <c r="E131" s="950"/>
      <c r="F131" s="950"/>
      <c r="G131" s="951"/>
      <c r="H131" s="952"/>
      <c r="I131" s="952"/>
      <c r="J131" s="952"/>
      <c r="K131" s="952"/>
      <c r="L131" s="952"/>
      <c r="M131" s="952"/>
      <c r="N131" s="952"/>
      <c r="O131" s="952"/>
      <c r="P131" s="952"/>
      <c r="Q131" s="952"/>
      <c r="R131" s="952"/>
      <c r="S131" s="952"/>
      <c r="T131" s="952"/>
      <c r="U131" s="952"/>
      <c r="V131" s="952"/>
      <c r="W131" s="952"/>
      <c r="X131" s="952"/>
      <c r="Y131" s="952"/>
      <c r="Z131" s="952"/>
      <c r="AA131" s="952"/>
      <c r="AB131" s="952"/>
      <c r="AC131" s="952"/>
      <c r="AD131" s="952"/>
      <c r="AE131" s="952"/>
      <c r="AF131" s="952"/>
      <c r="AG131" s="952"/>
      <c r="AH131" s="952"/>
      <c r="AI131" s="953"/>
      <c r="AJ131" s="953" t="s">
        <v>1604</v>
      </c>
      <c r="AK131" s="3271">
        <f>E127</f>
        <v>10</v>
      </c>
      <c r="AL131" s="3272"/>
      <c r="AM131" s="3273"/>
      <c r="AN131" s="923"/>
    </row>
    <row r="132" spans="1:52" s="924" customFormat="1" ht="12.75" customHeight="1" thickBot="1">
      <c r="A132" s="954"/>
      <c r="B132" s="955"/>
      <c r="C132" s="956"/>
      <c r="D132" s="956"/>
      <c r="E132" s="956"/>
      <c r="F132" s="956"/>
      <c r="G132" s="956"/>
      <c r="H132" s="956"/>
      <c r="I132" s="956"/>
      <c r="J132" s="956"/>
      <c r="K132" s="956"/>
      <c r="L132" s="956"/>
      <c r="M132" s="956"/>
      <c r="N132" s="956"/>
      <c r="O132" s="956"/>
      <c r="P132" s="956"/>
      <c r="Q132" s="956"/>
      <c r="R132" s="956"/>
      <c r="S132" s="956"/>
      <c r="T132" s="956"/>
      <c r="U132" s="956"/>
      <c r="V132" s="956"/>
      <c r="W132" s="956"/>
      <c r="X132" s="956"/>
      <c r="Y132" s="956"/>
      <c r="Z132" s="956"/>
      <c r="AA132" s="956"/>
      <c r="AB132" s="956"/>
      <c r="AC132" s="956"/>
      <c r="AD132" s="956"/>
      <c r="AE132" s="956"/>
      <c r="AF132" s="956"/>
      <c r="AG132" s="956"/>
      <c r="AH132" s="956"/>
      <c r="AI132" s="956"/>
      <c r="AJ132" s="956"/>
      <c r="AK132" s="956"/>
      <c r="AL132" s="956"/>
      <c r="AM132" s="957"/>
      <c r="AN132" s="923"/>
    </row>
    <row r="133" spans="1:52" s="921" customFormat="1" ht="12.75" customHeight="1" thickTop="1">
      <c r="A133" s="958"/>
      <c r="B133" s="959"/>
      <c r="C133" s="960"/>
      <c r="D133" s="960"/>
      <c r="E133" s="960"/>
      <c r="F133" s="960"/>
      <c r="G133" s="960"/>
      <c r="H133" s="960"/>
      <c r="I133" s="961"/>
      <c r="J133" s="961"/>
      <c r="K133" s="961"/>
      <c r="L133" s="961"/>
      <c r="M133" s="961"/>
      <c r="N133" s="961"/>
      <c r="O133" s="961"/>
      <c r="P133" s="961"/>
      <c r="Q133" s="961"/>
      <c r="R133" s="958"/>
      <c r="S133" s="926"/>
      <c r="T133" s="926"/>
      <c r="U133" s="926"/>
      <c r="V133" s="926"/>
      <c r="W133" s="926"/>
      <c r="X133" s="926"/>
      <c r="Y133" s="926"/>
      <c r="Z133" s="926"/>
      <c r="AA133" s="926"/>
      <c r="AB133" s="926"/>
      <c r="AC133" s="926"/>
      <c r="AD133" s="926"/>
      <c r="AE133" s="926"/>
      <c r="AF133" s="958"/>
      <c r="AG133" s="926"/>
      <c r="AH133" s="926"/>
      <c r="AI133" s="926"/>
      <c r="AJ133" s="926"/>
      <c r="AK133" s="937"/>
      <c r="AL133" s="937"/>
      <c r="AM133" s="937"/>
      <c r="AN133" s="920"/>
      <c r="AO133" s="924"/>
    </row>
    <row r="134" spans="1:52" s="926" customFormat="1" ht="12.75" customHeight="1">
      <c r="A134" s="925" t="s">
        <v>1605</v>
      </c>
      <c r="AE134" s="3287" t="s">
        <v>1583</v>
      </c>
      <c r="AF134" s="3287"/>
      <c r="AG134" s="3287"/>
      <c r="AH134" s="3287"/>
      <c r="AI134" s="3287"/>
      <c r="AJ134" s="3287"/>
      <c r="AK134" s="3287"/>
      <c r="AL134" s="979"/>
      <c r="AM134" s="980"/>
      <c r="AN134" s="981"/>
      <c r="AO134" s="924"/>
    </row>
    <row r="135" spans="1:52" s="926" customFormat="1" ht="13.05" customHeight="1">
      <c r="A135" s="925"/>
      <c r="AE135" s="979"/>
      <c r="AF135" s="979"/>
      <c r="AG135" s="979"/>
      <c r="AH135" s="979"/>
      <c r="AI135" s="979"/>
      <c r="AJ135" s="979"/>
      <c r="AK135" s="979"/>
      <c r="AL135" s="979"/>
      <c r="AM135" s="980"/>
      <c r="AN135" s="981"/>
    </row>
    <row r="136" spans="1:52" s="921" customFormat="1" ht="12.75" customHeight="1">
      <c r="A136" s="925"/>
      <c r="B136" s="925" t="s">
        <v>1606</v>
      </c>
      <c r="C136" s="926"/>
      <c r="D136" s="926"/>
      <c r="E136" s="926"/>
      <c r="F136" s="926"/>
      <c r="G136" s="926"/>
      <c r="H136" s="926"/>
      <c r="I136" s="926"/>
      <c r="J136" s="926"/>
      <c r="K136" s="926"/>
      <c r="L136" s="926"/>
      <c r="M136" s="926"/>
      <c r="N136" s="926"/>
      <c r="O136" s="926"/>
      <c r="P136" s="926"/>
      <c r="Q136" s="926"/>
      <c r="R136" s="926"/>
      <c r="S136" s="926"/>
      <c r="T136" s="926"/>
      <c r="U136" s="926"/>
      <c r="V136" s="926"/>
      <c r="W136" s="926"/>
      <c r="X136" s="926"/>
      <c r="Y136" s="926"/>
      <c r="Z136" s="926"/>
      <c r="AA136" s="926"/>
      <c r="AB136" s="926"/>
      <c r="AC136" s="926"/>
      <c r="AD136" s="926"/>
      <c r="AF136" s="3217" t="s">
        <v>1607</v>
      </c>
      <c r="AG136" s="3217"/>
      <c r="AH136" s="3217"/>
      <c r="AI136" s="3217"/>
      <c r="AJ136" s="3217"/>
      <c r="AK136" s="3217"/>
      <c r="AL136" s="3217"/>
      <c r="AM136" s="980"/>
      <c r="AN136" s="920"/>
    </row>
    <row r="137" spans="1:52" s="921" customFormat="1" ht="12.75" customHeight="1">
      <c r="A137" s="925"/>
      <c r="B137" s="982" t="s">
        <v>565</v>
      </c>
      <c r="C137" s="1010"/>
      <c r="D137" s="1010"/>
      <c r="E137" s="1010"/>
      <c r="F137" s="1010"/>
      <c r="G137" s="1010"/>
      <c r="H137" s="1010"/>
      <c r="I137" s="1010"/>
      <c r="J137" s="1010"/>
      <c r="K137" s="1010"/>
      <c r="L137" s="1010"/>
      <c r="M137" s="1010"/>
      <c r="N137" s="1010"/>
      <c r="O137" s="1010"/>
      <c r="P137" s="1010"/>
      <c r="Q137" s="1010"/>
      <c r="R137" s="1010"/>
      <c r="S137" s="1010"/>
      <c r="T137" s="1010"/>
      <c r="U137" s="1010"/>
      <c r="V137" s="1010"/>
      <c r="W137" s="1010"/>
      <c r="X137" s="1010"/>
      <c r="Y137" s="1010"/>
      <c r="Z137" s="1010"/>
      <c r="AA137" s="1010"/>
      <c r="AB137" s="1010"/>
      <c r="AC137" s="1010"/>
      <c r="AD137" s="926"/>
      <c r="AL137" s="1590"/>
      <c r="AM137" s="980"/>
      <c r="AN137" s="920"/>
    </row>
    <row r="138" spans="1:52" s="921" customFormat="1" ht="15" customHeight="1">
      <c r="A138" s="925"/>
      <c r="B138" s="3276" t="s">
        <v>2623</v>
      </c>
      <c r="C138" s="3276"/>
      <c r="D138" s="3276"/>
      <c r="E138" s="3276"/>
      <c r="F138" s="3276"/>
      <c r="G138" s="3276"/>
      <c r="H138" s="3276"/>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76"/>
      <c r="AD138" s="926"/>
      <c r="AE138" s="1590"/>
      <c r="AF138" s="1590"/>
      <c r="AG138" s="1590"/>
      <c r="AH138" s="1590"/>
      <c r="AI138" s="1590"/>
      <c r="AJ138" s="1590"/>
      <c r="AK138" s="1590"/>
      <c r="AL138" s="1590"/>
      <c r="AM138" s="980"/>
      <c r="AN138" s="920"/>
      <c r="AO138" s="985"/>
      <c r="AP138" s="986"/>
    </row>
    <row r="139" spans="1:52" s="924" customFormat="1" ht="12.75" customHeight="1">
      <c r="A139" s="925"/>
      <c r="B139" s="925"/>
      <c r="C139" s="926"/>
      <c r="D139" s="926"/>
      <c r="E139" s="926"/>
      <c r="F139" s="926"/>
      <c r="G139" s="926"/>
      <c r="H139" s="926"/>
      <c r="I139" s="926"/>
      <c r="J139" s="926"/>
      <c r="K139" s="926"/>
      <c r="L139" s="926"/>
      <c r="M139" s="926"/>
      <c r="N139" s="926"/>
      <c r="O139" s="926"/>
      <c r="P139" s="926"/>
      <c r="Q139" s="926"/>
      <c r="R139" s="926"/>
      <c r="S139" s="926"/>
      <c r="T139" s="926"/>
      <c r="U139" s="926"/>
      <c r="V139" s="926"/>
      <c r="W139" s="926"/>
      <c r="X139" s="926"/>
      <c r="Y139" s="926"/>
      <c r="Z139" s="926"/>
      <c r="AA139" s="926"/>
      <c r="AB139" s="926"/>
      <c r="AC139" s="926"/>
      <c r="AD139" s="926"/>
      <c r="AE139" s="1590"/>
      <c r="AF139" s="1590"/>
      <c r="AG139" s="1590"/>
      <c r="AH139" s="1590"/>
      <c r="AI139" s="1590"/>
      <c r="AJ139" s="1590"/>
      <c r="AK139" s="1590"/>
      <c r="AL139" s="1590"/>
      <c r="AM139" s="980"/>
      <c r="AN139" s="923"/>
      <c r="AO139" s="918" t="s">
        <v>316</v>
      </c>
      <c r="AP139" s="932"/>
    </row>
    <row r="140" spans="1:52" s="921" customFormat="1" ht="12.75" customHeight="1">
      <c r="A140" s="925"/>
      <c r="B140" s="926" t="s">
        <v>1608</v>
      </c>
      <c r="C140" s="926"/>
      <c r="D140" s="926"/>
      <c r="E140" s="926"/>
      <c r="F140" s="926"/>
      <c r="G140" s="926"/>
      <c r="H140" s="926"/>
      <c r="I140" s="926"/>
      <c r="J140" s="926"/>
      <c r="K140" s="926"/>
      <c r="L140" s="926"/>
      <c r="M140" s="926"/>
      <c r="N140" s="926"/>
      <c r="O140" s="926"/>
      <c r="P140" s="926"/>
      <c r="Q140" s="926"/>
      <c r="R140" s="926"/>
      <c r="S140" s="926"/>
      <c r="T140" s="926"/>
      <c r="U140" s="926"/>
      <c r="V140" s="926"/>
      <c r="W140" s="926"/>
      <c r="X140" s="926"/>
      <c r="Y140" s="926"/>
      <c r="Z140" s="926"/>
      <c r="AA140" s="926"/>
      <c r="AB140" s="926"/>
      <c r="AC140" s="926"/>
      <c r="AD140" s="926"/>
      <c r="AE140" s="926"/>
      <c r="AF140" s="926"/>
      <c r="AG140" s="926"/>
      <c r="AH140" s="926"/>
      <c r="AI140" s="926"/>
      <c r="AJ140" s="926"/>
      <c r="AK140" s="926"/>
      <c r="AL140" s="926"/>
      <c r="AM140" s="980"/>
      <c r="AN140" s="920"/>
      <c r="AO140" s="988" t="s">
        <v>1609</v>
      </c>
      <c r="AP140" s="989">
        <v>5</v>
      </c>
    </row>
    <row r="141" spans="1:52" s="921" customFormat="1" ht="12.75" customHeight="1">
      <c r="A141" s="925"/>
      <c r="B141" s="3277" t="s">
        <v>1610</v>
      </c>
      <c r="C141" s="3277"/>
      <c r="D141" s="3277"/>
      <c r="E141" s="3277"/>
      <c r="F141" s="3277"/>
      <c r="G141" s="3277"/>
      <c r="H141" s="3277"/>
      <c r="I141" s="3277"/>
      <c r="J141" s="3277"/>
      <c r="K141" s="3277"/>
      <c r="L141" s="3277"/>
      <c r="M141" s="3277"/>
      <c r="N141" s="3277"/>
      <c r="O141" s="3277"/>
      <c r="P141" s="3277"/>
      <c r="Q141" s="3277"/>
      <c r="R141" s="3277"/>
      <c r="S141" s="3277"/>
      <c r="T141" s="3277"/>
      <c r="U141" s="3277"/>
      <c r="V141" s="3277"/>
      <c r="W141" s="3277"/>
      <c r="X141" s="3277"/>
      <c r="Y141" s="3277"/>
      <c r="Z141" s="3277"/>
      <c r="AA141" s="3277"/>
      <c r="AB141" s="3277"/>
      <c r="AC141" s="3277"/>
      <c r="AD141" s="3277"/>
      <c r="AE141" s="3277"/>
      <c r="AF141" s="3277"/>
      <c r="AG141" s="3277"/>
      <c r="AH141" s="3277"/>
      <c r="AI141" s="3277"/>
      <c r="AM141" s="980"/>
      <c r="AN141" s="920"/>
      <c r="AO141" s="988" t="s">
        <v>1610</v>
      </c>
      <c r="AP141" s="989">
        <v>7</v>
      </c>
    </row>
    <row r="142" spans="1:52" s="921" customFormat="1" ht="13.05" customHeight="1">
      <c r="A142" s="990"/>
      <c r="B142" s="1010"/>
      <c r="C142" s="1010"/>
      <c r="D142" s="1010"/>
      <c r="E142" s="1010"/>
      <c r="F142" s="1010"/>
      <c r="G142" s="1010"/>
      <c r="H142" s="1010"/>
      <c r="I142" s="1010"/>
      <c r="J142" s="1010"/>
      <c r="K142" s="1010"/>
      <c r="L142" s="1010"/>
      <c r="M142" s="1010"/>
      <c r="N142" s="1010"/>
      <c r="O142" s="1010"/>
      <c r="P142" s="1010"/>
      <c r="Q142" s="1010"/>
      <c r="R142" s="1010"/>
      <c r="S142" s="1010"/>
      <c r="T142" s="1010"/>
      <c r="U142" s="1010"/>
      <c r="V142" s="1010"/>
      <c r="W142" s="1010"/>
      <c r="X142" s="1010"/>
      <c r="Y142" s="1010"/>
      <c r="Z142" s="1010"/>
      <c r="AA142" s="1010"/>
      <c r="AB142" s="1010"/>
      <c r="AC142" s="1010"/>
      <c r="AD142" s="991"/>
      <c r="AE142" s="924"/>
      <c r="AF142" s="924"/>
      <c r="AG142" s="924"/>
      <c r="AH142" s="924"/>
      <c r="AI142" s="924"/>
      <c r="AJ142" s="924"/>
      <c r="AK142" s="924"/>
      <c r="AL142" s="924"/>
      <c r="AM142" s="980"/>
      <c r="AN142" s="920"/>
      <c r="AO142" s="988" t="s">
        <v>1985</v>
      </c>
      <c r="AP142" s="989">
        <v>7</v>
      </c>
    </row>
    <row r="143" spans="1:52" s="921" customFormat="1" ht="12.75" customHeight="1">
      <c r="A143" s="990"/>
      <c r="B143" s="926" t="s">
        <v>1611</v>
      </c>
      <c r="AB143" s="3222" t="s">
        <v>626</v>
      </c>
      <c r="AC143" s="3222"/>
      <c r="AD143" s="991"/>
      <c r="AE143" s="924"/>
      <c r="AF143" s="924"/>
      <c r="AG143" s="924"/>
      <c r="AH143" s="924"/>
      <c r="AI143" s="924"/>
      <c r="AJ143" s="924"/>
      <c r="AK143" s="924"/>
      <c r="AL143" s="924"/>
      <c r="AM143" s="980"/>
      <c r="AN143" s="920"/>
      <c r="AO143" s="992"/>
      <c r="AP143" s="992"/>
    </row>
    <row r="144" spans="1:52" s="921" customFormat="1" ht="9" customHeight="1">
      <c r="A144" s="99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991"/>
      <c r="AE144" s="924"/>
      <c r="AF144" s="924"/>
      <c r="AG144" s="924"/>
      <c r="AH144" s="924"/>
      <c r="AI144" s="924"/>
      <c r="AJ144" s="924"/>
      <c r="AK144" s="924"/>
      <c r="AL144" s="924"/>
      <c r="AM144" s="980"/>
      <c r="AN144" s="920"/>
      <c r="AO144" s="918" t="s">
        <v>1612</v>
      </c>
      <c r="AP144" s="989"/>
    </row>
    <row r="145" spans="1:42" s="921" customFormat="1" ht="12.75" customHeight="1">
      <c r="A145" s="925"/>
      <c r="B145" s="982" t="s">
        <v>1613</v>
      </c>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979"/>
      <c r="AM145" s="980"/>
      <c r="AN145" s="920"/>
      <c r="AO145" s="988" t="s">
        <v>1614</v>
      </c>
      <c r="AP145" s="989">
        <v>5</v>
      </c>
    </row>
    <row r="146" spans="1:42" s="921" customFormat="1" ht="12.75" customHeight="1">
      <c r="A146" s="925"/>
      <c r="B146" s="3277" t="s">
        <v>1612</v>
      </c>
      <c r="C146" s="3277"/>
      <c r="D146" s="3277"/>
      <c r="E146" s="3277"/>
      <c r="F146" s="3277"/>
      <c r="G146" s="3277"/>
      <c r="H146" s="3277"/>
      <c r="I146" s="3277"/>
      <c r="J146" s="3277"/>
      <c r="K146" s="3277"/>
      <c r="L146" s="3277"/>
      <c r="M146" s="3277"/>
      <c r="N146" s="3277"/>
      <c r="O146" s="3277"/>
      <c r="P146" s="3277"/>
      <c r="Q146" s="3277"/>
      <c r="R146" s="3277"/>
      <c r="S146" s="3277"/>
      <c r="T146" s="3277"/>
      <c r="U146" s="3277"/>
      <c r="V146" s="3277"/>
      <c r="W146" s="3277"/>
      <c r="X146" s="3277"/>
      <c r="Y146" s="3277"/>
      <c r="Z146" s="3277"/>
      <c r="AA146" s="3277"/>
      <c r="AB146" s="3277"/>
      <c r="AC146" s="3277"/>
      <c r="AD146" s="3277"/>
      <c r="AE146" s="3277"/>
      <c r="AF146" s="3277"/>
      <c r="AG146" s="3277"/>
      <c r="AH146" s="3277"/>
      <c r="AI146" s="3277"/>
      <c r="AJ146" s="3277"/>
      <c r="AK146" s="1017"/>
      <c r="AL146" s="1017"/>
      <c r="AM146" s="1017"/>
      <c r="AN146" s="920"/>
      <c r="AO146" s="988" t="s">
        <v>1615</v>
      </c>
      <c r="AP146" s="989">
        <v>7</v>
      </c>
    </row>
    <row r="147" spans="1:42" s="921" customFormat="1" ht="12.75" customHeight="1">
      <c r="B147" s="1006" t="s">
        <v>1616</v>
      </c>
      <c r="C147" s="1010"/>
      <c r="D147" s="1010"/>
      <c r="E147" s="1010"/>
      <c r="F147" s="1010"/>
      <c r="G147" s="1010"/>
      <c r="H147" s="1010"/>
      <c r="I147" s="1010"/>
      <c r="J147" s="1010"/>
      <c r="K147" s="1010"/>
      <c r="L147" s="1010"/>
      <c r="M147" s="1010"/>
      <c r="N147" s="1010"/>
      <c r="O147" s="1010"/>
      <c r="P147" s="1010"/>
      <c r="Q147" s="1010"/>
      <c r="R147" s="1010"/>
      <c r="S147" s="1010"/>
      <c r="T147" s="1010"/>
      <c r="U147" s="1010"/>
      <c r="AM147" s="980"/>
      <c r="AN147" s="920"/>
      <c r="AO147" s="988"/>
      <c r="AP147" s="989"/>
    </row>
    <row r="148" spans="1:42" s="921" customFormat="1" ht="12.75" customHeight="1">
      <c r="AM148" s="980"/>
      <c r="AN148" s="920"/>
    </row>
    <row r="149" spans="1:42" s="937" customFormat="1" ht="12.75" customHeight="1">
      <c r="A149" s="1002"/>
      <c r="B149" s="1003"/>
      <c r="C149" s="1003"/>
      <c r="D149" s="1003"/>
      <c r="E149" s="1003"/>
      <c r="F149" s="1003"/>
      <c r="G149" s="1003"/>
      <c r="H149" s="1003"/>
      <c r="I149" s="1003"/>
      <c r="J149" s="1003"/>
      <c r="K149" s="1003"/>
      <c r="L149" s="1003"/>
      <c r="M149" s="1003"/>
      <c r="N149" s="1003"/>
      <c r="O149" s="1003"/>
      <c r="P149" s="1003"/>
      <c r="Q149" s="1003"/>
      <c r="R149" s="1003"/>
      <c r="S149" s="1003"/>
      <c r="T149" s="1003"/>
      <c r="U149" s="1003"/>
      <c r="V149" s="1003"/>
      <c r="W149" s="1003"/>
      <c r="X149" s="1003"/>
      <c r="Y149" s="1003"/>
      <c r="Z149" s="1003"/>
      <c r="AA149" s="1003"/>
      <c r="AB149" s="1003"/>
      <c r="AC149" s="1003"/>
      <c r="AD149" s="1003"/>
      <c r="AE149" s="1003"/>
      <c r="AF149" s="1003"/>
      <c r="AG149" s="1003"/>
      <c r="AH149" s="1003"/>
      <c r="AI149" s="953" t="s">
        <v>1618</v>
      </c>
      <c r="AJ149" s="3278">
        <f>IF($AB$143="N/A",VLOOKUP($B$141,$AO$139:$AP$142,2,FALSE),VLOOKUP($B$146,$AO$144:$AP$147,2,FALSE))</f>
        <v>7</v>
      </c>
      <c r="AK149" s="3278"/>
      <c r="AL149" s="1004"/>
      <c r="AM149" s="924"/>
      <c r="AN149" s="997"/>
    </row>
    <row r="150" spans="1:42" s="937" customFormat="1" ht="12.75" customHeight="1">
      <c r="A150" s="999"/>
      <c r="B150" s="999"/>
      <c r="C150" s="921"/>
      <c r="D150" s="921"/>
      <c r="E150" s="921"/>
      <c r="F150" s="921"/>
      <c r="G150" s="921"/>
      <c r="H150" s="921"/>
      <c r="I150" s="921"/>
      <c r="J150" s="921"/>
      <c r="K150" s="921"/>
      <c r="L150" s="921"/>
      <c r="M150" s="921"/>
      <c r="N150" s="921"/>
      <c r="O150" s="921"/>
      <c r="P150" s="921"/>
      <c r="Q150" s="921"/>
      <c r="R150" s="921"/>
      <c r="S150" s="921"/>
      <c r="T150" s="921"/>
      <c r="U150" s="921"/>
      <c r="V150" s="921"/>
      <c r="W150" s="921"/>
      <c r="X150" s="921"/>
      <c r="Y150" s="921"/>
      <c r="Z150" s="921"/>
      <c r="AA150" s="921"/>
      <c r="AB150" s="921"/>
      <c r="AC150" s="921"/>
      <c r="AD150" s="921"/>
      <c r="AE150" s="921"/>
      <c r="AF150" s="921"/>
      <c r="AG150" s="921"/>
      <c r="AH150" s="921"/>
      <c r="AI150" s="921"/>
      <c r="AJ150" s="921"/>
      <c r="AK150" s="1000"/>
      <c r="AL150" s="1000"/>
      <c r="AM150" s="1000"/>
      <c r="AN150" s="997"/>
    </row>
    <row r="151" spans="1:42" s="937" customFormat="1" ht="12.75" customHeight="1">
      <c r="A151" s="921"/>
      <c r="B151" s="982" t="s">
        <v>1620</v>
      </c>
      <c r="C151" s="1006"/>
      <c r="D151" s="921"/>
      <c r="E151" s="1629"/>
      <c r="F151" s="1629"/>
      <c r="G151" s="1629"/>
      <c r="H151" s="1629"/>
      <c r="I151" s="1629"/>
      <c r="J151" s="1629"/>
      <c r="K151" s="1629"/>
      <c r="L151" s="1629"/>
      <c r="M151" s="1629"/>
      <c r="N151" s="1629"/>
      <c r="O151" s="1629"/>
      <c r="P151" s="1629"/>
      <c r="Q151" s="1629"/>
      <c r="R151" s="1629"/>
      <c r="S151" s="1629"/>
      <c r="T151" s="1629"/>
      <c r="U151" s="1629"/>
      <c r="V151" s="1629"/>
      <c r="W151" s="1629"/>
      <c r="X151" s="1629"/>
      <c r="Y151" s="1629"/>
      <c r="Z151" s="1629"/>
      <c r="AA151" s="1629"/>
      <c r="AB151" s="1629"/>
      <c r="AC151" s="1629"/>
      <c r="AD151" s="1629"/>
      <c r="AE151" s="921"/>
      <c r="AF151" s="3217" t="s">
        <v>1621</v>
      </c>
      <c r="AG151" s="3217"/>
      <c r="AH151" s="3217"/>
      <c r="AI151" s="3217"/>
      <c r="AJ151" s="3217"/>
      <c r="AK151" s="3217"/>
      <c r="AL151" s="3217"/>
      <c r="AM151" s="1007"/>
      <c r="AN151" s="997"/>
    </row>
    <row r="152" spans="1:42" s="937" customFormat="1" ht="12.75" customHeight="1">
      <c r="A152" s="921"/>
      <c r="B152" s="926" t="s">
        <v>1622</v>
      </c>
      <c r="C152" s="924"/>
      <c r="D152" s="924"/>
      <c r="E152" s="924"/>
      <c r="F152" s="924"/>
      <c r="G152" s="924"/>
      <c r="H152" s="924"/>
      <c r="I152" s="924"/>
      <c r="J152" s="924"/>
      <c r="K152" s="924"/>
      <c r="L152" s="924"/>
      <c r="M152" s="924"/>
      <c r="N152" s="924"/>
      <c r="O152" s="924"/>
      <c r="P152" s="924"/>
      <c r="Q152" s="924"/>
      <c r="R152" s="924"/>
      <c r="S152" s="924"/>
      <c r="T152" s="924"/>
      <c r="U152" s="924"/>
      <c r="V152" s="924"/>
      <c r="W152" s="924"/>
      <c r="X152" s="924"/>
      <c r="Y152" s="924"/>
      <c r="Z152" s="924"/>
      <c r="AA152" s="926"/>
      <c r="AB152" s="926"/>
      <c r="AC152" s="926"/>
      <c r="AD152" s="926"/>
      <c r="AE152" s="921"/>
      <c r="AF152" s="921"/>
      <c r="AG152" s="921"/>
      <c r="AH152" s="921"/>
      <c r="AI152" s="921"/>
      <c r="AJ152" s="921"/>
      <c r="AK152" s="921"/>
      <c r="AL152" s="921"/>
      <c r="AM152" s="1007"/>
      <c r="AN152" s="997"/>
    </row>
    <row r="153" spans="1:42" s="937" customFormat="1" ht="12.75" customHeight="1">
      <c r="A153" s="921"/>
      <c r="B153" s="921"/>
      <c r="C153" s="3277" t="s">
        <v>1619</v>
      </c>
      <c r="D153" s="3277"/>
      <c r="E153" s="3277"/>
      <c r="F153" s="3277"/>
      <c r="G153" s="3277"/>
      <c r="H153" s="3277"/>
      <c r="I153" s="3277"/>
      <c r="J153" s="3277"/>
      <c r="K153" s="3277"/>
      <c r="L153" s="3277"/>
      <c r="M153" s="3277"/>
      <c r="N153" s="3277"/>
      <c r="O153" s="3277"/>
      <c r="P153" s="3277"/>
      <c r="Q153" s="3277"/>
      <c r="R153" s="3277"/>
      <c r="S153" s="3277"/>
      <c r="T153" s="3277"/>
      <c r="U153" s="3277"/>
      <c r="V153" s="3277"/>
      <c r="W153" s="3277"/>
      <c r="X153" s="3277"/>
      <c r="Y153" s="3277"/>
      <c r="Z153" s="3277"/>
      <c r="AA153" s="3277"/>
      <c r="AB153" s="3277"/>
      <c r="AC153" s="3277"/>
      <c r="AD153" s="3277"/>
      <c r="AE153" s="3277"/>
      <c r="AF153" s="3277"/>
      <c r="AG153" s="3277"/>
      <c r="AH153" s="3277"/>
      <c r="AI153" s="3277"/>
      <c r="AJ153" s="924"/>
      <c r="AK153" s="924"/>
      <c r="AL153" s="924"/>
      <c r="AM153" s="1007"/>
      <c r="AN153" s="994"/>
      <c r="AO153" s="998" t="s">
        <v>316</v>
      </c>
      <c r="AP153" s="992"/>
    </row>
    <row r="154" spans="1:42" s="937" customFormat="1" ht="13.05" customHeight="1">
      <c r="A154" s="924"/>
      <c r="B154" s="924"/>
      <c r="C154" s="1010"/>
      <c r="D154" s="1010"/>
      <c r="E154" s="1010"/>
      <c r="F154" s="1010"/>
      <c r="G154" s="1010"/>
      <c r="H154" s="1010"/>
      <c r="I154" s="1010"/>
      <c r="J154" s="1010"/>
      <c r="K154" s="1010"/>
      <c r="L154" s="1010"/>
      <c r="M154" s="1010"/>
      <c r="N154" s="1010"/>
      <c r="O154" s="1010"/>
      <c r="P154" s="1010"/>
      <c r="Q154" s="1010"/>
      <c r="R154" s="1010"/>
      <c r="S154" s="1010"/>
      <c r="T154" s="1010"/>
      <c r="U154" s="1010"/>
      <c r="V154" s="1010"/>
      <c r="W154" s="1010"/>
      <c r="X154" s="1010"/>
      <c r="Y154" s="1010"/>
      <c r="Z154" s="1010"/>
      <c r="AA154" s="1010"/>
      <c r="AB154" s="1010"/>
      <c r="AC154" s="1010"/>
      <c r="AD154" s="1010"/>
      <c r="AE154" s="924"/>
      <c r="AF154" s="924"/>
      <c r="AG154" s="924"/>
      <c r="AH154" s="924"/>
      <c r="AI154" s="924"/>
      <c r="AJ154" s="924"/>
      <c r="AK154" s="924"/>
      <c r="AL154" s="924"/>
      <c r="AM154" s="1009"/>
      <c r="AN154" s="994"/>
      <c r="AO154" s="992" t="s">
        <v>1617</v>
      </c>
      <c r="AP154" s="1001">
        <v>2</v>
      </c>
    </row>
    <row r="155" spans="1:42" s="937" customFormat="1" ht="12.75" customHeight="1">
      <c r="A155" s="924"/>
      <c r="B155" s="924"/>
      <c r="C155" s="926" t="s">
        <v>1624</v>
      </c>
      <c r="D155" s="921"/>
      <c r="E155" s="921"/>
      <c r="F155" s="921"/>
      <c r="G155" s="921"/>
      <c r="H155" s="921"/>
      <c r="I155" s="921"/>
      <c r="J155" s="921"/>
      <c r="K155" s="921"/>
      <c r="L155" s="921"/>
      <c r="M155" s="921"/>
      <c r="N155" s="921"/>
      <c r="O155" s="921"/>
      <c r="P155" s="921"/>
      <c r="Q155" s="921"/>
      <c r="R155" s="921"/>
      <c r="S155" s="921"/>
      <c r="T155" s="921"/>
      <c r="U155" s="921"/>
      <c r="V155" s="921"/>
      <c r="W155" s="921"/>
      <c r="X155" s="921"/>
      <c r="Y155" s="921"/>
      <c r="Z155" s="921"/>
      <c r="AA155" s="921"/>
      <c r="AB155" s="921"/>
      <c r="AC155" s="3222" t="s">
        <v>626</v>
      </c>
      <c r="AD155" s="3222"/>
      <c r="AE155" s="924"/>
      <c r="AF155" s="924"/>
      <c r="AG155" s="924"/>
      <c r="AH155" s="924"/>
      <c r="AI155" s="924"/>
      <c r="AJ155" s="924"/>
      <c r="AK155" s="924"/>
      <c r="AL155" s="924"/>
      <c r="AM155" s="1009"/>
      <c r="AN155" s="994"/>
      <c r="AO155" s="992" t="s">
        <v>1619</v>
      </c>
      <c r="AP155" s="1001">
        <v>3</v>
      </c>
    </row>
    <row r="156" spans="1:42" s="937" customFormat="1" ht="9" customHeight="1">
      <c r="A156" s="924"/>
      <c r="B156" s="924"/>
      <c r="C156" s="1010"/>
      <c r="D156" s="1010"/>
      <c r="E156" s="1010"/>
      <c r="F156" s="1010"/>
      <c r="G156" s="1010"/>
      <c r="H156" s="1010"/>
      <c r="I156" s="1010"/>
      <c r="J156" s="1010"/>
      <c r="K156" s="1010"/>
      <c r="L156" s="1010"/>
      <c r="M156" s="1010"/>
      <c r="N156" s="1010"/>
      <c r="O156" s="1010"/>
      <c r="P156" s="1010"/>
      <c r="Q156" s="1010"/>
      <c r="R156" s="1010"/>
      <c r="S156" s="1010"/>
      <c r="T156" s="1010"/>
      <c r="U156" s="1010"/>
      <c r="V156" s="1010"/>
      <c r="W156" s="1010"/>
      <c r="X156" s="1010"/>
      <c r="Y156" s="1010"/>
      <c r="Z156" s="1010"/>
      <c r="AA156" s="1010"/>
      <c r="AB156" s="1010"/>
      <c r="AC156" s="1010"/>
      <c r="AD156" s="1010"/>
      <c r="AE156" s="924"/>
      <c r="AF156" s="924"/>
      <c r="AG156" s="924"/>
      <c r="AH156" s="924"/>
      <c r="AI156" s="924"/>
      <c r="AJ156" s="924"/>
      <c r="AK156" s="924"/>
      <c r="AL156" s="924"/>
      <c r="AM156" s="1009"/>
      <c r="AN156" s="994"/>
      <c r="AO156" s="1005" t="s">
        <v>1986</v>
      </c>
      <c r="AP156" s="1001">
        <v>3</v>
      </c>
    </row>
    <row r="157" spans="1:42" s="937" customFormat="1" ht="12.75" customHeight="1">
      <c r="A157" s="924"/>
      <c r="B157" s="924"/>
      <c r="C157" s="3277" t="s">
        <v>1612</v>
      </c>
      <c r="D157" s="3277"/>
      <c r="E157" s="3277"/>
      <c r="F157" s="3277"/>
      <c r="G157" s="3277"/>
      <c r="H157" s="3277"/>
      <c r="I157" s="3277"/>
      <c r="J157" s="3277"/>
      <c r="K157" s="3277"/>
      <c r="L157" s="3277"/>
      <c r="M157" s="3277"/>
      <c r="N157" s="3277"/>
      <c r="O157" s="3277"/>
      <c r="P157" s="3277"/>
      <c r="Q157" s="3277"/>
      <c r="R157" s="3277"/>
      <c r="S157" s="3277"/>
      <c r="T157" s="3277"/>
      <c r="U157" s="3277"/>
      <c r="V157" s="3277"/>
      <c r="W157" s="3277"/>
      <c r="X157" s="3277"/>
      <c r="Y157" s="3277"/>
      <c r="Z157" s="3277"/>
      <c r="AA157" s="3277"/>
      <c r="AB157" s="3277"/>
      <c r="AC157" s="3277"/>
      <c r="AD157" s="3277"/>
      <c r="AE157" s="924"/>
      <c r="AF157" s="924"/>
      <c r="AG157" s="924"/>
      <c r="AH157" s="924"/>
      <c r="AI157" s="924"/>
      <c r="AJ157" s="924"/>
      <c r="AK157" s="924"/>
      <c r="AL157" s="924"/>
      <c r="AM157" s="1007"/>
      <c r="AN157" s="994"/>
      <c r="AO157" s="1005"/>
      <c r="AP157" s="1001"/>
    </row>
    <row r="158" spans="1:42" s="937" customFormat="1" ht="12.75" customHeight="1">
      <c r="A158" s="924"/>
      <c r="B158" s="921"/>
      <c r="C158" s="1006" t="s">
        <v>1616</v>
      </c>
      <c r="D158" s="1006"/>
      <c r="E158" s="1006"/>
      <c r="F158" s="1006"/>
      <c r="G158" s="1006"/>
      <c r="H158" s="1006"/>
      <c r="I158" s="1006"/>
      <c r="J158" s="1006"/>
      <c r="K158" s="1006"/>
      <c r="L158" s="1006"/>
      <c r="M158" s="1006"/>
      <c r="N158" s="1006"/>
      <c r="O158" s="1006"/>
      <c r="P158" s="1006"/>
      <c r="Q158" s="1006"/>
      <c r="R158" s="1006"/>
      <c r="S158" s="1006"/>
      <c r="T158" s="1006"/>
      <c r="U158" s="1006"/>
      <c r="V158" s="1006"/>
      <c r="W158" s="1006"/>
      <c r="X158" s="1006"/>
      <c r="Y158" s="1006"/>
      <c r="Z158" s="1006"/>
      <c r="AA158" s="1006"/>
      <c r="AB158" s="1006"/>
      <c r="AC158" s="1006"/>
      <c r="AD158" s="1006"/>
      <c r="AE158" s="1006"/>
      <c r="AF158" s="1006"/>
      <c r="AG158" s="1006"/>
      <c r="AH158" s="1006"/>
      <c r="AI158" s="1006"/>
      <c r="AJ158" s="1006"/>
      <c r="AK158" s="1006"/>
      <c r="AL158" s="924"/>
      <c r="AM158" s="1009"/>
      <c r="AN158" s="994"/>
      <c r="AO158" s="1008"/>
      <c r="AP158" s="1008"/>
    </row>
    <row r="159" spans="1:42" s="937" customFormat="1" ht="12.75" customHeight="1">
      <c r="A159" s="924"/>
      <c r="B159" s="921"/>
      <c r="C159" s="921"/>
      <c r="D159" s="921"/>
      <c r="E159" s="921"/>
      <c r="F159" s="921"/>
      <c r="G159" s="921"/>
      <c r="H159" s="921"/>
      <c r="I159" s="921"/>
      <c r="J159" s="921"/>
      <c r="K159" s="921"/>
      <c r="L159" s="921"/>
      <c r="M159" s="921"/>
      <c r="N159" s="921"/>
      <c r="O159" s="921"/>
      <c r="P159" s="921"/>
      <c r="Q159" s="921"/>
      <c r="R159" s="921"/>
      <c r="S159" s="921"/>
      <c r="T159" s="921"/>
      <c r="U159" s="921"/>
      <c r="V159" s="921"/>
      <c r="W159" s="921"/>
      <c r="X159" s="921"/>
      <c r="Y159" s="921"/>
      <c r="Z159" s="921"/>
      <c r="AA159" s="921"/>
      <c r="AB159" s="921"/>
      <c r="AC159" s="921"/>
      <c r="AD159" s="921"/>
      <c r="AE159" s="924"/>
      <c r="AF159" s="924"/>
      <c r="AG159" s="924"/>
      <c r="AH159" s="924"/>
      <c r="AI159" s="924"/>
      <c r="AJ159" s="924"/>
      <c r="AK159" s="924"/>
      <c r="AL159" s="924"/>
      <c r="AM159" s="1009"/>
      <c r="AN159" s="994"/>
    </row>
    <row r="160" spans="1:42" s="937" customFormat="1" ht="12.75" customHeight="1">
      <c r="A160" s="921"/>
      <c r="B160" s="921"/>
      <c r="C160" s="982" t="s">
        <v>1626</v>
      </c>
      <c r="D160" s="1010"/>
      <c r="E160" s="1010"/>
      <c r="F160" s="1010"/>
      <c r="G160" s="1010"/>
      <c r="H160" s="1010"/>
      <c r="I160" s="1010"/>
      <c r="J160" s="1010"/>
      <c r="K160" s="1010"/>
      <c r="L160" s="1010"/>
      <c r="M160" s="1010"/>
      <c r="N160" s="1010"/>
      <c r="O160" s="1010"/>
      <c r="P160" s="1010"/>
      <c r="Q160" s="1010"/>
      <c r="R160" s="1010"/>
      <c r="S160" s="1010"/>
      <c r="T160" s="1010"/>
      <c r="U160" s="1010"/>
      <c r="V160" s="1010"/>
      <c r="W160" s="1010"/>
      <c r="X160" s="1010"/>
      <c r="Y160" s="1010"/>
      <c r="Z160" s="1010"/>
      <c r="AA160" s="1010"/>
      <c r="AB160" s="1010"/>
      <c r="AC160" s="1010"/>
      <c r="AD160" s="1010"/>
      <c r="AE160" s="924"/>
      <c r="AF160" s="924"/>
      <c r="AG160" s="924"/>
      <c r="AH160" s="924"/>
      <c r="AI160" s="924"/>
      <c r="AJ160" s="924"/>
      <c r="AK160" s="924"/>
      <c r="AL160" s="924"/>
      <c r="AM160" s="1007"/>
      <c r="AN160" s="994"/>
      <c r="AO160" s="998" t="s">
        <v>1612</v>
      </c>
      <c r="AP160" s="992"/>
    </row>
    <row r="161" spans="1:81" s="996" customFormat="1" ht="12.75" customHeight="1">
      <c r="A161" s="921"/>
      <c r="B161" s="921"/>
      <c r="C161" s="3276" t="s">
        <v>2580</v>
      </c>
      <c r="D161" s="3276"/>
      <c r="E161" s="3276"/>
      <c r="F161" s="3276"/>
      <c r="G161" s="3276"/>
      <c r="H161" s="3276"/>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76"/>
      <c r="AD161" s="3276"/>
      <c r="AE161" s="924"/>
      <c r="AF161" s="924"/>
      <c r="AG161" s="924"/>
      <c r="AH161" s="924"/>
      <c r="AI161" s="924"/>
      <c r="AJ161" s="924"/>
      <c r="AK161" s="924"/>
      <c r="AL161" s="924"/>
      <c r="AM161" s="1007"/>
      <c r="AN161" s="995"/>
      <c r="AO161" s="992" t="s">
        <v>1623</v>
      </c>
      <c r="AP161" s="1001">
        <v>2</v>
      </c>
      <c r="AQ161" s="937"/>
      <c r="AR161" s="937"/>
      <c r="AS161" s="937"/>
    </row>
    <row r="162" spans="1:81" s="937" customFormat="1" ht="12.75" customHeight="1">
      <c r="A162" s="921"/>
      <c r="B162" s="921"/>
      <c r="C162" s="1010"/>
      <c r="D162" s="1010"/>
      <c r="E162" s="1010"/>
      <c r="F162" s="1010"/>
      <c r="G162" s="1010"/>
      <c r="H162" s="1010"/>
      <c r="I162" s="1010"/>
      <c r="J162" s="1010"/>
      <c r="K162" s="1010"/>
      <c r="L162" s="1010"/>
      <c r="M162" s="1010"/>
      <c r="N162" s="1010"/>
      <c r="O162" s="1010"/>
      <c r="P162" s="1010"/>
      <c r="Q162" s="1010"/>
      <c r="R162" s="1010"/>
      <c r="S162" s="1010"/>
      <c r="T162" s="1010"/>
      <c r="U162" s="1010"/>
      <c r="V162" s="1010"/>
      <c r="W162" s="1010"/>
      <c r="X162" s="1010"/>
      <c r="Y162" s="1010"/>
      <c r="Z162" s="1010"/>
      <c r="AA162" s="1010"/>
      <c r="AB162" s="1010"/>
      <c r="AC162" s="1010"/>
      <c r="AD162" s="1010"/>
      <c r="AE162" s="924"/>
      <c r="AF162" s="924"/>
      <c r="AG162" s="924"/>
      <c r="AH162" s="924"/>
      <c r="AI162" s="924"/>
      <c r="AJ162" s="924"/>
      <c r="AK162" s="924"/>
      <c r="AL162" s="924"/>
      <c r="AM162" s="1007"/>
      <c r="AN162" s="994"/>
      <c r="AO162" s="992" t="s">
        <v>1625</v>
      </c>
      <c r="AP162" s="1001">
        <v>3</v>
      </c>
    </row>
    <row r="163" spans="1:81" s="937" customFormat="1" ht="12.75" customHeight="1">
      <c r="A163" s="1011"/>
      <c r="B163" s="1012"/>
      <c r="C163" s="1012"/>
      <c r="D163" s="951"/>
      <c r="E163" s="1012"/>
      <c r="F163" s="1012"/>
      <c r="G163" s="1012"/>
      <c r="H163" s="1012"/>
      <c r="I163" s="1012"/>
      <c r="J163" s="1012"/>
      <c r="K163" s="1012"/>
      <c r="L163" s="1012"/>
      <c r="M163" s="1012"/>
      <c r="N163" s="1012"/>
      <c r="O163" s="1012"/>
      <c r="P163" s="1012"/>
      <c r="Q163" s="1013"/>
      <c r="R163" s="1014"/>
      <c r="S163" s="1012"/>
      <c r="T163" s="1012"/>
      <c r="U163" s="1012"/>
      <c r="V163" s="1012"/>
      <c r="W163" s="1012"/>
      <c r="X163" s="1012"/>
      <c r="Y163" s="1012"/>
      <c r="Z163" s="1012"/>
      <c r="AA163" s="1012"/>
      <c r="AB163" s="1012"/>
      <c r="AC163" s="1012"/>
      <c r="AD163" s="1012"/>
      <c r="AE163" s="1012"/>
      <c r="AF163" s="1012"/>
      <c r="AG163" s="1012"/>
      <c r="AH163" s="1012"/>
      <c r="AI163" s="953" t="s">
        <v>1627</v>
      </c>
      <c r="AJ163" s="3135">
        <f>IF($AC$155="N/A",VLOOKUP($C$153,$AO$153:$AP$156,2,FALSE),VLOOKUP($C$157,$AO$160:$AP$162,2,FALSE))</f>
        <v>3</v>
      </c>
      <c r="AK163" s="3135"/>
      <c r="AL163" s="1015"/>
      <c r="AM163" s="1016"/>
      <c r="AN163" s="994"/>
      <c r="AO163" s="1005"/>
      <c r="AP163" s="1001"/>
    </row>
    <row r="164" spans="1:81" s="937" customFormat="1" ht="12.75" customHeight="1">
      <c r="A164" s="1017"/>
      <c r="B164" s="1018"/>
      <c r="D164" s="1019"/>
      <c r="E164" s="1019"/>
      <c r="F164" s="1019"/>
      <c r="G164" s="1019"/>
      <c r="H164" s="1019"/>
      <c r="I164" s="1019"/>
      <c r="J164" s="1019"/>
      <c r="K164" s="1019"/>
      <c r="L164" s="1019"/>
      <c r="M164" s="1019"/>
      <c r="N164" s="1019"/>
      <c r="R164" s="1017"/>
      <c r="S164" s="1018"/>
      <c r="U164" s="1019"/>
      <c r="V164" s="1019"/>
      <c r="W164" s="1019"/>
      <c r="X164" s="1019"/>
      <c r="Y164" s="1019"/>
      <c r="Z164" s="1019"/>
      <c r="AA164" s="1019"/>
      <c r="AB164" s="1019"/>
      <c r="AC164" s="1019"/>
      <c r="AD164" s="1019"/>
      <c r="AE164" s="1019"/>
      <c r="AK164" s="1020"/>
      <c r="AL164" s="1020"/>
      <c r="AM164" s="1020"/>
      <c r="AN164" s="994"/>
    </row>
    <row r="165" spans="1:81" s="937" customFormat="1" ht="12.75" customHeight="1">
      <c r="A165" s="1022"/>
      <c r="B165" s="1021"/>
      <c r="C165" s="1021"/>
      <c r="D165" s="1021"/>
      <c r="E165" s="1021"/>
      <c r="F165" s="1021"/>
      <c r="G165" s="1021"/>
      <c r="H165" s="1021"/>
      <c r="I165" s="1021"/>
      <c r="J165" s="1021"/>
      <c r="K165" s="1021"/>
      <c r="L165" s="1021"/>
      <c r="M165" s="1021"/>
      <c r="N165" s="1021"/>
      <c r="O165" s="1021"/>
      <c r="P165" s="1021"/>
      <c r="Q165" s="1021"/>
      <c r="R165" s="1021"/>
      <c r="S165" s="1021"/>
      <c r="T165" s="1021"/>
      <c r="U165" s="1021"/>
      <c r="V165" s="1021"/>
      <c r="W165" s="1021"/>
      <c r="X165" s="1021"/>
      <c r="Y165" s="1021"/>
      <c r="Z165" s="1021"/>
      <c r="AA165" s="1021"/>
      <c r="AB165" s="1021"/>
      <c r="AC165" s="1021"/>
      <c r="AD165" s="1021"/>
      <c r="AE165" s="1021"/>
      <c r="AF165" s="1021"/>
      <c r="AG165" s="1021"/>
      <c r="AH165" s="1021"/>
      <c r="AI165" s="1021"/>
      <c r="AJ165" s="1021"/>
      <c r="AK165" s="1021"/>
      <c r="AL165" s="1021"/>
      <c r="AM165" s="1021"/>
      <c r="AN165" s="994"/>
    </row>
    <row r="166" spans="1:81" s="937" customFormat="1" ht="12.75" customHeight="1">
      <c r="A166" s="949"/>
      <c r="B166" s="950"/>
      <c r="C166" s="950"/>
      <c r="D166" s="950"/>
      <c r="E166" s="950"/>
      <c r="F166" s="950"/>
      <c r="G166" s="951"/>
      <c r="H166" s="952"/>
      <c r="I166" s="952"/>
      <c r="J166" s="952"/>
      <c r="K166" s="952"/>
      <c r="L166" s="952"/>
      <c r="M166" s="952"/>
      <c r="N166" s="952"/>
      <c r="O166" s="952"/>
      <c r="P166" s="952"/>
      <c r="Q166" s="952"/>
      <c r="R166" s="952"/>
      <c r="S166" s="952"/>
      <c r="T166" s="952"/>
      <c r="U166" s="952"/>
      <c r="V166" s="952"/>
      <c r="W166" s="952"/>
      <c r="X166" s="952"/>
      <c r="Y166" s="952"/>
      <c r="Z166" s="952"/>
      <c r="AA166" s="952"/>
      <c r="AB166" s="952"/>
      <c r="AC166" s="952"/>
      <c r="AD166" s="952"/>
      <c r="AE166" s="952"/>
      <c r="AF166" s="952"/>
      <c r="AG166" s="952"/>
      <c r="AH166" s="952"/>
      <c r="AI166" s="953"/>
      <c r="AJ166" s="953" t="s">
        <v>1628</v>
      </c>
      <c r="AK166" s="3271">
        <f>$AJ$149+$AJ$163</f>
        <v>10</v>
      </c>
      <c r="AL166" s="3272"/>
      <c r="AM166" s="3273"/>
      <c r="AN166" s="994"/>
    </row>
    <row r="167" spans="1:81" s="937" customFormat="1" ht="12.75" customHeight="1" thickBot="1">
      <c r="A167" s="954"/>
      <c r="B167" s="955"/>
      <c r="C167" s="956"/>
      <c r="D167" s="956"/>
      <c r="E167" s="956"/>
      <c r="F167" s="956"/>
      <c r="G167" s="956"/>
      <c r="H167" s="956"/>
      <c r="I167" s="956"/>
      <c r="J167" s="956"/>
      <c r="K167" s="956"/>
      <c r="L167" s="956"/>
      <c r="M167" s="956"/>
      <c r="N167" s="956"/>
      <c r="O167" s="956"/>
      <c r="P167" s="956"/>
      <c r="Q167" s="956"/>
      <c r="R167" s="956"/>
      <c r="S167" s="956"/>
      <c r="T167" s="956"/>
      <c r="U167" s="956"/>
      <c r="V167" s="956"/>
      <c r="W167" s="956"/>
      <c r="X167" s="956"/>
      <c r="Y167" s="956"/>
      <c r="Z167" s="956"/>
      <c r="AA167" s="956"/>
      <c r="AB167" s="956"/>
      <c r="AC167" s="956"/>
      <c r="AD167" s="956"/>
      <c r="AE167" s="956"/>
      <c r="AF167" s="956"/>
      <c r="AG167" s="956"/>
      <c r="AH167" s="956"/>
      <c r="AI167" s="956"/>
      <c r="AJ167" s="956"/>
      <c r="AK167" s="956"/>
      <c r="AL167" s="956"/>
      <c r="AM167" s="957"/>
      <c r="AN167" s="956"/>
      <c r="AO167" s="956"/>
      <c r="AR167" s="956"/>
      <c r="AS167" s="956"/>
      <c r="AT167" s="956"/>
      <c r="AU167" s="956"/>
      <c r="AV167" s="956"/>
      <c r="AW167" s="956"/>
      <c r="AX167" s="956"/>
      <c r="AY167" s="956"/>
      <c r="AZ167" s="956"/>
      <c r="BA167" s="956"/>
      <c r="BB167" s="956"/>
      <c r="BC167" s="956"/>
      <c r="BD167" s="956"/>
      <c r="BE167" s="956"/>
      <c r="BF167" s="956"/>
      <c r="BG167" s="956"/>
      <c r="BH167" s="956"/>
      <c r="BI167" s="956"/>
      <c r="BJ167" s="956"/>
      <c r="BK167" s="956"/>
      <c r="BL167" s="956"/>
      <c r="BM167" s="956"/>
      <c r="BN167" s="956"/>
      <c r="BO167" s="956"/>
      <c r="BP167" s="956"/>
      <c r="BQ167" s="956"/>
      <c r="BR167" s="956"/>
      <c r="BS167" s="956"/>
      <c r="BT167" s="956"/>
      <c r="BU167" s="956"/>
      <c r="BV167" s="956"/>
      <c r="BW167" s="956"/>
      <c r="BX167" s="956"/>
      <c r="BY167" s="956"/>
      <c r="BZ167" s="956"/>
      <c r="CA167" s="956"/>
      <c r="CB167" s="956"/>
      <c r="CC167" s="956"/>
    </row>
    <row r="168" spans="1:81" s="937" customFormat="1" ht="12.75" customHeight="1" thickTop="1">
      <c r="A168" s="958"/>
      <c r="B168" s="959"/>
      <c r="C168" s="960"/>
      <c r="D168" s="960"/>
      <c r="E168" s="960"/>
      <c r="F168" s="960"/>
      <c r="G168" s="960"/>
      <c r="H168" s="960"/>
      <c r="I168" s="961"/>
      <c r="J168" s="961"/>
      <c r="K168" s="961"/>
      <c r="L168" s="961"/>
      <c r="M168" s="961"/>
      <c r="N168" s="961"/>
      <c r="O168" s="961"/>
      <c r="P168" s="961"/>
      <c r="Q168" s="961"/>
      <c r="R168" s="958"/>
      <c r="S168" s="926"/>
      <c r="T168" s="926"/>
      <c r="U168" s="926"/>
      <c r="V168" s="926"/>
      <c r="W168" s="926"/>
      <c r="X168" s="926"/>
      <c r="Y168" s="926"/>
      <c r="Z168" s="926"/>
      <c r="AA168" s="926"/>
      <c r="AB168" s="926"/>
      <c r="AC168" s="926"/>
      <c r="AD168" s="926"/>
      <c r="AE168" s="926"/>
      <c r="AF168" s="958"/>
      <c r="AG168" s="926"/>
      <c r="AH168" s="926"/>
      <c r="AI168" s="926"/>
      <c r="AJ168" s="926"/>
      <c r="AN168" s="994"/>
      <c r="AP168" s="1023" t="s">
        <v>1629</v>
      </c>
      <c r="AQ168" s="1024">
        <v>0</v>
      </c>
    </row>
    <row r="169" spans="1:81" s="937" customFormat="1" ht="12.75" customHeight="1">
      <c r="A169" s="982" t="s">
        <v>1630</v>
      </c>
      <c r="B169" s="982" t="s">
        <v>2221</v>
      </c>
      <c r="C169" s="1025"/>
      <c r="D169" s="1026"/>
      <c r="E169" s="1026"/>
      <c r="F169" s="1026"/>
      <c r="G169" s="1026"/>
      <c r="H169" s="1026"/>
      <c r="I169" s="1026"/>
      <c r="J169" s="1026"/>
      <c r="K169" s="921"/>
      <c r="L169" s="921"/>
      <c r="M169" s="921"/>
      <c r="N169" s="921"/>
      <c r="O169" s="921"/>
      <c r="P169" s="921"/>
      <c r="Q169" s="921"/>
      <c r="R169" s="921"/>
      <c r="S169" s="921"/>
      <c r="T169" s="921"/>
      <c r="U169" s="921"/>
      <c r="V169" s="921"/>
      <c r="W169" s="921"/>
      <c r="X169" s="921"/>
      <c r="Y169" s="1027"/>
      <c r="Z169" s="1027"/>
      <c r="AA169" s="1027"/>
      <c r="AB169" s="1027"/>
      <c r="AC169" s="921"/>
      <c r="AD169" s="921"/>
      <c r="AE169" s="3182" t="s">
        <v>1583</v>
      </c>
      <c r="AF169" s="3182"/>
      <c r="AG169" s="3182"/>
      <c r="AH169" s="3182"/>
      <c r="AI169" s="3182"/>
      <c r="AJ169" s="3182"/>
      <c r="AK169" s="3182"/>
      <c r="AL169" s="1595"/>
      <c r="AM169" s="1020"/>
      <c r="AN169" s="994"/>
      <c r="AP169" s="996" t="s">
        <v>1153</v>
      </c>
      <c r="AQ169" s="996">
        <v>10</v>
      </c>
    </row>
    <row r="170" spans="1:81" s="937" customFormat="1" ht="12.75" customHeight="1">
      <c r="A170" s="982"/>
      <c r="B170" s="1029"/>
      <c r="C170" s="1030"/>
      <c r="D170" s="1026"/>
      <c r="E170" s="1026"/>
      <c r="F170" s="1026"/>
      <c r="G170" s="1026"/>
      <c r="H170" s="921"/>
      <c r="I170" s="921"/>
      <c r="J170" s="921"/>
      <c r="K170" s="921"/>
      <c r="L170" s="921"/>
      <c r="M170" s="921"/>
      <c r="N170" s="921"/>
      <c r="O170" s="921"/>
      <c r="P170" s="921"/>
      <c r="Q170" s="921"/>
      <c r="R170" s="1027"/>
      <c r="S170" s="1027"/>
      <c r="T170" s="1027"/>
      <c r="U170" s="1027"/>
      <c r="V170" s="1027"/>
      <c r="W170" s="1027"/>
      <c r="X170" s="1027"/>
      <c r="Y170" s="1027"/>
      <c r="Z170" s="1027"/>
      <c r="AA170" s="1027"/>
      <c r="AB170" s="1027"/>
      <c r="AC170" s="1595"/>
      <c r="AD170" s="1595"/>
      <c r="AE170" s="921"/>
      <c r="AF170" s="921"/>
      <c r="AG170" s="921"/>
      <c r="AH170" s="921"/>
      <c r="AI170" s="921"/>
      <c r="AJ170" s="921"/>
      <c r="AK170" s="921"/>
      <c r="AL170" s="921"/>
      <c r="AM170" s="1020"/>
      <c r="AN170" s="994"/>
      <c r="AP170" s="937" t="s">
        <v>1631</v>
      </c>
      <c r="AQ170" s="937">
        <v>10</v>
      </c>
    </row>
    <row r="171" spans="1:81" s="937" customFormat="1" ht="12.75" customHeight="1">
      <c r="A171" s="921"/>
      <c r="B171" s="3274" t="s">
        <v>1153</v>
      </c>
      <c r="C171" s="3274"/>
      <c r="D171" s="3274"/>
      <c r="E171" s="3274"/>
      <c r="F171" s="3274"/>
      <c r="G171" s="3274"/>
      <c r="H171" s="3274"/>
      <c r="I171" s="3274"/>
      <c r="J171" s="3274"/>
      <c r="K171" s="3274"/>
      <c r="L171" s="3274"/>
      <c r="M171" s="3274"/>
      <c r="N171" s="3274"/>
      <c r="O171" s="3274"/>
      <c r="P171" s="3274"/>
      <c r="Q171" s="3274"/>
      <c r="R171" s="3274"/>
      <c r="S171" s="3274"/>
      <c r="T171" s="3274"/>
      <c r="U171" s="3274"/>
      <c r="V171" s="3274"/>
      <c r="W171" s="3274"/>
      <c r="X171" s="3274"/>
      <c r="Y171" s="3274"/>
      <c r="Z171" s="3274"/>
      <c r="AA171" s="3274"/>
      <c r="AB171" s="3274"/>
      <c r="AC171" s="3274"/>
      <c r="AD171" s="1017"/>
      <c r="AE171" s="1017"/>
      <c r="AF171" s="3217" t="s">
        <v>1632</v>
      </c>
      <c r="AG171" s="3217"/>
      <c r="AH171" s="3217"/>
      <c r="AI171" s="3217"/>
      <c r="AJ171" s="3217"/>
      <c r="AK171" s="3217"/>
      <c r="AL171" s="3217"/>
      <c r="AN171" s="994"/>
      <c r="AP171" s="937" t="s">
        <v>1155</v>
      </c>
      <c r="AQ171" s="937">
        <v>10</v>
      </c>
    </row>
    <row r="172" spans="1:81" s="937" customFormat="1" ht="12.75" customHeight="1">
      <c r="A172" s="921"/>
      <c r="B172" s="3275" t="s">
        <v>2220</v>
      </c>
      <c r="C172" s="3275"/>
      <c r="D172" s="3275"/>
      <c r="E172" s="3275"/>
      <c r="F172" s="3275"/>
      <c r="G172" s="3275"/>
      <c r="H172" s="3275"/>
      <c r="I172" s="3275"/>
      <c r="J172" s="3275"/>
      <c r="K172" s="3275"/>
      <c r="L172" s="3275"/>
      <c r="M172" s="3275"/>
      <c r="N172" s="3275"/>
      <c r="O172" s="3275"/>
      <c r="P172" s="3275"/>
      <c r="Q172" s="3275"/>
      <c r="R172" s="3275"/>
      <c r="S172" s="3275"/>
      <c r="T172" s="3276" t="s">
        <v>626</v>
      </c>
      <c r="U172" s="3276"/>
      <c r="V172" s="3276"/>
      <c r="W172" s="3276"/>
      <c r="X172" s="3276"/>
      <c r="Y172" s="3276"/>
      <c r="Z172" s="3276"/>
      <c r="AA172" s="3276"/>
      <c r="AB172" s="3276"/>
      <c r="AC172" s="3276"/>
      <c r="AD172" s="1000"/>
      <c r="AE172" s="1000"/>
      <c r="AF172" s="1000"/>
      <c r="AG172" s="1000"/>
      <c r="AH172" s="1000"/>
      <c r="AI172" s="1000"/>
      <c r="AJ172" s="1784"/>
      <c r="AK172" s="999"/>
      <c r="AL172" s="999"/>
      <c r="AM172" s="999"/>
      <c r="AN172" s="994"/>
      <c r="AP172" s="937" t="s">
        <v>1154</v>
      </c>
      <c r="AQ172" s="937">
        <v>10</v>
      </c>
      <c r="AS172" s="937" t="s">
        <v>626</v>
      </c>
    </row>
    <row r="173" spans="1:81" s="1020" customFormat="1" ht="12.75" customHeight="1">
      <c r="A173" s="1000"/>
      <c r="B173" s="1010"/>
      <c r="C173" s="1010"/>
      <c r="D173" s="1010"/>
      <c r="E173" s="1010"/>
      <c r="F173" s="1010"/>
      <c r="G173" s="1010"/>
      <c r="H173" s="1010"/>
      <c r="I173" s="1010"/>
      <c r="J173" s="1010"/>
      <c r="K173" s="1010"/>
      <c r="L173" s="1010"/>
      <c r="M173" s="1010"/>
      <c r="N173" s="1010"/>
      <c r="O173" s="1010"/>
      <c r="P173" s="1010"/>
      <c r="Q173" s="1010"/>
      <c r="R173" s="1010"/>
      <c r="S173" s="1010"/>
      <c r="T173" s="1010"/>
      <c r="U173" s="1010"/>
      <c r="V173" s="1010"/>
      <c r="W173" s="1010"/>
      <c r="X173" s="1010"/>
      <c r="Y173" s="1010"/>
      <c r="Z173" s="1010"/>
      <c r="AA173" s="1010"/>
      <c r="AB173" s="1010"/>
      <c r="AC173" s="1010"/>
      <c r="AD173" s="1010"/>
      <c r="AE173" s="1000"/>
      <c r="AF173" s="1000"/>
      <c r="AG173" s="1000"/>
      <c r="AH173" s="1000"/>
      <c r="AI173" s="1000"/>
      <c r="AJ173" s="1774"/>
      <c r="AK173" s="999"/>
      <c r="AL173" s="999"/>
      <c r="AM173" s="1032"/>
      <c r="AP173" s="937" t="s">
        <v>1633</v>
      </c>
      <c r="AQ173" s="937">
        <v>10</v>
      </c>
      <c r="AS173" s="937" t="s">
        <v>1634</v>
      </c>
    </row>
    <row r="174" spans="1:81" s="937" customFormat="1" ht="12.75" customHeight="1">
      <c r="A174" s="1011"/>
      <c r="B174" s="1012"/>
      <c r="C174" s="1012"/>
      <c r="D174" s="1012"/>
      <c r="E174" s="1012"/>
      <c r="F174" s="1012"/>
      <c r="G174" s="1012"/>
      <c r="H174" s="1012"/>
      <c r="I174" s="1012"/>
      <c r="J174" s="1012"/>
      <c r="K174" s="1012"/>
      <c r="L174" s="1012"/>
      <c r="M174" s="1012"/>
      <c r="N174" s="1012"/>
      <c r="O174" s="1012"/>
      <c r="P174" s="1012"/>
      <c r="Q174" s="1012"/>
      <c r="R174" s="1012"/>
      <c r="S174" s="1012"/>
      <c r="T174" s="1012"/>
      <c r="U174" s="1012"/>
      <c r="V174" s="1012"/>
      <c r="W174" s="1012"/>
      <c r="X174" s="1012"/>
      <c r="Y174" s="1012"/>
      <c r="Z174" s="1012"/>
      <c r="AA174" s="1012"/>
      <c r="AB174" s="1012"/>
      <c r="AC174" s="1012"/>
      <c r="AD174" s="1012"/>
      <c r="AE174" s="1012"/>
      <c r="AF174" s="1012"/>
      <c r="AG174" s="1012"/>
      <c r="AH174" s="1012"/>
      <c r="AI174" s="953"/>
      <c r="AJ174" s="953" t="s">
        <v>1635</v>
      </c>
      <c r="AK174" s="3100">
        <f>IF(AK72&gt;0,VLOOKUP($B$171,AP168:AQ175,2,FALSE),0)</f>
        <v>10</v>
      </c>
      <c r="AL174" s="3101"/>
      <c r="AM174" s="3102"/>
      <c r="AN174" s="1033"/>
      <c r="AP174" s="937" t="s">
        <v>1636</v>
      </c>
      <c r="AQ174" s="937">
        <v>10</v>
      </c>
      <c r="AS174" s="937" t="s">
        <v>1637</v>
      </c>
    </row>
    <row r="175" spans="1:81" s="937" customFormat="1" ht="12.75" customHeight="1" thickBot="1">
      <c r="A175" s="1034"/>
      <c r="B175" s="1034"/>
      <c r="C175" s="1035"/>
      <c r="D175" s="1036"/>
      <c r="E175" s="1036"/>
      <c r="F175" s="1037"/>
      <c r="G175" s="1037"/>
      <c r="H175" s="1037"/>
      <c r="I175" s="1037"/>
      <c r="J175" s="1037"/>
      <c r="K175" s="1037"/>
      <c r="L175" s="1037"/>
      <c r="M175" s="1037"/>
      <c r="N175" s="1037"/>
      <c r="O175" s="1037"/>
      <c r="P175" s="1037"/>
      <c r="Q175" s="1037"/>
      <c r="R175" s="1037"/>
      <c r="S175" s="1037"/>
      <c r="T175" s="1037"/>
      <c r="U175" s="1037"/>
      <c r="V175" s="1037"/>
      <c r="W175" s="1037"/>
      <c r="X175" s="1037"/>
      <c r="Y175" s="1037"/>
      <c r="Z175" s="1037"/>
      <c r="AA175" s="1037"/>
      <c r="AB175" s="1037"/>
      <c r="AC175" s="1037"/>
      <c r="AD175" s="1037"/>
      <c r="AE175" s="1037"/>
      <c r="AF175" s="1037"/>
      <c r="AG175" s="1037"/>
      <c r="AH175" s="1037"/>
      <c r="AI175" s="1037"/>
      <c r="AJ175" s="1038"/>
      <c r="AK175" s="1038"/>
      <c r="AL175" s="1038"/>
      <c r="AM175" s="1038"/>
      <c r="AN175" s="994"/>
      <c r="AP175" s="996" t="s">
        <v>1638</v>
      </c>
      <c r="AQ175" s="996">
        <v>10</v>
      </c>
    </row>
    <row r="176" spans="1:81" s="937" customFormat="1" ht="12.75" customHeight="1" thickTop="1">
      <c r="A176" s="958"/>
      <c r="B176" s="959"/>
      <c r="C176" s="960"/>
      <c r="D176" s="960"/>
      <c r="E176" s="960"/>
      <c r="F176" s="960"/>
      <c r="G176" s="960"/>
      <c r="H176" s="960"/>
      <c r="I176" s="961"/>
      <c r="J176" s="961"/>
      <c r="K176" s="961"/>
      <c r="L176" s="961"/>
      <c r="M176" s="961"/>
      <c r="N176" s="961"/>
      <c r="O176" s="961"/>
      <c r="P176" s="961"/>
      <c r="Q176" s="961"/>
      <c r="R176" s="958"/>
      <c r="S176" s="926"/>
      <c r="T176" s="926"/>
      <c r="U176" s="926"/>
      <c r="V176" s="926"/>
      <c r="W176" s="926"/>
      <c r="X176" s="926"/>
      <c r="Y176" s="926"/>
      <c r="Z176" s="926"/>
      <c r="AA176" s="926"/>
      <c r="AB176" s="926"/>
      <c r="AC176" s="926"/>
      <c r="AD176" s="926"/>
      <c r="AE176" s="926"/>
      <c r="AF176" s="958"/>
      <c r="AG176" s="926"/>
      <c r="AH176" s="926"/>
      <c r="AI176" s="926"/>
      <c r="AJ176" s="926"/>
      <c r="AM176" s="1019"/>
      <c r="AN176" s="994"/>
    </row>
    <row r="177" spans="1:37">
      <c r="A177" s="982" t="s">
        <v>1639</v>
      </c>
      <c r="B177" s="982" t="s">
        <v>1640</v>
      </c>
      <c r="C177" s="1025"/>
      <c r="D177" s="1026"/>
      <c r="E177" s="1026"/>
      <c r="F177" s="1026"/>
      <c r="G177" s="1026"/>
      <c r="H177" s="1026"/>
      <c r="I177" s="1026"/>
      <c r="J177" s="1026"/>
      <c r="K177" s="937"/>
      <c r="L177" s="937"/>
      <c r="M177" s="937"/>
      <c r="N177" s="937"/>
      <c r="O177" s="937"/>
      <c r="P177" s="937"/>
      <c r="Q177" s="937"/>
      <c r="R177" s="937"/>
      <c r="S177" s="937"/>
      <c r="T177" s="937"/>
      <c r="U177" s="937"/>
      <c r="V177" s="937"/>
      <c r="W177" s="937"/>
      <c r="X177" s="937"/>
      <c r="Y177" s="1027"/>
      <c r="Z177" s="1027"/>
      <c r="AA177" s="1027"/>
      <c r="AB177" s="1027"/>
      <c r="AC177" s="937"/>
      <c r="AD177" s="937"/>
      <c r="AE177" s="3182" t="s">
        <v>1641</v>
      </c>
      <c r="AF177" s="3182"/>
      <c r="AG177" s="3182"/>
      <c r="AH177" s="3182"/>
      <c r="AI177" s="3182"/>
      <c r="AJ177" s="3182"/>
      <c r="AK177" s="3182"/>
    </row>
    <row r="178" spans="1:37">
      <c r="A178" s="982"/>
      <c r="B178" s="982"/>
      <c r="C178" s="1025"/>
      <c r="D178" s="1026"/>
      <c r="E178" s="1026"/>
      <c r="F178" s="1026"/>
      <c r="G178" s="1026"/>
      <c r="H178" s="1026"/>
      <c r="I178" s="1026"/>
      <c r="J178" s="1026"/>
      <c r="K178" s="921"/>
      <c r="L178" s="921"/>
      <c r="M178" s="921"/>
      <c r="N178" s="921"/>
      <c r="O178" s="921"/>
      <c r="P178" s="921"/>
      <c r="Q178" s="921"/>
      <c r="R178" s="921"/>
      <c r="S178" s="921"/>
      <c r="T178" s="921"/>
      <c r="U178" s="921"/>
      <c r="V178" s="921"/>
      <c r="W178" s="921"/>
      <c r="X178" s="921"/>
      <c r="Y178" s="1027"/>
      <c r="Z178" s="1027"/>
      <c r="AA178" s="1027"/>
      <c r="AB178" s="1027"/>
      <c r="AC178" s="921"/>
      <c r="AD178" s="921"/>
      <c r="AE178" s="1031"/>
      <c r="AF178" s="1031"/>
      <c r="AG178" s="1031"/>
      <c r="AH178" s="1031"/>
      <c r="AI178" s="1031"/>
      <c r="AJ178" s="1031"/>
      <c r="AK178" s="1031"/>
    </row>
    <row r="179" spans="1:37">
      <c r="A179" s="982"/>
      <c r="B179" s="1389" t="s">
        <v>1891</v>
      </c>
      <c r="C179" s="1025"/>
      <c r="D179" s="1026"/>
      <c r="E179" s="1026"/>
      <c r="F179" s="1026"/>
      <c r="G179" s="1026"/>
      <c r="H179" s="1026"/>
      <c r="I179" s="1026"/>
      <c r="J179" s="1026"/>
      <c r="K179" s="921"/>
      <c r="L179" s="921"/>
      <c r="M179" s="921"/>
      <c r="N179" s="921"/>
      <c r="O179" s="921"/>
      <c r="P179" s="921"/>
      <c r="Q179" s="921"/>
      <c r="R179" s="921"/>
      <c r="S179" s="921"/>
      <c r="T179" s="921"/>
      <c r="U179" s="921"/>
      <c r="V179" s="921"/>
      <c r="W179" s="921"/>
      <c r="X179" s="921"/>
      <c r="Y179" s="1027"/>
      <c r="Z179" s="1027"/>
      <c r="AA179" s="1027"/>
      <c r="AB179" s="1027"/>
      <c r="AC179" s="921"/>
      <c r="AD179" s="921"/>
      <c r="AE179" s="1031"/>
      <c r="AF179" s="1031"/>
      <c r="AG179" s="1031"/>
      <c r="AH179" s="1031"/>
      <c r="AI179" s="1031"/>
      <c r="AJ179" s="1031"/>
      <c r="AK179" s="1031"/>
    </row>
    <row r="180" spans="1:37">
      <c r="A180" s="1010"/>
      <c r="B180" s="112"/>
      <c r="C180" s="1100"/>
      <c r="D180" s="1365"/>
      <c r="E180" s="1365"/>
      <c r="F180" s="1365"/>
      <c r="G180" s="1365"/>
      <c r="H180" s="1365"/>
      <c r="I180" s="1365"/>
      <c r="J180" s="1365"/>
      <c r="K180" s="921"/>
      <c r="L180" s="921"/>
      <c r="M180" s="921"/>
      <c r="N180" s="921"/>
      <c r="O180" s="921"/>
      <c r="P180" s="921"/>
      <c r="Q180" s="921"/>
      <c r="R180" s="921"/>
      <c r="S180" s="921"/>
      <c r="T180" s="921"/>
      <c r="U180" s="921"/>
      <c r="V180" s="921"/>
      <c r="W180" s="921"/>
      <c r="X180" s="921"/>
      <c r="Y180" s="1074"/>
      <c r="Z180" s="1074"/>
      <c r="AA180" s="1074"/>
      <c r="AB180" s="1074"/>
      <c r="AC180" s="921"/>
      <c r="AD180" s="921"/>
      <c r="AE180" s="1018"/>
      <c r="AF180" s="1018"/>
      <c r="AG180" s="1018"/>
      <c r="AH180" s="1018"/>
      <c r="AI180" s="1018"/>
      <c r="AJ180" s="1018"/>
      <c r="AK180" s="1018"/>
    </row>
    <row r="181" spans="1:37">
      <c r="A181" s="1010"/>
      <c r="B181" s="1390" t="s">
        <v>1927</v>
      </c>
      <c r="C181" s="1100"/>
      <c r="D181" s="1365"/>
      <c r="E181" s="1365"/>
      <c r="F181" s="1365"/>
      <c r="G181" s="1365"/>
      <c r="H181" s="1365"/>
      <c r="I181" s="1365"/>
      <c r="J181" s="1365"/>
      <c r="K181" s="921"/>
      <c r="L181" s="921"/>
      <c r="M181" s="921"/>
      <c r="N181" s="921"/>
      <c r="O181" s="921"/>
      <c r="P181" s="921"/>
      <c r="Q181" s="921"/>
      <c r="R181" s="921"/>
      <c r="S181" s="921"/>
      <c r="T181" s="921"/>
      <c r="U181" s="921"/>
      <c r="V181" s="921"/>
      <c r="W181" s="921"/>
      <c r="X181" s="921"/>
      <c r="Y181" s="1074"/>
      <c r="Z181" s="1074"/>
      <c r="AA181" s="1074"/>
      <c r="AB181" s="1074"/>
      <c r="AC181" s="921"/>
      <c r="AD181" s="921"/>
      <c r="AE181" s="1018"/>
      <c r="AF181" s="1018"/>
      <c r="AG181" s="1018"/>
      <c r="AH181" s="1018"/>
      <c r="AI181" s="1018"/>
      <c r="AJ181" s="1018"/>
      <c r="AK181" s="1018"/>
    </row>
    <row r="182" spans="1:37">
      <c r="A182" s="1010"/>
      <c r="B182" s="3268" t="str">
        <f>+Application!C639</f>
        <v xml:space="preserve">SHRA/City of Sacramento Loan </v>
      </c>
      <c r="C182" s="3268"/>
      <c r="D182" s="3268"/>
      <c r="E182" s="3268"/>
      <c r="F182" s="3268"/>
      <c r="G182" s="3268"/>
      <c r="H182" s="3268"/>
      <c r="I182" s="3268"/>
      <c r="J182" s="3268"/>
      <c r="K182" s="3268"/>
      <c r="L182" s="3268"/>
      <c r="M182" s="3268"/>
      <c r="N182" s="3268"/>
      <c r="O182" s="3268"/>
      <c r="P182" s="3268"/>
      <c r="Q182" s="3268"/>
      <c r="R182" s="3268"/>
      <c r="S182" s="3268"/>
      <c r="T182" s="3268"/>
      <c r="U182" s="3268"/>
      <c r="V182" s="3268"/>
      <c r="W182" s="3268"/>
      <c r="X182" s="3268"/>
      <c r="Y182" s="3268"/>
      <c r="Z182" s="3268"/>
      <c r="AA182" s="3268"/>
      <c r="AB182" s="3268"/>
      <c r="AC182" s="1391"/>
      <c r="AD182" s="3258">
        <f>+Application!AO639</f>
        <v>10000000</v>
      </c>
      <c r="AE182" s="3258"/>
      <c r="AF182" s="3258"/>
      <c r="AG182" s="3258"/>
      <c r="AH182" s="3258"/>
      <c r="AI182" s="3258"/>
      <c r="AJ182" s="3258"/>
      <c r="AK182" s="1018"/>
    </row>
    <row r="183" spans="1:37">
      <c r="A183" s="1010"/>
      <c r="B183" s="3268"/>
      <c r="C183" s="3268"/>
      <c r="D183" s="3268"/>
      <c r="E183" s="3268"/>
      <c r="F183" s="3268"/>
      <c r="G183" s="3268"/>
      <c r="H183" s="3268"/>
      <c r="I183" s="3268"/>
      <c r="J183" s="3268"/>
      <c r="K183" s="3268"/>
      <c r="L183" s="3268"/>
      <c r="M183" s="3268"/>
      <c r="N183" s="3268"/>
      <c r="O183" s="3268"/>
      <c r="P183" s="3268"/>
      <c r="Q183" s="3268"/>
      <c r="R183" s="3268"/>
      <c r="S183" s="3268"/>
      <c r="T183" s="3268"/>
      <c r="U183" s="3268"/>
      <c r="V183" s="3268"/>
      <c r="W183" s="3268"/>
      <c r="X183" s="3268"/>
      <c r="Y183" s="3268"/>
      <c r="Z183" s="3268"/>
      <c r="AA183" s="3268"/>
      <c r="AB183" s="3268"/>
      <c r="AC183" s="1391"/>
      <c r="AD183" s="3258"/>
      <c r="AE183" s="3258"/>
      <c r="AF183" s="3258"/>
      <c r="AG183" s="3258"/>
      <c r="AH183" s="3258"/>
      <c r="AI183" s="3258"/>
      <c r="AJ183" s="3258"/>
      <c r="AK183" s="1018"/>
    </row>
    <row r="184" spans="1:37">
      <c r="A184" s="1010"/>
      <c r="B184" s="3268"/>
      <c r="C184" s="3268"/>
      <c r="D184" s="3268"/>
      <c r="E184" s="3268"/>
      <c r="F184" s="3268"/>
      <c r="G184" s="3268"/>
      <c r="H184" s="3268"/>
      <c r="I184" s="3268"/>
      <c r="J184" s="3268"/>
      <c r="K184" s="3268"/>
      <c r="L184" s="3268"/>
      <c r="M184" s="3268"/>
      <c r="N184" s="3268"/>
      <c r="O184" s="3268"/>
      <c r="P184" s="3268"/>
      <c r="Q184" s="3268"/>
      <c r="R184" s="3268"/>
      <c r="S184" s="3268"/>
      <c r="T184" s="3268"/>
      <c r="U184" s="3268"/>
      <c r="V184" s="3268"/>
      <c r="W184" s="3268"/>
      <c r="X184" s="3268"/>
      <c r="Y184" s="3268"/>
      <c r="Z184" s="3268"/>
      <c r="AA184" s="3268"/>
      <c r="AB184" s="3268"/>
      <c r="AC184" s="1391"/>
      <c r="AD184" s="3258"/>
      <c r="AE184" s="3258"/>
      <c r="AF184" s="3258"/>
      <c r="AG184" s="3258"/>
      <c r="AH184" s="3258"/>
      <c r="AI184" s="3258"/>
      <c r="AJ184" s="3258"/>
      <c r="AK184" s="1018"/>
    </row>
    <row r="185" spans="1:37">
      <c r="A185" s="1010"/>
      <c r="B185" s="3268"/>
      <c r="C185" s="3268"/>
      <c r="D185" s="3268"/>
      <c r="E185" s="3268"/>
      <c r="F185" s="3268"/>
      <c r="G185" s="3268"/>
      <c r="H185" s="3268"/>
      <c r="I185" s="3268"/>
      <c r="J185" s="3268"/>
      <c r="K185" s="3268"/>
      <c r="L185" s="3268"/>
      <c r="M185" s="3268"/>
      <c r="N185" s="3268"/>
      <c r="O185" s="3268"/>
      <c r="P185" s="3268"/>
      <c r="Q185" s="3268"/>
      <c r="R185" s="3268"/>
      <c r="S185" s="3268"/>
      <c r="T185" s="3268"/>
      <c r="U185" s="3268"/>
      <c r="V185" s="3268"/>
      <c r="W185" s="3268"/>
      <c r="X185" s="3268"/>
      <c r="Y185" s="3268"/>
      <c r="Z185" s="3268"/>
      <c r="AA185" s="3268"/>
      <c r="AB185" s="3268"/>
      <c r="AC185" s="1391"/>
      <c r="AD185" s="3258"/>
      <c r="AE185" s="3258"/>
      <c r="AF185" s="3258"/>
      <c r="AG185" s="3258"/>
      <c r="AH185" s="3258"/>
      <c r="AI185" s="3258"/>
      <c r="AJ185" s="3258"/>
      <c r="AK185" s="1018"/>
    </row>
    <row r="186" spans="1:37">
      <c r="A186" s="1010"/>
      <c r="B186" s="3268"/>
      <c r="C186" s="3268"/>
      <c r="D186" s="3268"/>
      <c r="E186" s="3268"/>
      <c r="F186" s="3268"/>
      <c r="G186" s="3268"/>
      <c r="H186" s="3268"/>
      <c r="I186" s="3268"/>
      <c r="J186" s="3268"/>
      <c r="K186" s="3268"/>
      <c r="L186" s="3268"/>
      <c r="M186" s="3268"/>
      <c r="N186" s="3268"/>
      <c r="O186" s="3268"/>
      <c r="P186" s="3268"/>
      <c r="Q186" s="3268"/>
      <c r="R186" s="3268"/>
      <c r="S186" s="3268"/>
      <c r="T186" s="3268"/>
      <c r="U186" s="3268"/>
      <c r="V186" s="3268"/>
      <c r="W186" s="3268"/>
      <c r="X186" s="3268"/>
      <c r="Y186" s="3268"/>
      <c r="Z186" s="3268"/>
      <c r="AA186" s="3268"/>
      <c r="AB186" s="3268"/>
      <c r="AC186" s="1391"/>
      <c r="AD186" s="3258"/>
      <c r="AE186" s="3258"/>
      <c r="AF186" s="3258"/>
      <c r="AG186" s="3258"/>
      <c r="AH186" s="3258"/>
      <c r="AI186" s="3258"/>
      <c r="AJ186" s="3258"/>
      <c r="AK186" s="1018"/>
    </row>
    <row r="187" spans="1:37">
      <c r="A187" s="1010"/>
      <c r="B187" s="3268"/>
      <c r="C187" s="3268"/>
      <c r="D187" s="3268"/>
      <c r="E187" s="3268"/>
      <c r="F187" s="3268"/>
      <c r="G187" s="3268"/>
      <c r="H187" s="3268"/>
      <c r="I187" s="3268"/>
      <c r="J187" s="3268"/>
      <c r="K187" s="3268"/>
      <c r="L187" s="3268"/>
      <c r="M187" s="3268"/>
      <c r="N187" s="3268"/>
      <c r="O187" s="3268"/>
      <c r="P187" s="3268"/>
      <c r="Q187" s="3268"/>
      <c r="R187" s="3268"/>
      <c r="S187" s="3268"/>
      <c r="T187" s="3268"/>
      <c r="U187" s="3268"/>
      <c r="V187" s="3268"/>
      <c r="W187" s="3268"/>
      <c r="X187" s="3268"/>
      <c r="Y187" s="3268"/>
      <c r="Z187" s="3268"/>
      <c r="AA187" s="3268"/>
      <c r="AB187" s="3268"/>
      <c r="AC187" s="1391"/>
      <c r="AD187" s="3258"/>
      <c r="AE187" s="3258"/>
      <c r="AF187" s="3258"/>
      <c r="AG187" s="3258"/>
      <c r="AH187" s="3258"/>
      <c r="AI187" s="3258"/>
      <c r="AJ187" s="3258"/>
      <c r="AK187" s="1018"/>
    </row>
    <row r="188" spans="1:37">
      <c r="A188" s="1010"/>
      <c r="B188" s="3268"/>
      <c r="C188" s="3268"/>
      <c r="D188" s="3268"/>
      <c r="E188" s="3268"/>
      <c r="F188" s="3268"/>
      <c r="G188" s="3268"/>
      <c r="H188" s="3268"/>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1391"/>
      <c r="AD188" s="3258"/>
      <c r="AE188" s="3258"/>
      <c r="AF188" s="3258"/>
      <c r="AG188" s="3258"/>
      <c r="AH188" s="3258"/>
      <c r="AI188" s="3258"/>
      <c r="AJ188" s="3258"/>
      <c r="AK188" s="1018"/>
    </row>
    <row r="189" spans="1:37">
      <c r="A189" s="1010"/>
      <c r="B189" s="3268"/>
      <c r="C189" s="3268"/>
      <c r="D189" s="3268"/>
      <c r="E189" s="3268"/>
      <c r="F189" s="3268"/>
      <c r="G189" s="3268"/>
      <c r="H189" s="3268"/>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1391"/>
      <c r="AD189" s="3258"/>
      <c r="AE189" s="3258"/>
      <c r="AF189" s="3258"/>
      <c r="AG189" s="3258"/>
      <c r="AH189" s="3258"/>
      <c r="AI189" s="3258"/>
      <c r="AJ189" s="3258"/>
      <c r="AK189" s="1018"/>
    </row>
    <row r="190" spans="1:37">
      <c r="A190" s="1010"/>
      <c r="B190" s="3268"/>
      <c r="C190" s="3268"/>
      <c r="D190" s="3268"/>
      <c r="E190" s="3268"/>
      <c r="F190" s="3268"/>
      <c r="G190" s="3268"/>
      <c r="H190" s="3268"/>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1391"/>
      <c r="AD190" s="3258"/>
      <c r="AE190" s="3258"/>
      <c r="AF190" s="3258"/>
      <c r="AG190" s="3258"/>
      <c r="AH190" s="3258"/>
      <c r="AI190" s="3258"/>
      <c r="AJ190" s="3258"/>
      <c r="AK190" s="1018"/>
    </row>
    <row r="191" spans="1:37">
      <c r="A191" s="1010"/>
      <c r="B191" s="3268"/>
      <c r="C191" s="3268"/>
      <c r="D191" s="3268"/>
      <c r="E191" s="3268"/>
      <c r="F191" s="3268"/>
      <c r="G191" s="3268"/>
      <c r="H191" s="3268"/>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1391"/>
      <c r="AD191" s="3258"/>
      <c r="AE191" s="3258"/>
      <c r="AF191" s="3258"/>
      <c r="AG191" s="3258"/>
      <c r="AH191" s="3258"/>
      <c r="AI191" s="3258"/>
      <c r="AJ191" s="3258"/>
      <c r="AK191" s="1018"/>
    </row>
    <row r="192" spans="1:37">
      <c r="A192" s="1010"/>
      <c r="B192" s="3122" t="s">
        <v>1929</v>
      </c>
      <c r="C192" s="3122"/>
      <c r="D192" s="3122"/>
      <c r="E192" s="3122"/>
      <c r="F192" s="3122"/>
      <c r="G192" s="3122"/>
      <c r="H192" s="3122"/>
      <c r="I192" s="3122"/>
      <c r="J192" s="3122"/>
      <c r="K192" s="3122"/>
      <c r="L192" s="3122"/>
      <c r="M192" s="3122"/>
      <c r="N192" s="3122"/>
      <c r="O192" s="3122"/>
      <c r="P192" s="3122"/>
      <c r="Q192" s="3122"/>
      <c r="R192" s="3122"/>
      <c r="S192" s="3122"/>
      <c r="T192" s="3122"/>
      <c r="U192" s="3122"/>
      <c r="V192" s="3122"/>
      <c r="W192" s="3122"/>
      <c r="X192" s="3122"/>
      <c r="Y192" s="3122"/>
      <c r="Z192" s="3122"/>
      <c r="AA192" s="3122"/>
      <c r="AB192" s="3122"/>
      <c r="AC192" s="921"/>
      <c r="AD192" s="3256">
        <f>AB243</f>
        <v>0</v>
      </c>
      <c r="AE192" s="3256"/>
      <c r="AF192" s="3256"/>
      <c r="AG192" s="3256"/>
      <c r="AH192" s="3256"/>
      <c r="AI192" s="3256"/>
      <c r="AJ192" s="3256"/>
      <c r="AK192" s="1018"/>
    </row>
    <row r="193" spans="1:37">
      <c r="A193" s="1010"/>
      <c r="B193" s="3120" t="s">
        <v>1892</v>
      </c>
      <c r="C193" s="3120"/>
      <c r="D193" s="3120"/>
      <c r="E193" s="3120"/>
      <c r="F193" s="3120"/>
      <c r="G193" s="3120"/>
      <c r="H193" s="3120"/>
      <c r="I193" s="3120"/>
      <c r="J193" s="3120"/>
      <c r="K193" s="3120"/>
      <c r="L193" s="3120"/>
      <c r="M193" s="3120"/>
      <c r="N193" s="3120"/>
      <c r="O193" s="3120"/>
      <c r="P193" s="3120"/>
      <c r="Q193" s="3120"/>
      <c r="R193" s="3120"/>
      <c r="S193" s="3120"/>
      <c r="T193" s="3120"/>
      <c r="U193" s="3120"/>
      <c r="V193" s="3120"/>
      <c r="W193" s="3120"/>
      <c r="X193" s="3120"/>
      <c r="Y193" s="3120"/>
      <c r="Z193" s="3120"/>
      <c r="AA193" s="3120"/>
      <c r="AB193" s="3120"/>
      <c r="AC193" s="1391"/>
      <c r="AD193" s="3257">
        <f>'Sources and Uses Budget'!B15</f>
        <v>0</v>
      </c>
      <c r="AE193" s="3257"/>
      <c r="AF193" s="3257"/>
      <c r="AG193" s="3257"/>
      <c r="AH193" s="3257"/>
      <c r="AI193" s="3257"/>
      <c r="AJ193" s="3257"/>
      <c r="AK193" s="1018"/>
    </row>
    <row r="194" spans="1:37">
      <c r="A194" s="1010"/>
      <c r="B194" s="821"/>
      <c r="C194" s="821"/>
      <c r="D194" s="821"/>
      <c r="E194" s="821"/>
      <c r="F194" s="821"/>
      <c r="G194" s="821"/>
      <c r="H194" s="821"/>
      <c r="I194" s="821"/>
      <c r="J194" s="821"/>
      <c r="K194" s="821"/>
      <c r="L194" s="821"/>
      <c r="M194" s="821"/>
      <c r="N194" s="821"/>
      <c r="O194" s="821"/>
      <c r="P194" s="821"/>
      <c r="Q194" s="821"/>
      <c r="R194" s="821"/>
      <c r="S194" s="821"/>
      <c r="T194" s="821"/>
      <c r="U194" s="821"/>
      <c r="V194" s="821"/>
      <c r="W194" s="821"/>
      <c r="X194" s="821"/>
      <c r="Y194" s="821"/>
      <c r="Z194" s="821"/>
      <c r="AA194" s="821"/>
      <c r="AB194" s="1404" t="s">
        <v>966</v>
      </c>
      <c r="AC194" s="921"/>
      <c r="AD194" s="3262">
        <f>SUM(AD182:AJ192)-AD193</f>
        <v>10000000</v>
      </c>
      <c r="AE194" s="3262"/>
      <c r="AF194" s="3262"/>
      <c r="AG194" s="3262"/>
      <c r="AH194" s="3262"/>
      <c r="AI194" s="3262"/>
      <c r="AJ194" s="3262"/>
      <c r="AK194" s="1018"/>
    </row>
    <row r="195" spans="1:37">
      <c r="A195" s="1010"/>
      <c r="B195" s="1010"/>
      <c r="C195" s="1100"/>
      <c r="D195" s="1365"/>
      <c r="E195" s="1365"/>
      <c r="F195" s="1365"/>
      <c r="G195" s="1365"/>
      <c r="H195" s="1365"/>
      <c r="I195" s="1365"/>
      <c r="J195" s="1365"/>
      <c r="K195" s="921"/>
      <c r="L195" s="921"/>
      <c r="M195" s="921"/>
      <c r="N195" s="921"/>
      <c r="O195" s="921"/>
      <c r="P195" s="921"/>
      <c r="Q195" s="921"/>
      <c r="R195" s="921"/>
      <c r="S195" s="921"/>
      <c r="T195" s="921"/>
      <c r="U195" s="921"/>
      <c r="V195" s="921"/>
      <c r="W195" s="921"/>
      <c r="X195" s="921"/>
      <c r="Y195" s="1074"/>
      <c r="Z195" s="1074"/>
      <c r="AA195" s="1074"/>
      <c r="AB195" s="1074"/>
      <c r="AC195" s="921"/>
      <c r="AD195" s="921"/>
      <c r="AE195" s="1018"/>
      <c r="AF195" s="1018"/>
      <c r="AG195" s="1018"/>
      <c r="AH195" s="1018"/>
      <c r="AI195" s="1018"/>
      <c r="AJ195" s="1018"/>
      <c r="AK195" s="1018"/>
    </row>
    <row r="196" spans="1:37">
      <c r="A196" s="1010"/>
      <c r="B196" s="1374" t="s">
        <v>1897</v>
      </c>
      <c r="C196" s="1100"/>
      <c r="D196" s="1365"/>
      <c r="E196" s="1365"/>
      <c r="F196" s="1365"/>
      <c r="G196" s="1365"/>
      <c r="H196" s="1365"/>
      <c r="I196" s="1365"/>
      <c r="J196" s="1365"/>
      <c r="K196" s="921"/>
      <c r="L196" s="921"/>
      <c r="M196" s="921"/>
      <c r="N196" s="921"/>
      <c r="O196" s="921"/>
      <c r="P196" s="921"/>
      <c r="Q196" s="921"/>
      <c r="R196" s="921"/>
      <c r="S196" s="921"/>
      <c r="T196" s="921"/>
      <c r="U196" s="921"/>
      <c r="V196" s="921"/>
      <c r="W196" s="921"/>
      <c r="X196" s="921"/>
      <c r="Y196" s="1074"/>
      <c r="Z196" s="1074"/>
      <c r="AA196" s="1074"/>
      <c r="AB196" s="1074"/>
      <c r="AC196" s="921"/>
      <c r="AD196" s="921"/>
      <c r="AE196" s="1018"/>
      <c r="AF196" s="1018"/>
      <c r="AG196" s="1018"/>
      <c r="AH196" s="1018"/>
      <c r="AI196" s="1018"/>
      <c r="AJ196" s="1018"/>
      <c r="AK196" s="1018"/>
    </row>
    <row r="197" spans="1:37">
      <c r="A197" s="1010"/>
      <c r="B197" s="992" t="s">
        <v>1928</v>
      </c>
      <c r="C197" s="1100"/>
      <c r="D197" s="1365"/>
      <c r="E197" s="1365"/>
      <c r="F197" s="1365"/>
      <c r="G197" s="1365"/>
      <c r="H197" s="1365"/>
      <c r="I197" s="1365"/>
      <c r="J197" s="1365"/>
      <c r="K197" s="921"/>
      <c r="L197" s="921"/>
      <c r="M197" s="921"/>
      <c r="N197" s="921"/>
      <c r="O197" s="921"/>
      <c r="P197" s="921"/>
      <c r="Q197" s="921"/>
      <c r="R197" s="921"/>
      <c r="S197" s="921"/>
      <c r="T197" s="921"/>
      <c r="U197" s="921"/>
      <c r="V197" s="921"/>
      <c r="W197" s="921"/>
      <c r="X197" s="921"/>
      <c r="Y197" s="1074"/>
      <c r="Z197" s="1074"/>
      <c r="AA197" s="1074"/>
      <c r="AB197" s="1074"/>
      <c r="AC197" s="921"/>
      <c r="AD197" s="921"/>
      <c r="AE197" s="1018"/>
      <c r="AF197" s="1018"/>
      <c r="AG197" s="1018"/>
      <c r="AH197" s="1018"/>
      <c r="AI197" s="1018"/>
      <c r="AJ197" s="1018"/>
      <c r="AK197" s="1018"/>
    </row>
    <row r="198" spans="1:37">
      <c r="A198" s="1401"/>
      <c r="B198" s="1491" t="s">
        <v>1899</v>
      </c>
      <c r="C198" s="1492"/>
      <c r="D198" s="1493"/>
      <c r="E198" s="1493"/>
      <c r="F198" s="1493"/>
      <c r="G198" s="1493"/>
      <c r="H198" s="1493"/>
      <c r="I198" s="1493"/>
      <c r="J198" s="1493"/>
      <c r="K198" s="1494"/>
      <c r="L198" s="1494"/>
      <c r="M198" s="1494"/>
      <c r="N198" s="1494"/>
      <c r="O198" s="1494"/>
      <c r="P198" s="1494"/>
      <c r="Q198" s="1494"/>
      <c r="R198" s="1494"/>
      <c r="S198" s="1202"/>
      <c r="T198" s="1202"/>
      <c r="U198" s="1202"/>
      <c r="V198" s="1202"/>
      <c r="W198" s="1202"/>
      <c r="X198" s="1202"/>
      <c r="Y198" s="1366"/>
      <c r="Z198" s="1366"/>
      <c r="AA198" s="1366"/>
      <c r="AB198" s="1366"/>
      <c r="AC198" s="1202"/>
      <c r="AD198" s="1202"/>
      <c r="AE198" s="1367"/>
      <c r="AF198" s="1367"/>
      <c r="AG198" s="1367"/>
      <c r="AH198" s="1367"/>
      <c r="AI198" s="1367"/>
      <c r="AJ198" s="1368"/>
      <c r="AK198" s="1018"/>
    </row>
    <row r="199" spans="1:37">
      <c r="A199" s="1401"/>
      <c r="B199" s="1495" t="s">
        <v>1900</v>
      </c>
      <c r="C199" s="1496"/>
      <c r="D199" s="1497"/>
      <c r="E199" s="1497"/>
      <c r="F199" s="1497"/>
      <c r="G199" s="1497"/>
      <c r="H199" s="1497"/>
      <c r="I199" s="1497"/>
      <c r="J199" s="1497"/>
      <c r="K199" s="1498"/>
      <c r="L199" s="1498"/>
      <c r="M199" s="1498"/>
      <c r="N199" s="1498"/>
      <c r="O199" s="1498"/>
      <c r="P199" s="1498"/>
      <c r="Q199" s="1498"/>
      <c r="R199" s="1498"/>
      <c r="S199" s="985"/>
      <c r="T199" s="985"/>
      <c r="U199" s="985"/>
      <c r="V199" s="985"/>
      <c r="W199" s="985"/>
      <c r="X199" s="985"/>
      <c r="Y199" s="1074"/>
      <c r="Z199" s="1074"/>
      <c r="AA199" s="1074"/>
      <c r="AB199" s="1074"/>
      <c r="AC199" s="985"/>
      <c r="AD199" s="985"/>
      <c r="AE199" s="1018"/>
      <c r="AF199" s="1018"/>
      <c r="AG199" s="1018"/>
      <c r="AH199" s="1018"/>
      <c r="AI199" s="1018"/>
      <c r="AJ199" s="1369"/>
      <c r="AK199" s="1018"/>
    </row>
    <row r="200" spans="1:37">
      <c r="A200" s="1401"/>
      <c r="B200" s="1495" t="s">
        <v>1983</v>
      </c>
      <c r="C200" s="1496"/>
      <c r="D200" s="1497"/>
      <c r="E200" s="1497"/>
      <c r="F200" s="1497"/>
      <c r="G200" s="1497"/>
      <c r="H200" s="1497"/>
      <c r="I200" s="1497"/>
      <c r="J200" s="1497"/>
      <c r="K200" s="1498"/>
      <c r="L200" s="1498"/>
      <c r="M200" s="1498"/>
      <c r="N200" s="1498"/>
      <c r="O200" s="1498"/>
      <c r="P200" s="1498"/>
      <c r="Q200" s="1498"/>
      <c r="R200" s="1498"/>
      <c r="S200" s="985"/>
      <c r="T200" s="985"/>
      <c r="U200" s="985"/>
      <c r="V200" s="985"/>
      <c r="W200" s="985"/>
      <c r="X200" s="985"/>
      <c r="Y200" s="1074"/>
      <c r="Z200" s="1074"/>
      <c r="AA200" s="1074"/>
      <c r="AB200" s="1074"/>
      <c r="AC200" s="985"/>
      <c r="AD200" s="985"/>
      <c r="AE200" s="1018"/>
      <c r="AF200" s="1018"/>
      <c r="AG200" s="1018"/>
      <c r="AH200" s="1018"/>
      <c r="AI200" s="1018"/>
      <c r="AJ200" s="1369"/>
      <c r="AK200" s="1018"/>
    </row>
    <row r="201" spans="1:37">
      <c r="A201" s="1401"/>
      <c r="B201" s="1495" t="s">
        <v>1901</v>
      </c>
      <c r="C201" s="1496"/>
      <c r="D201" s="1497"/>
      <c r="E201" s="1497"/>
      <c r="F201" s="1497"/>
      <c r="G201" s="1497"/>
      <c r="H201" s="1497"/>
      <c r="I201" s="1497"/>
      <c r="J201" s="1497"/>
      <c r="K201" s="1498"/>
      <c r="L201" s="1498"/>
      <c r="M201" s="1498"/>
      <c r="N201" s="1498"/>
      <c r="O201" s="1498"/>
      <c r="P201" s="1498"/>
      <c r="Q201" s="1498"/>
      <c r="R201" s="1498"/>
      <c r="S201" s="985"/>
      <c r="T201" s="985"/>
      <c r="U201" s="985"/>
      <c r="V201" s="985"/>
      <c r="W201" s="985"/>
      <c r="X201" s="985"/>
      <c r="Y201" s="1074"/>
      <c r="Z201" s="1074"/>
      <c r="AA201" s="1074"/>
      <c r="AB201" s="1074"/>
      <c r="AC201" s="985"/>
      <c r="AD201" s="985"/>
      <c r="AE201" s="1018"/>
      <c r="AF201" s="1018"/>
      <c r="AG201" s="1018"/>
      <c r="AH201" s="1018"/>
      <c r="AI201" s="1018"/>
      <c r="AJ201" s="1369"/>
      <c r="AK201" s="1018"/>
    </row>
    <row r="202" spans="1:37">
      <c r="A202" s="1401"/>
      <c r="B202" s="1499" t="s">
        <v>1902</v>
      </c>
      <c r="C202" s="1496"/>
      <c r="D202" s="1497"/>
      <c r="E202" s="1497"/>
      <c r="F202" s="1497"/>
      <c r="G202" s="1497"/>
      <c r="H202" s="1497"/>
      <c r="I202" s="1497"/>
      <c r="J202" s="1497"/>
      <c r="K202" s="1498"/>
      <c r="L202" s="1498"/>
      <c r="M202" s="1498"/>
      <c r="N202" s="1498"/>
      <c r="O202" s="1498"/>
      <c r="P202" s="1498"/>
      <c r="Q202" s="1498"/>
      <c r="R202" s="1498"/>
      <c r="S202" s="985"/>
      <c r="T202" s="985"/>
      <c r="U202" s="985"/>
      <c r="V202" s="985"/>
      <c r="W202" s="985"/>
      <c r="X202" s="985"/>
      <c r="Y202" s="1074"/>
      <c r="Z202" s="1074"/>
      <c r="AA202" s="1074"/>
      <c r="AB202" s="1074"/>
      <c r="AC202" s="985"/>
      <c r="AD202" s="985"/>
      <c r="AE202" s="1018"/>
      <c r="AF202" s="1018"/>
      <c r="AG202" s="1018"/>
      <c r="AH202" s="1018"/>
      <c r="AI202" s="1018"/>
      <c r="AJ202" s="1369"/>
      <c r="AK202" s="1018"/>
    </row>
    <row r="203" spans="1:37">
      <c r="A203" s="1401"/>
      <c r="B203" s="1500" t="s">
        <v>1984</v>
      </c>
      <c r="C203" s="1501"/>
      <c r="D203" s="1502"/>
      <c r="E203" s="1502"/>
      <c r="F203" s="1502"/>
      <c r="G203" s="1502"/>
      <c r="H203" s="1502"/>
      <c r="I203" s="1502"/>
      <c r="J203" s="1502"/>
      <c r="K203" s="1503"/>
      <c r="L203" s="1503"/>
      <c r="M203" s="1503"/>
      <c r="N203" s="1503"/>
      <c r="O203" s="1503"/>
      <c r="P203" s="1503"/>
      <c r="Q203" s="1503"/>
      <c r="R203" s="1503"/>
      <c r="S203" s="1192"/>
      <c r="T203" s="1192"/>
      <c r="U203" s="1192"/>
      <c r="V203" s="1192"/>
      <c r="W203" s="1192"/>
      <c r="X203" s="1192"/>
      <c r="Y203" s="1370"/>
      <c r="Z203" s="1370"/>
      <c r="AA203" s="1370"/>
      <c r="AB203" s="1370"/>
      <c r="AC203" s="1192"/>
      <c r="AD203" s="1192"/>
      <c r="AE203" s="1371"/>
      <c r="AF203" s="1371"/>
      <c r="AG203" s="1371"/>
      <c r="AH203" s="1371"/>
      <c r="AI203" s="1371"/>
      <c r="AJ203" s="1372"/>
      <c r="AK203" s="1018"/>
    </row>
    <row r="204" spans="1:37">
      <c r="A204" s="1010"/>
      <c r="B204" s="1010"/>
      <c r="C204" s="1100"/>
      <c r="D204" s="1365"/>
      <c r="E204" s="1365"/>
      <c r="F204" s="1365"/>
      <c r="G204" s="1365"/>
      <c r="H204" s="1365"/>
      <c r="I204" s="1365"/>
      <c r="J204" s="1365"/>
      <c r="K204" s="921"/>
      <c r="L204" s="921"/>
      <c r="M204" s="921"/>
      <c r="N204" s="921"/>
      <c r="O204" s="921"/>
      <c r="P204" s="921"/>
      <c r="Q204" s="921"/>
      <c r="R204" s="921"/>
      <c r="S204" s="921"/>
      <c r="T204" s="921"/>
      <c r="U204" s="921"/>
      <c r="V204" s="921"/>
      <c r="W204" s="921"/>
      <c r="X204" s="921"/>
      <c r="Y204" s="1074"/>
      <c r="Z204" s="1074"/>
      <c r="AA204" s="1074"/>
      <c r="AB204" s="1074"/>
      <c r="AC204" s="921"/>
      <c r="AD204" s="921"/>
      <c r="AE204" s="1018"/>
      <c r="AF204" s="1018"/>
      <c r="AG204" s="1018"/>
      <c r="AH204" s="1018"/>
      <c r="AI204" s="1018"/>
      <c r="AJ204" s="1018"/>
      <c r="AK204" s="1018"/>
    </row>
    <row r="205" spans="1:37">
      <c r="A205" s="1010"/>
      <c r="B205" s="1393"/>
      <c r="C205" s="988"/>
      <c r="D205" s="1394"/>
      <c r="E205" s="112"/>
      <c r="F205" s="112"/>
      <c r="G205" s="112"/>
      <c r="H205" s="112"/>
      <c r="I205" s="3283" t="s">
        <v>1909</v>
      </c>
      <c r="J205" s="3283"/>
      <c r="K205" s="3283"/>
      <c r="L205" s="985"/>
      <c r="M205" s="985"/>
      <c r="N205" s="985"/>
      <c r="O205" s="985"/>
      <c r="P205" s="985"/>
      <c r="Q205" s="985"/>
      <c r="R205" s="985"/>
      <c r="S205" s="985"/>
      <c r="T205" s="3083" t="s">
        <v>1903</v>
      </c>
      <c r="U205" s="3083"/>
      <c r="V205" s="3083"/>
      <c r="W205" s="3083"/>
      <c r="X205" s="3083"/>
      <c r="Y205" s="3083"/>
      <c r="Z205" s="1395"/>
      <c r="AA205" s="1396"/>
      <c r="AB205" s="3279" t="s">
        <v>1904</v>
      </c>
      <c r="AC205" s="3279"/>
      <c r="AD205" s="3279"/>
      <c r="AE205" s="3279"/>
      <c r="AF205" s="3279"/>
      <c r="AG205" s="3279"/>
      <c r="AH205" s="1365"/>
      <c r="AI205" s="1365"/>
      <c r="AJ205" s="1365"/>
      <c r="AK205" s="1018"/>
    </row>
    <row r="206" spans="1:37">
      <c r="A206" s="1010"/>
      <c r="B206" s="3281" t="s">
        <v>1882</v>
      </c>
      <c r="C206" s="3281"/>
      <c r="D206" s="3281"/>
      <c r="E206" s="3281"/>
      <c r="F206" s="3281"/>
      <c r="G206" s="3281"/>
      <c r="I206" s="3282" t="s">
        <v>1910</v>
      </c>
      <c r="J206" s="3282"/>
      <c r="K206" s="3282"/>
      <c r="L206" s="1783"/>
      <c r="N206" s="3121" t="s">
        <v>1905</v>
      </c>
      <c r="O206" s="3121"/>
      <c r="P206" s="3121"/>
      <c r="Q206" s="3121"/>
      <c r="R206" s="3121"/>
      <c r="T206" s="3121" t="s">
        <v>1906</v>
      </c>
      <c r="U206" s="3121"/>
      <c r="V206" s="3121"/>
      <c r="W206" s="3121"/>
      <c r="X206" s="3121"/>
      <c r="Y206" s="3121"/>
      <c r="Z206" s="1397"/>
      <c r="AA206" s="1396"/>
      <c r="AB206" s="3124" t="s">
        <v>1907</v>
      </c>
      <c r="AC206" s="3124"/>
      <c r="AD206" s="3124"/>
      <c r="AE206" s="3124"/>
      <c r="AF206" s="3124"/>
      <c r="AG206" s="3124"/>
      <c r="AH206" s="1365"/>
      <c r="AI206" s="1365"/>
      <c r="AJ206" s="1365"/>
      <c r="AK206" s="1018"/>
    </row>
    <row r="207" spans="1:37">
      <c r="A207" s="1010"/>
      <c r="B207" s="3123" t="s">
        <v>1382</v>
      </c>
      <c r="C207" s="3123"/>
      <c r="D207" s="3123"/>
      <c r="E207" s="3123"/>
      <c r="F207" s="3123"/>
      <c r="G207" s="3123"/>
      <c r="H207" s="1399"/>
      <c r="I207" s="3088"/>
      <c r="J207" s="3088"/>
      <c r="K207" s="3088"/>
      <c r="L207" s="1783"/>
      <c r="N207" s="3085"/>
      <c r="O207" s="3085"/>
      <c r="P207" s="3085"/>
      <c r="Q207" s="3085"/>
      <c r="R207" s="3085"/>
      <c r="T207" s="3084"/>
      <c r="U207" s="3084"/>
      <c r="V207" s="3084"/>
      <c r="W207" s="3084"/>
      <c r="X207" s="3084"/>
      <c r="Y207" s="3084"/>
      <c r="Z207" s="1398"/>
      <c r="AA207" s="1398"/>
      <c r="AB207" s="3082">
        <f t="shared" ref="AB207:AB216" si="0">MAX(($T207-$N207)*$I207*12,0)</f>
        <v>0</v>
      </c>
      <c r="AC207" s="3082"/>
      <c r="AD207" s="3082"/>
      <c r="AE207" s="3082"/>
      <c r="AF207" s="3082"/>
      <c r="AG207" s="3082"/>
      <c r="AH207" s="1365"/>
      <c r="AI207" s="1365"/>
      <c r="AJ207" s="1365"/>
      <c r="AK207" s="1018"/>
    </row>
    <row r="208" spans="1:37">
      <c r="A208" s="1010"/>
      <c r="B208" s="3123" t="s">
        <v>1382</v>
      </c>
      <c r="C208" s="3123"/>
      <c r="D208" s="3123"/>
      <c r="E208" s="3123"/>
      <c r="F208" s="3123"/>
      <c r="G208" s="3123"/>
      <c r="I208" s="3088"/>
      <c r="J208" s="3088"/>
      <c r="K208" s="3088"/>
      <c r="L208" s="1783"/>
      <c r="N208" s="3085"/>
      <c r="O208" s="3085"/>
      <c r="P208" s="3085"/>
      <c r="Q208" s="3085"/>
      <c r="R208" s="3085"/>
      <c r="T208" s="3084"/>
      <c r="U208" s="3084"/>
      <c r="V208" s="3084"/>
      <c r="W208" s="3084"/>
      <c r="X208" s="3084"/>
      <c r="Y208" s="3084"/>
      <c r="Z208" s="1398"/>
      <c r="AA208" s="1398"/>
      <c r="AB208" s="3082">
        <f t="shared" si="0"/>
        <v>0</v>
      </c>
      <c r="AC208" s="3082"/>
      <c r="AD208" s="3082"/>
      <c r="AE208" s="3082"/>
      <c r="AF208" s="3082"/>
      <c r="AG208" s="3082"/>
      <c r="AH208" s="1365"/>
      <c r="AI208" s="1365"/>
      <c r="AJ208" s="1365"/>
      <c r="AK208" s="1018"/>
    </row>
    <row r="209" spans="1:37">
      <c r="A209" s="1010"/>
      <c r="B209" s="3123" t="s">
        <v>1382</v>
      </c>
      <c r="C209" s="3123"/>
      <c r="D209" s="3123"/>
      <c r="E209" s="3123"/>
      <c r="F209" s="3123"/>
      <c r="G209" s="3123"/>
      <c r="I209" s="3088"/>
      <c r="J209" s="3088"/>
      <c r="K209" s="3088"/>
      <c r="L209" s="1783"/>
      <c r="N209" s="3085"/>
      <c r="O209" s="3085"/>
      <c r="P209" s="3085"/>
      <c r="Q209" s="3085"/>
      <c r="R209" s="3085"/>
      <c r="T209" s="3084"/>
      <c r="U209" s="3084"/>
      <c r="V209" s="3084"/>
      <c r="W209" s="3084"/>
      <c r="X209" s="3084"/>
      <c r="Y209" s="3084"/>
      <c r="Z209" s="1398"/>
      <c r="AA209" s="1398"/>
      <c r="AB209" s="3082">
        <f t="shared" si="0"/>
        <v>0</v>
      </c>
      <c r="AC209" s="3082"/>
      <c r="AD209" s="3082"/>
      <c r="AE209" s="3082"/>
      <c r="AF209" s="3082"/>
      <c r="AG209" s="3082"/>
      <c r="AH209" s="1365"/>
      <c r="AI209" s="1365"/>
      <c r="AJ209" s="1365"/>
      <c r="AK209" s="1018"/>
    </row>
    <row r="210" spans="1:37">
      <c r="A210" s="1010"/>
      <c r="B210" s="3123" t="s">
        <v>1382</v>
      </c>
      <c r="C210" s="3123"/>
      <c r="D210" s="3123"/>
      <c r="E210" s="3123"/>
      <c r="F210" s="3123"/>
      <c r="G210" s="3123"/>
      <c r="I210" s="3088"/>
      <c r="J210" s="3088"/>
      <c r="K210" s="3088"/>
      <c r="L210" s="1783"/>
      <c r="N210" s="3085"/>
      <c r="O210" s="3085"/>
      <c r="P210" s="3085"/>
      <c r="Q210" s="3085"/>
      <c r="R210" s="3085"/>
      <c r="T210" s="3084"/>
      <c r="U210" s="3084"/>
      <c r="V210" s="3084"/>
      <c r="W210" s="3084"/>
      <c r="X210" s="3084"/>
      <c r="Y210" s="3084"/>
      <c r="Z210" s="1398"/>
      <c r="AA210" s="1398"/>
      <c r="AB210" s="3082">
        <f t="shared" si="0"/>
        <v>0</v>
      </c>
      <c r="AC210" s="3082"/>
      <c r="AD210" s="3082"/>
      <c r="AE210" s="3082"/>
      <c r="AF210" s="3082"/>
      <c r="AG210" s="3082"/>
      <c r="AH210" s="1365"/>
      <c r="AI210" s="1365"/>
      <c r="AJ210" s="1365"/>
      <c r="AK210" s="1018"/>
    </row>
    <row r="211" spans="1:37">
      <c r="A211" s="1010"/>
      <c r="B211" s="3123" t="s">
        <v>1382</v>
      </c>
      <c r="C211" s="3123"/>
      <c r="D211" s="3123"/>
      <c r="E211" s="3123"/>
      <c r="F211" s="3123"/>
      <c r="G211" s="3123"/>
      <c r="I211" s="3088"/>
      <c r="J211" s="3088"/>
      <c r="K211" s="3088"/>
      <c r="L211" s="1795"/>
      <c r="N211" s="3085"/>
      <c r="O211" s="3085"/>
      <c r="P211" s="3085"/>
      <c r="Q211" s="3085"/>
      <c r="R211" s="3085"/>
      <c r="T211" s="3084"/>
      <c r="U211" s="3084"/>
      <c r="V211" s="3084"/>
      <c r="W211" s="3084"/>
      <c r="X211" s="3084"/>
      <c r="Y211" s="3084"/>
      <c r="Z211" s="1398"/>
      <c r="AA211" s="1398"/>
      <c r="AB211" s="3082">
        <f t="shared" si="0"/>
        <v>0</v>
      </c>
      <c r="AC211" s="3082"/>
      <c r="AD211" s="3082"/>
      <c r="AE211" s="3082"/>
      <c r="AF211" s="3082"/>
      <c r="AG211" s="3082"/>
      <c r="AH211" s="1365"/>
      <c r="AI211" s="1365"/>
      <c r="AJ211" s="1365"/>
      <c r="AK211" s="1018"/>
    </row>
    <row r="212" spans="1:37">
      <c r="A212" s="1010"/>
      <c r="B212" s="3123" t="s">
        <v>1382</v>
      </c>
      <c r="C212" s="3123"/>
      <c r="D212" s="3123"/>
      <c r="E212" s="3123"/>
      <c r="F212" s="3123"/>
      <c r="G212" s="3123"/>
      <c r="I212" s="3088"/>
      <c r="J212" s="3088"/>
      <c r="K212" s="3088"/>
      <c r="L212" s="1795"/>
      <c r="N212" s="3085"/>
      <c r="O212" s="3085"/>
      <c r="P212" s="3085"/>
      <c r="Q212" s="3085"/>
      <c r="R212" s="3085"/>
      <c r="T212" s="3084"/>
      <c r="U212" s="3084"/>
      <c r="V212" s="3084"/>
      <c r="W212" s="3084"/>
      <c r="X212" s="3084"/>
      <c r="Y212" s="3084"/>
      <c r="Z212" s="1398"/>
      <c r="AA212" s="1398"/>
      <c r="AB212" s="3082">
        <f t="shared" si="0"/>
        <v>0</v>
      </c>
      <c r="AC212" s="3082"/>
      <c r="AD212" s="3082"/>
      <c r="AE212" s="3082"/>
      <c r="AF212" s="3082"/>
      <c r="AG212" s="3082"/>
      <c r="AH212" s="1365"/>
      <c r="AI212" s="1365"/>
      <c r="AJ212" s="1365"/>
      <c r="AK212" s="1018"/>
    </row>
    <row r="213" spans="1:37">
      <c r="A213" s="1010"/>
      <c r="B213" s="3123" t="s">
        <v>1382</v>
      </c>
      <c r="C213" s="3123"/>
      <c r="D213" s="3123"/>
      <c r="E213" s="3123"/>
      <c r="F213" s="3123"/>
      <c r="G213" s="3123"/>
      <c r="I213" s="3088"/>
      <c r="J213" s="3088"/>
      <c r="K213" s="3088"/>
      <c r="L213" s="1795"/>
      <c r="N213" s="3085"/>
      <c r="O213" s="3085"/>
      <c r="P213" s="3085"/>
      <c r="Q213" s="3085"/>
      <c r="R213" s="3085"/>
      <c r="T213" s="3084"/>
      <c r="U213" s="3084"/>
      <c r="V213" s="3084"/>
      <c r="W213" s="3084"/>
      <c r="X213" s="3084"/>
      <c r="Y213" s="3084"/>
      <c r="Z213" s="1398"/>
      <c r="AA213" s="1398"/>
      <c r="AB213" s="3082">
        <f t="shared" si="0"/>
        <v>0</v>
      </c>
      <c r="AC213" s="3082"/>
      <c r="AD213" s="3082"/>
      <c r="AE213" s="3082"/>
      <c r="AF213" s="3082"/>
      <c r="AG213" s="3082"/>
      <c r="AH213" s="1365"/>
      <c r="AI213" s="1365"/>
      <c r="AJ213" s="1365"/>
      <c r="AK213" s="1018"/>
    </row>
    <row r="214" spans="1:37">
      <c r="A214" s="1010"/>
      <c r="B214" s="3123" t="s">
        <v>1382</v>
      </c>
      <c r="C214" s="3123"/>
      <c r="D214" s="3123"/>
      <c r="E214" s="3123"/>
      <c r="F214" s="3123"/>
      <c r="G214" s="3123"/>
      <c r="I214" s="3088"/>
      <c r="J214" s="3088"/>
      <c r="K214" s="3088"/>
      <c r="L214" s="1795"/>
      <c r="N214" s="3085"/>
      <c r="O214" s="3085"/>
      <c r="P214" s="3085"/>
      <c r="Q214" s="3085"/>
      <c r="R214" s="3085"/>
      <c r="T214" s="3084"/>
      <c r="U214" s="3084"/>
      <c r="V214" s="3084"/>
      <c r="W214" s="3084"/>
      <c r="X214" s="3084"/>
      <c r="Y214" s="3084"/>
      <c r="Z214" s="1398"/>
      <c r="AA214" s="1398"/>
      <c r="AB214" s="3082">
        <f t="shared" si="0"/>
        <v>0</v>
      </c>
      <c r="AC214" s="3082"/>
      <c r="AD214" s="3082"/>
      <c r="AE214" s="3082"/>
      <c r="AF214" s="3082"/>
      <c r="AG214" s="3082"/>
      <c r="AH214" s="1365"/>
      <c r="AI214" s="1365"/>
      <c r="AJ214" s="1365"/>
      <c r="AK214" s="1018"/>
    </row>
    <row r="215" spans="1:37">
      <c r="A215" s="1010"/>
      <c r="B215" s="3123" t="s">
        <v>1382</v>
      </c>
      <c r="C215" s="3123"/>
      <c r="D215" s="3123"/>
      <c r="E215" s="3123"/>
      <c r="F215" s="3123"/>
      <c r="G215" s="3123"/>
      <c r="I215" s="3088"/>
      <c r="J215" s="3088"/>
      <c r="K215" s="3088"/>
      <c r="L215" s="1795"/>
      <c r="N215" s="3085"/>
      <c r="O215" s="3085"/>
      <c r="P215" s="3085"/>
      <c r="Q215" s="3085"/>
      <c r="R215" s="3085"/>
      <c r="T215" s="3084"/>
      <c r="U215" s="3084"/>
      <c r="V215" s="3084"/>
      <c r="W215" s="3084"/>
      <c r="X215" s="3084"/>
      <c r="Y215" s="3084"/>
      <c r="Z215" s="1398"/>
      <c r="AA215" s="1398"/>
      <c r="AB215" s="3082">
        <f t="shared" si="0"/>
        <v>0</v>
      </c>
      <c r="AC215" s="3082"/>
      <c r="AD215" s="3082"/>
      <c r="AE215" s="3082"/>
      <c r="AF215" s="3082"/>
      <c r="AG215" s="3082"/>
      <c r="AH215" s="1365"/>
      <c r="AI215" s="1365"/>
      <c r="AJ215" s="1365"/>
      <c r="AK215" s="1018"/>
    </row>
    <row r="216" spans="1:37">
      <c r="A216" s="1010"/>
      <c r="B216" s="3123" t="s">
        <v>1382</v>
      </c>
      <c r="C216" s="3123"/>
      <c r="D216" s="3123"/>
      <c r="E216" s="3123"/>
      <c r="F216" s="3123"/>
      <c r="G216" s="3123"/>
      <c r="I216" s="3284"/>
      <c r="J216" s="3284"/>
      <c r="K216" s="3284"/>
      <c r="L216" s="1795"/>
      <c r="N216" s="3085"/>
      <c r="O216" s="3085"/>
      <c r="P216" s="3085"/>
      <c r="Q216" s="3085"/>
      <c r="R216" s="3085"/>
      <c r="T216" s="3084"/>
      <c r="U216" s="3084"/>
      <c r="V216" s="3084"/>
      <c r="W216" s="3084"/>
      <c r="X216" s="3084"/>
      <c r="Y216" s="3084"/>
      <c r="Z216" s="1398"/>
      <c r="AA216" s="1398"/>
      <c r="AB216" s="3090">
        <f t="shared" si="0"/>
        <v>0</v>
      </c>
      <c r="AC216" s="3090"/>
      <c r="AD216" s="3090"/>
      <c r="AE216" s="3090"/>
      <c r="AF216" s="3090"/>
      <c r="AG216" s="3090"/>
      <c r="AH216" s="1365"/>
      <c r="AI216" s="1365"/>
      <c r="AJ216" s="1365"/>
      <c r="AK216" s="1018"/>
    </row>
    <row r="217" spans="1:37">
      <c r="A217" s="1010"/>
      <c r="B217" s="992"/>
      <c r="C217" s="1399"/>
      <c r="D217" s="988"/>
      <c r="K217" s="921"/>
      <c r="L217" s="921"/>
      <c r="M217" s="921"/>
      <c r="N217" s="921"/>
      <c r="O217" s="921"/>
      <c r="P217" s="921"/>
      <c r="Q217" s="921"/>
      <c r="R217" s="921"/>
      <c r="S217" s="921"/>
      <c r="T217" s="921"/>
      <c r="U217" s="921"/>
      <c r="V217" s="921"/>
      <c r="W217" s="921"/>
      <c r="X217" s="921"/>
      <c r="Y217" s="1400" t="s">
        <v>1908</v>
      </c>
      <c r="AA217" s="1782"/>
      <c r="AB217" s="3082">
        <f>SUM(AB207:AB216)</f>
        <v>0</v>
      </c>
      <c r="AC217" s="3082"/>
      <c r="AD217" s="3082"/>
      <c r="AE217" s="3082"/>
      <c r="AF217" s="3082"/>
      <c r="AG217" s="3082"/>
      <c r="AH217" s="1365"/>
      <c r="AI217" s="1365"/>
      <c r="AJ217" s="1365"/>
      <c r="AK217" s="1018"/>
    </row>
    <row r="218" spans="1:37">
      <c r="A218" s="1010"/>
      <c r="B218" s="1010"/>
      <c r="C218" s="1100"/>
      <c r="D218" s="1365"/>
      <c r="E218" s="1365"/>
      <c r="F218" s="1365"/>
      <c r="G218" s="1365"/>
      <c r="H218" s="1365"/>
      <c r="I218" s="1365"/>
      <c r="J218" s="1365"/>
      <c r="K218" s="937"/>
      <c r="L218" s="937"/>
      <c r="M218" s="937"/>
      <c r="N218" s="937"/>
      <c r="O218" s="937"/>
      <c r="P218" s="937"/>
      <c r="Q218" s="937"/>
      <c r="R218" s="937"/>
      <c r="S218" s="937"/>
      <c r="T218" s="937"/>
      <c r="U218" s="937"/>
      <c r="V218" s="937"/>
      <c r="W218" s="937"/>
      <c r="X218" s="937"/>
      <c r="Y218" s="1074"/>
      <c r="Z218" s="1074"/>
      <c r="AA218" s="1074"/>
      <c r="AB218" s="1074"/>
      <c r="AC218" s="937"/>
      <c r="AD218" s="937"/>
      <c r="AE218" s="1018"/>
      <c r="AF218" s="1018"/>
      <c r="AG218" s="1018"/>
      <c r="AH218" s="1018"/>
      <c r="AI218" s="1018"/>
      <c r="AJ218" s="1018"/>
      <c r="AK218" s="1018"/>
    </row>
    <row r="219" spans="1:37">
      <c r="A219" s="1010"/>
      <c r="B219" s="1374" t="s">
        <v>1898</v>
      </c>
      <c r="C219" s="1100"/>
      <c r="D219" s="1365"/>
      <c r="E219" s="1365"/>
      <c r="F219" s="1365"/>
      <c r="G219" s="1365"/>
      <c r="H219" s="1365"/>
      <c r="I219" s="1365"/>
      <c r="J219" s="1365"/>
      <c r="K219" s="921"/>
      <c r="L219" s="921"/>
      <c r="M219" s="921"/>
      <c r="N219" s="921"/>
      <c r="O219" s="921"/>
      <c r="P219" s="921"/>
      <c r="Q219" s="921"/>
      <c r="R219" s="921"/>
      <c r="S219" s="921"/>
      <c r="T219" s="921"/>
      <c r="U219" s="921"/>
      <c r="V219" s="921"/>
      <c r="W219" s="921"/>
      <c r="X219" s="921"/>
      <c r="Y219" s="1074"/>
      <c r="Z219" s="1074"/>
      <c r="AA219" s="1074"/>
      <c r="AB219" s="1074"/>
      <c r="AC219" s="921"/>
      <c r="AD219" s="921"/>
      <c r="AE219" s="1018"/>
      <c r="AF219" s="1018"/>
      <c r="AG219" s="1018"/>
      <c r="AH219" s="1018"/>
      <c r="AI219" s="1018"/>
      <c r="AJ219" s="1018"/>
      <c r="AK219" s="1018"/>
    </row>
    <row r="220" spans="1:37">
      <c r="A220" s="1010"/>
      <c r="B220" s="992" t="s">
        <v>1926</v>
      </c>
      <c r="C220" s="1100"/>
      <c r="D220" s="1365"/>
      <c r="E220" s="1365"/>
      <c r="F220" s="1365"/>
      <c r="G220" s="1365"/>
      <c r="H220" s="1365"/>
      <c r="I220" s="1365"/>
      <c r="J220" s="1365"/>
      <c r="K220" s="921"/>
      <c r="L220" s="921"/>
      <c r="M220" s="921"/>
      <c r="N220" s="921"/>
      <c r="O220" s="921"/>
      <c r="P220" s="921"/>
      <c r="Q220" s="921"/>
      <c r="R220" s="921"/>
      <c r="S220" s="921"/>
      <c r="T220" s="921"/>
      <c r="U220" s="921"/>
      <c r="V220" s="921"/>
      <c r="W220" s="921"/>
      <c r="X220" s="921"/>
      <c r="Y220" s="1074"/>
      <c r="Z220" s="1074"/>
      <c r="AA220" s="1074"/>
      <c r="AB220" s="1074"/>
      <c r="AC220" s="921"/>
      <c r="AD220" s="921"/>
      <c r="AE220" s="1018"/>
      <c r="AF220" s="1018"/>
      <c r="AG220" s="1018"/>
      <c r="AH220" s="1018"/>
      <c r="AI220" s="1018"/>
      <c r="AJ220" s="1018"/>
      <c r="AK220" s="1018"/>
    </row>
    <row r="221" spans="1:37">
      <c r="A221" s="1010"/>
      <c r="B221" s="992"/>
      <c r="C221" s="1100"/>
      <c r="D221" s="1365"/>
      <c r="E221" s="1365"/>
      <c r="F221" s="1365"/>
      <c r="G221" s="1365"/>
      <c r="H221" s="1365"/>
      <c r="I221" s="1365"/>
      <c r="J221" s="1365"/>
      <c r="K221" s="921"/>
      <c r="L221" s="921"/>
      <c r="M221" s="921"/>
      <c r="N221" s="921"/>
      <c r="O221" s="921"/>
      <c r="P221" s="921"/>
      <c r="Q221" s="921"/>
      <c r="R221" s="921"/>
      <c r="S221" s="921"/>
      <c r="T221" s="921"/>
      <c r="U221" s="921"/>
      <c r="V221" s="921"/>
      <c r="W221" s="921"/>
      <c r="X221" s="921"/>
      <c r="Y221" s="1074"/>
      <c r="Z221" s="1074"/>
      <c r="AA221" s="1074"/>
      <c r="AB221" s="1074"/>
      <c r="AC221" s="921"/>
      <c r="AD221" s="921"/>
      <c r="AE221" s="1018"/>
      <c r="AF221" s="1018"/>
      <c r="AG221" s="1018"/>
      <c r="AH221" s="1018"/>
      <c r="AI221" s="1018"/>
      <c r="AJ221" s="1018"/>
      <c r="AK221" s="1018"/>
    </row>
    <row r="222" spans="1:37">
      <c r="A222" s="1010"/>
      <c r="B222" s="1375" t="s">
        <v>1924</v>
      </c>
      <c r="C222" s="1100"/>
      <c r="D222" s="1365"/>
      <c r="E222" s="1365"/>
      <c r="F222" s="1365"/>
      <c r="G222" s="1365"/>
      <c r="H222" s="1365"/>
      <c r="I222" s="1365"/>
      <c r="J222" s="1365"/>
      <c r="K222" s="921"/>
      <c r="L222" s="921"/>
      <c r="M222" s="921"/>
      <c r="N222" s="921"/>
      <c r="O222" s="921"/>
      <c r="P222" s="921"/>
      <c r="Q222" s="921"/>
      <c r="R222" s="921"/>
      <c r="S222" s="921"/>
      <c r="T222" s="921"/>
      <c r="U222" s="921"/>
      <c r="V222" s="921"/>
      <c r="W222" s="921"/>
      <c r="X222" s="921"/>
      <c r="Y222" s="1074"/>
      <c r="Z222" s="1074"/>
      <c r="AA222" s="1074"/>
      <c r="AB222" s="1074"/>
      <c r="AC222" s="921"/>
      <c r="AD222" s="921"/>
      <c r="AE222" s="1018"/>
      <c r="AF222" s="1018"/>
      <c r="AG222" s="1018"/>
      <c r="AH222" s="1018"/>
      <c r="AI222" s="1018"/>
      <c r="AJ222" s="1018"/>
      <c r="AK222" s="1018"/>
    </row>
    <row r="223" spans="1:37">
      <c r="A223" s="1010"/>
      <c r="B223" s="1375" t="s">
        <v>1918</v>
      </c>
      <c r="C223" s="1100"/>
      <c r="D223" s="1365"/>
      <c r="E223" s="1365"/>
      <c r="F223" s="1365"/>
      <c r="G223" s="1365"/>
      <c r="H223" s="1365"/>
      <c r="I223" s="1365"/>
      <c r="J223" s="1365"/>
      <c r="K223" s="921"/>
      <c r="L223" s="921"/>
      <c r="M223" s="921"/>
      <c r="N223" s="921"/>
      <c r="O223" s="921"/>
      <c r="P223" s="921"/>
      <c r="Q223" s="921"/>
      <c r="R223" s="921"/>
      <c r="S223" s="921"/>
      <c r="T223" s="921"/>
      <c r="U223" s="921"/>
      <c r="V223" s="921"/>
      <c r="W223" s="921"/>
      <c r="X223" s="921"/>
      <c r="Y223" s="1074"/>
      <c r="Z223" s="1074"/>
      <c r="AA223" s="1074"/>
      <c r="AB223" s="3125"/>
      <c r="AC223" s="3125"/>
      <c r="AD223" s="3125"/>
      <c r="AE223" s="3125"/>
      <c r="AF223" s="3125"/>
      <c r="AG223" s="3125"/>
      <c r="AH223" s="1018"/>
      <c r="AI223" s="1018"/>
      <c r="AJ223" s="1018"/>
      <c r="AK223" s="1018"/>
    </row>
    <row r="224" spans="1:37">
      <c r="A224" s="1010"/>
      <c r="B224" s="1377" t="s">
        <v>1923</v>
      </c>
      <c r="C224" s="1029"/>
      <c r="D224" s="1373"/>
      <c r="E224" s="1365"/>
      <c r="F224" s="1365"/>
      <c r="G224" s="1365"/>
      <c r="H224" s="1365"/>
      <c r="I224" s="1365"/>
      <c r="J224" s="1365"/>
      <c r="K224" s="921"/>
      <c r="L224" s="921"/>
      <c r="M224" s="921"/>
      <c r="N224" s="921"/>
      <c r="O224" s="921"/>
      <c r="P224" s="921"/>
      <c r="Q224" s="921"/>
      <c r="R224" s="921"/>
      <c r="S224" s="921"/>
      <c r="T224" s="921"/>
      <c r="U224" s="921"/>
      <c r="V224" s="921"/>
      <c r="W224" s="921"/>
      <c r="X224" s="921"/>
      <c r="Y224" s="1074"/>
      <c r="Z224" s="1074"/>
      <c r="AA224" s="1074"/>
      <c r="AB224" s="1074"/>
      <c r="AC224" s="921"/>
      <c r="AD224" s="921"/>
      <c r="AE224" s="1018"/>
      <c r="AF224" s="1018"/>
      <c r="AG224" s="1018"/>
      <c r="AH224" s="1018"/>
      <c r="AI224" s="1018"/>
      <c r="AJ224" s="1018"/>
      <c r="AK224" s="1018"/>
    </row>
    <row r="225" spans="1:37">
      <c r="A225" s="1010"/>
      <c r="B225" s="1378" t="s">
        <v>1925</v>
      </c>
      <c r="C225" s="1100"/>
      <c r="D225" s="1365"/>
      <c r="E225" s="1365"/>
      <c r="F225" s="1365"/>
      <c r="G225" s="1365"/>
      <c r="H225" s="1365"/>
      <c r="I225" s="1365"/>
      <c r="J225" s="1365"/>
      <c r="K225" s="921"/>
      <c r="L225" s="921"/>
      <c r="M225" s="921"/>
      <c r="N225" s="921"/>
      <c r="O225" s="921"/>
      <c r="P225" s="921"/>
      <c r="Q225" s="921"/>
      <c r="R225" s="921"/>
      <c r="S225" s="921"/>
      <c r="T225" s="921"/>
      <c r="U225" s="921"/>
      <c r="V225" s="921"/>
      <c r="W225" s="921"/>
      <c r="X225" s="921"/>
      <c r="Y225" s="1074"/>
      <c r="Z225" s="1074"/>
      <c r="AA225" s="1074"/>
      <c r="AB225" s="1074"/>
      <c r="AC225" s="921"/>
      <c r="AD225" s="921"/>
      <c r="AE225" s="1018"/>
      <c r="AF225" s="1018"/>
      <c r="AG225" s="1018"/>
      <c r="AH225" s="1018"/>
      <c r="AI225" s="1018"/>
      <c r="AJ225" s="1018"/>
      <c r="AK225" s="1018"/>
    </row>
    <row r="226" spans="1:37">
      <c r="A226" s="1010"/>
      <c r="B226" s="1378" t="s">
        <v>1919</v>
      </c>
      <c r="C226" s="1100"/>
      <c r="D226" s="1365"/>
      <c r="E226" s="1365"/>
      <c r="F226" s="1365"/>
      <c r="G226" s="1365"/>
      <c r="H226" s="1365"/>
      <c r="I226" s="1365"/>
      <c r="J226" s="1365"/>
      <c r="K226" s="921"/>
      <c r="L226" s="921"/>
      <c r="M226" s="921"/>
      <c r="N226" s="921"/>
      <c r="O226" s="921"/>
      <c r="P226" s="921"/>
      <c r="Q226" s="921"/>
      <c r="R226" s="921"/>
      <c r="S226" s="921"/>
      <c r="T226" s="921"/>
      <c r="U226" s="921"/>
      <c r="V226" s="921"/>
      <c r="W226" s="921"/>
      <c r="X226" s="921"/>
      <c r="Y226" s="1074"/>
      <c r="Z226" s="1074"/>
      <c r="AA226" s="1074"/>
      <c r="AB226" s="3125"/>
      <c r="AC226" s="3125"/>
      <c r="AD226" s="3125"/>
      <c r="AE226" s="3125"/>
      <c r="AF226" s="3125"/>
      <c r="AG226" s="3125"/>
      <c r="AH226" s="1018"/>
      <c r="AI226" s="1018"/>
      <c r="AJ226" s="1018"/>
      <c r="AK226" s="1018"/>
    </row>
    <row r="227" spans="1:37">
      <c r="A227" s="1010"/>
      <c r="B227" s="1378" t="s">
        <v>1920</v>
      </c>
      <c r="C227" s="1100"/>
      <c r="D227" s="1365"/>
      <c r="E227" s="1365"/>
      <c r="F227" s="1365"/>
      <c r="G227" s="1365"/>
      <c r="H227" s="1365"/>
      <c r="I227" s="1365"/>
      <c r="J227" s="1365"/>
      <c r="K227" s="921"/>
      <c r="L227" s="921"/>
      <c r="M227" s="921"/>
      <c r="N227" s="921"/>
      <c r="O227" s="921"/>
      <c r="P227" s="921"/>
      <c r="Q227" s="921"/>
      <c r="R227" s="921"/>
      <c r="S227" s="921"/>
      <c r="T227" s="921"/>
      <c r="U227" s="921"/>
      <c r="V227" s="921"/>
      <c r="W227" s="921"/>
      <c r="X227" s="921"/>
      <c r="Y227" s="1074"/>
      <c r="Z227" s="1074"/>
      <c r="AA227" s="1074"/>
      <c r="AB227" s="3081"/>
      <c r="AC227" s="3081"/>
      <c r="AD227" s="3081"/>
      <c r="AE227" s="3081"/>
      <c r="AF227" s="3081"/>
      <c r="AG227" s="3081"/>
      <c r="AH227" s="1018"/>
      <c r="AI227" s="1018"/>
      <c r="AJ227" s="1018"/>
      <c r="AK227" s="1018"/>
    </row>
    <row r="228" spans="1:37">
      <c r="A228" s="1010"/>
      <c r="B228" s="1378" t="s">
        <v>1921</v>
      </c>
      <c r="C228" s="1100"/>
      <c r="D228" s="1365"/>
      <c r="E228" s="1365"/>
      <c r="F228" s="1365"/>
      <c r="G228" s="1365"/>
      <c r="H228" s="1365"/>
      <c r="I228" s="1365"/>
      <c r="J228" s="1365"/>
      <c r="K228" s="921"/>
      <c r="L228" s="921"/>
      <c r="M228" s="921"/>
      <c r="N228" s="921"/>
      <c r="O228" s="921"/>
      <c r="P228" s="921"/>
      <c r="Q228" s="921"/>
      <c r="R228" s="921"/>
      <c r="S228" s="921"/>
      <c r="T228" s="921"/>
      <c r="U228" s="921"/>
      <c r="V228" s="921"/>
      <c r="W228" s="921"/>
      <c r="X228" s="921"/>
      <c r="Y228" s="1074"/>
      <c r="Z228" s="1074"/>
      <c r="AA228" s="1074"/>
      <c r="AB228" s="3091">
        <f>IFERROR(AB226/AB227,0)</f>
        <v>0</v>
      </c>
      <c r="AC228" s="3091"/>
      <c r="AD228" s="3091"/>
      <c r="AE228" s="3091"/>
      <c r="AF228" s="3091"/>
      <c r="AG228" s="3091"/>
      <c r="AH228" s="1018"/>
      <c r="AI228" s="1018"/>
      <c r="AJ228" s="1018"/>
      <c r="AK228" s="1018"/>
    </row>
    <row r="229" spans="1:37">
      <c r="A229" s="1010"/>
      <c r="B229" s="1376"/>
      <c r="C229" s="1100"/>
      <c r="D229" s="1365"/>
      <c r="E229" s="1365"/>
      <c r="F229" s="1365"/>
      <c r="G229" s="1365"/>
      <c r="H229" s="1365"/>
      <c r="I229" s="1365"/>
      <c r="J229" s="1365"/>
      <c r="K229" s="921"/>
      <c r="L229" s="921"/>
      <c r="M229" s="921"/>
      <c r="N229" s="921"/>
      <c r="O229" s="921"/>
      <c r="P229" s="921"/>
      <c r="Q229" s="921"/>
      <c r="R229" s="921"/>
      <c r="S229" s="921"/>
      <c r="T229" s="921"/>
      <c r="U229" s="921"/>
      <c r="V229" s="921"/>
      <c r="W229" s="921"/>
      <c r="X229" s="921"/>
      <c r="Y229" s="1074"/>
      <c r="Z229" s="1074"/>
      <c r="AA229" s="1074"/>
      <c r="AB229" s="1074"/>
      <c r="AC229" s="985"/>
      <c r="AD229" s="985"/>
      <c r="AE229" s="1018"/>
      <c r="AF229" s="1018"/>
      <c r="AG229" s="1018"/>
      <c r="AH229" s="1018"/>
      <c r="AI229" s="1018"/>
      <c r="AJ229" s="1018"/>
      <c r="AK229" s="1018"/>
    </row>
    <row r="230" spans="1:37">
      <c r="A230" s="1010"/>
      <c r="B230" s="1379" t="s">
        <v>1922</v>
      </c>
      <c r="C230" s="1100"/>
      <c r="D230" s="1365"/>
      <c r="E230" s="1365"/>
      <c r="F230" s="1365"/>
      <c r="G230" s="1365"/>
      <c r="H230" s="1365"/>
      <c r="I230" s="1365"/>
      <c r="J230" s="1365"/>
      <c r="K230" s="921"/>
      <c r="L230" s="921"/>
      <c r="M230" s="921"/>
      <c r="N230" s="921"/>
      <c r="O230" s="921"/>
      <c r="P230" s="921"/>
      <c r="Q230" s="921"/>
      <c r="R230" s="921"/>
      <c r="S230" s="921"/>
      <c r="T230" s="921"/>
      <c r="U230" s="921"/>
      <c r="V230" s="921"/>
      <c r="W230" s="921"/>
      <c r="X230" s="921"/>
      <c r="Y230" s="1074"/>
      <c r="Z230" s="1074"/>
      <c r="AA230" s="1074"/>
      <c r="AB230" s="3119">
        <f>MAX(AB223,AB228)</f>
        <v>0</v>
      </c>
      <c r="AC230" s="3119"/>
      <c r="AD230" s="3119"/>
      <c r="AE230" s="3119"/>
      <c r="AF230" s="3119"/>
      <c r="AG230" s="3119"/>
      <c r="AH230" s="1018"/>
      <c r="AI230" s="1018"/>
      <c r="AJ230" s="1018"/>
      <c r="AK230" s="1018"/>
    </row>
    <row r="231" spans="1:37">
      <c r="A231" s="1010"/>
      <c r="B231" s="1379"/>
      <c r="C231" s="1100"/>
      <c r="D231" s="1365"/>
      <c r="E231" s="1365"/>
      <c r="F231" s="1365"/>
      <c r="G231" s="1365"/>
      <c r="H231" s="1365"/>
      <c r="I231" s="1365"/>
      <c r="J231" s="1365"/>
      <c r="K231" s="921"/>
      <c r="L231" s="921"/>
      <c r="M231" s="921"/>
      <c r="N231" s="921"/>
      <c r="O231" s="921"/>
      <c r="P231" s="921"/>
      <c r="Q231" s="921"/>
      <c r="R231" s="921"/>
      <c r="S231" s="921"/>
      <c r="T231" s="921"/>
      <c r="U231" s="921"/>
      <c r="V231" s="921"/>
      <c r="W231" s="921"/>
      <c r="X231" s="921"/>
      <c r="Y231" s="1074"/>
      <c r="Z231" s="1074"/>
      <c r="AA231" s="1074"/>
      <c r="AB231" s="1074"/>
      <c r="AC231" s="921"/>
      <c r="AD231" s="921"/>
      <c r="AE231" s="1018"/>
      <c r="AF231" s="1018"/>
      <c r="AG231" s="1018"/>
      <c r="AH231" s="1018"/>
      <c r="AI231" s="1018"/>
      <c r="AJ231" s="1018"/>
      <c r="AK231" s="1018"/>
    </row>
    <row r="232" spans="1:37">
      <c r="A232" s="1010"/>
      <c r="B232" s="1379"/>
      <c r="C232" s="1100"/>
      <c r="D232" s="1365"/>
      <c r="E232" s="1365"/>
      <c r="F232" s="1365"/>
      <c r="G232" s="1365"/>
      <c r="H232" s="1365"/>
      <c r="I232" s="1365"/>
      <c r="J232" s="1365"/>
      <c r="K232" s="921"/>
      <c r="L232" s="921"/>
      <c r="M232" s="921"/>
      <c r="N232" s="921"/>
      <c r="O232" s="921"/>
      <c r="P232" s="921"/>
      <c r="Q232" s="921"/>
      <c r="R232" s="921"/>
      <c r="S232" s="921"/>
      <c r="T232" s="921"/>
      <c r="U232" s="921"/>
      <c r="V232" s="921"/>
      <c r="W232" s="921"/>
      <c r="X232" s="921"/>
      <c r="Y232" s="1074"/>
      <c r="Z232" s="1074"/>
      <c r="AA232" s="1074"/>
      <c r="AB232" s="1074"/>
      <c r="AC232" s="921"/>
      <c r="AD232" s="921"/>
      <c r="AE232" s="1018"/>
      <c r="AF232" s="1018"/>
      <c r="AG232" s="1018"/>
      <c r="AH232" s="1018"/>
      <c r="AI232" s="1018"/>
      <c r="AJ232" s="1018"/>
      <c r="AK232" s="1018"/>
    </row>
    <row r="233" spans="1:37">
      <c r="A233" s="1010"/>
      <c r="B233" s="992" t="s">
        <v>1911</v>
      </c>
      <c r="C233" s="1100"/>
      <c r="D233" s="1365"/>
      <c r="E233" s="1365"/>
      <c r="F233" s="1365"/>
      <c r="G233" s="1365"/>
      <c r="H233" s="1365"/>
      <c r="I233" s="1365"/>
      <c r="J233" s="1365"/>
      <c r="K233" s="921"/>
      <c r="L233" s="921"/>
      <c r="M233" s="921"/>
      <c r="N233" s="921"/>
      <c r="O233" s="921"/>
      <c r="P233" s="921"/>
      <c r="Q233" s="921"/>
      <c r="R233" s="921"/>
      <c r="S233" s="921"/>
      <c r="U233" s="1380"/>
      <c r="V233" s="1380"/>
      <c r="W233" s="1380"/>
      <c r="X233" s="1380"/>
      <c r="Y233" s="1380"/>
      <c r="Z233" s="1074"/>
      <c r="AA233" s="1074"/>
      <c r="AB233" s="3089">
        <f>AB217+AB230</f>
        <v>0</v>
      </c>
      <c r="AC233" s="3089"/>
      <c r="AD233" s="3089"/>
      <c r="AE233" s="3089"/>
      <c r="AF233" s="3089"/>
      <c r="AG233" s="3089"/>
      <c r="AH233" s="1018"/>
      <c r="AI233" s="1018"/>
      <c r="AJ233" s="1018"/>
      <c r="AK233" s="1018"/>
    </row>
    <row r="234" spans="1:37">
      <c r="A234" s="1010"/>
      <c r="B234" s="992" t="s">
        <v>901</v>
      </c>
      <c r="C234" s="1100"/>
      <c r="D234" s="1365"/>
      <c r="E234" s="1365"/>
      <c r="F234" s="1365"/>
      <c r="G234" s="1365"/>
      <c r="H234" s="1365"/>
      <c r="I234" s="1365"/>
      <c r="J234" s="1365"/>
      <c r="K234" s="921"/>
      <c r="L234" s="921"/>
      <c r="M234" s="921"/>
      <c r="N234" s="921"/>
      <c r="O234" s="921"/>
      <c r="P234" s="921"/>
      <c r="Q234" s="921"/>
      <c r="R234" s="921"/>
      <c r="S234" s="921"/>
      <c r="T234" s="1056"/>
      <c r="U234" s="1381"/>
      <c r="V234" s="1381"/>
      <c r="W234" s="1381"/>
      <c r="X234" s="1381"/>
      <c r="Y234" s="1381"/>
      <c r="Z234" s="1074"/>
      <c r="AA234" s="1074"/>
      <c r="AB234" s="3266">
        <v>0.05</v>
      </c>
      <c r="AC234" s="3266"/>
      <c r="AD234" s="3266"/>
      <c r="AE234" s="3266"/>
      <c r="AF234" s="3266"/>
      <c r="AG234" s="3266"/>
      <c r="AH234" s="1018"/>
      <c r="AI234" s="1018"/>
      <c r="AJ234" s="1018"/>
      <c r="AK234" s="1018"/>
    </row>
    <row r="235" spans="1:37">
      <c r="A235" s="1010"/>
      <c r="B235" s="992" t="s">
        <v>1912</v>
      </c>
      <c r="C235" s="1100"/>
      <c r="D235" s="1365"/>
      <c r="E235" s="1365"/>
      <c r="F235" s="1365"/>
      <c r="G235" s="1365"/>
      <c r="H235" s="1365"/>
      <c r="I235" s="1365"/>
      <c r="J235" s="1365"/>
      <c r="K235" s="921"/>
      <c r="L235" s="921"/>
      <c r="M235" s="921"/>
      <c r="N235" s="921"/>
      <c r="O235" s="921"/>
      <c r="P235" s="921"/>
      <c r="Q235" s="921"/>
      <c r="R235" s="921"/>
      <c r="S235" s="921"/>
      <c r="T235" s="1056"/>
      <c r="U235" s="1382"/>
      <c r="V235" s="1382"/>
      <c r="W235" s="1382"/>
      <c r="X235" s="1382"/>
      <c r="Y235" s="1382"/>
      <c r="Z235" s="1074"/>
      <c r="AA235" s="1074"/>
      <c r="AB235" s="3267">
        <f>AB233-(AB233*AB234)</f>
        <v>0</v>
      </c>
      <c r="AC235" s="3267"/>
      <c r="AD235" s="3267"/>
      <c r="AE235" s="3267"/>
      <c r="AF235" s="3267"/>
      <c r="AG235" s="3267"/>
      <c r="AH235" s="1018"/>
      <c r="AI235" s="1018"/>
      <c r="AJ235" s="1018"/>
      <c r="AK235" s="1018"/>
    </row>
    <row r="236" spans="1:37">
      <c r="A236" s="1010"/>
      <c r="B236" s="992" t="s">
        <v>1913</v>
      </c>
      <c r="C236" s="1100"/>
      <c r="D236" s="1365"/>
      <c r="E236" s="1365"/>
      <c r="F236" s="1365"/>
      <c r="G236" s="1365"/>
      <c r="H236" s="1365"/>
      <c r="I236" s="1365"/>
      <c r="J236" s="1365"/>
      <c r="K236" s="921"/>
      <c r="L236" s="921"/>
      <c r="M236" s="921"/>
      <c r="N236" s="921"/>
      <c r="O236" s="921"/>
      <c r="P236" s="921"/>
      <c r="Q236" s="921"/>
      <c r="R236" s="921"/>
      <c r="S236" s="921"/>
      <c r="T236" s="1056"/>
      <c r="U236" s="1000"/>
      <c r="V236" s="1000"/>
      <c r="W236" s="1000"/>
      <c r="X236" s="1000"/>
      <c r="Y236" s="1383"/>
      <c r="Z236" s="1074"/>
      <c r="AA236" s="1074"/>
      <c r="AB236" s="921"/>
      <c r="AC236" s="921"/>
      <c r="AD236" s="921"/>
      <c r="AE236" s="1018"/>
      <c r="AF236" s="1018"/>
      <c r="AG236" s="1018"/>
      <c r="AH236" s="1018"/>
      <c r="AI236" s="1018"/>
      <c r="AJ236" s="1018"/>
      <c r="AK236" s="1018"/>
    </row>
    <row r="237" spans="1:37">
      <c r="A237" s="1010"/>
      <c r="B237" s="992" t="s">
        <v>1914</v>
      </c>
      <c r="C237" s="1100"/>
      <c r="D237" s="1365"/>
      <c r="E237" s="1365"/>
      <c r="F237" s="1365"/>
      <c r="G237" s="1365"/>
      <c r="H237" s="1365"/>
      <c r="I237" s="1365"/>
      <c r="J237" s="1365"/>
      <c r="K237" s="921"/>
      <c r="L237" s="921"/>
      <c r="M237" s="921"/>
      <c r="N237" s="921"/>
      <c r="O237" s="921"/>
      <c r="P237" s="921"/>
      <c r="Q237" s="921"/>
      <c r="R237" s="921"/>
      <c r="S237" s="921"/>
      <c r="T237" s="1056"/>
      <c r="U237" s="1382"/>
      <c r="V237" s="1382"/>
      <c r="W237" s="1382"/>
      <c r="X237" s="1382"/>
      <c r="Y237" s="1382"/>
      <c r="Z237" s="1074"/>
      <c r="AA237" s="1074"/>
      <c r="AB237" s="3089">
        <f>AB235/AB241</f>
        <v>0</v>
      </c>
      <c r="AC237" s="3089"/>
      <c r="AD237" s="3089"/>
      <c r="AE237" s="3089"/>
      <c r="AF237" s="3089"/>
      <c r="AG237" s="3089"/>
      <c r="AH237" s="1018"/>
      <c r="AI237" s="1018"/>
      <c r="AJ237" s="1018"/>
      <c r="AK237" s="1018"/>
    </row>
    <row r="238" spans="1:37">
      <c r="A238" s="1010"/>
      <c r="B238" s="992"/>
      <c r="C238" s="1100"/>
      <c r="D238" s="1365"/>
      <c r="E238" s="1365"/>
      <c r="F238" s="1365"/>
      <c r="G238" s="1365"/>
      <c r="H238" s="1365"/>
      <c r="I238" s="1365"/>
      <c r="J238" s="1365"/>
      <c r="K238" s="921"/>
      <c r="L238" s="921"/>
      <c r="M238" s="921"/>
      <c r="N238" s="921"/>
      <c r="O238" s="921"/>
      <c r="P238" s="921"/>
      <c r="Q238" s="921"/>
      <c r="R238" s="921"/>
      <c r="S238" s="921"/>
      <c r="T238" s="1056"/>
      <c r="U238" s="1000"/>
      <c r="V238" s="1000"/>
      <c r="W238" s="1000"/>
      <c r="X238" s="1000"/>
      <c r="Y238" s="1384"/>
      <c r="Z238" s="1074"/>
      <c r="AA238" s="1074"/>
      <c r="AB238" s="921"/>
      <c r="AC238" s="921"/>
      <c r="AD238" s="921"/>
      <c r="AE238" s="1018"/>
      <c r="AF238" s="1018"/>
      <c r="AG238" s="1018"/>
      <c r="AH238" s="1018"/>
      <c r="AI238" s="1018"/>
      <c r="AJ238" s="1018"/>
      <c r="AK238" s="1018"/>
    </row>
    <row r="239" spans="1:37">
      <c r="A239" s="1010"/>
      <c r="B239" s="992" t="s">
        <v>1915</v>
      </c>
      <c r="C239" s="1100"/>
      <c r="D239" s="1365"/>
      <c r="E239" s="1365"/>
      <c r="F239" s="1365"/>
      <c r="G239" s="1365"/>
      <c r="H239" s="1365"/>
      <c r="I239" s="1365"/>
      <c r="J239" s="1365"/>
      <c r="K239" s="921"/>
      <c r="L239" s="921"/>
      <c r="M239" s="921"/>
      <c r="N239" s="921"/>
      <c r="O239" s="921"/>
      <c r="P239" s="921"/>
      <c r="Q239" s="921"/>
      <c r="R239" s="921"/>
      <c r="S239" s="921"/>
      <c r="T239" s="1056"/>
      <c r="U239" s="1385"/>
      <c r="V239" s="1385"/>
      <c r="W239" s="1385"/>
      <c r="X239" s="1385"/>
      <c r="Y239" s="1385"/>
      <c r="Z239" s="1074"/>
      <c r="AA239" s="1074"/>
      <c r="AB239" s="3280">
        <v>15</v>
      </c>
      <c r="AC239" s="3280"/>
      <c r="AD239" s="3280"/>
      <c r="AE239" s="3280"/>
      <c r="AF239" s="3280"/>
      <c r="AG239" s="3280"/>
      <c r="AH239" s="1018"/>
      <c r="AI239" s="1018"/>
      <c r="AJ239" s="1018"/>
      <c r="AK239" s="1018"/>
    </row>
    <row r="240" spans="1:37">
      <c r="A240" s="1010"/>
      <c r="B240" s="992" t="s">
        <v>1916</v>
      </c>
      <c r="C240" s="1100"/>
      <c r="D240" s="1365"/>
      <c r="E240" s="1365"/>
      <c r="F240" s="1365"/>
      <c r="G240" s="1365"/>
      <c r="H240" s="1365"/>
      <c r="I240" s="1365"/>
      <c r="J240" s="1365"/>
      <c r="K240" s="921"/>
      <c r="L240" s="921"/>
      <c r="M240" s="921"/>
      <c r="N240" s="921"/>
      <c r="O240" s="921"/>
      <c r="P240" s="921"/>
      <c r="Q240" s="921"/>
      <c r="R240" s="921"/>
      <c r="S240" s="921"/>
      <c r="T240" s="1056"/>
      <c r="U240" s="1381"/>
      <c r="V240" s="1381"/>
      <c r="W240" s="1381"/>
      <c r="X240" s="1381"/>
      <c r="Y240" s="1381"/>
      <c r="Z240" s="1074"/>
      <c r="AA240" s="1074"/>
      <c r="AB240" s="3269">
        <v>0.04</v>
      </c>
      <c r="AC240" s="3269"/>
      <c r="AD240" s="3269"/>
      <c r="AE240" s="3269"/>
      <c r="AF240" s="3269"/>
      <c r="AG240" s="3269"/>
      <c r="AH240" s="1018"/>
      <c r="AI240" s="1018"/>
      <c r="AJ240" s="1018"/>
      <c r="AK240" s="1018"/>
    </row>
    <row r="241" spans="1:39">
      <c r="A241" s="1010"/>
      <c r="B241" s="992" t="s">
        <v>913</v>
      </c>
      <c r="C241" s="1100"/>
      <c r="D241" s="1365"/>
      <c r="E241" s="1365"/>
      <c r="F241" s="1365"/>
      <c r="G241" s="1365"/>
      <c r="H241" s="1365"/>
      <c r="I241" s="1365"/>
      <c r="J241" s="1365"/>
      <c r="K241" s="921"/>
      <c r="L241" s="921"/>
      <c r="M241" s="921"/>
      <c r="N241" s="921"/>
      <c r="O241" s="921"/>
      <c r="P241" s="921"/>
      <c r="Q241" s="921"/>
      <c r="R241" s="921"/>
      <c r="S241" s="921"/>
      <c r="T241" s="1056"/>
      <c r="U241" s="1386"/>
      <c r="V241" s="1386"/>
      <c r="W241" s="1386"/>
      <c r="X241" s="1386"/>
      <c r="Y241" s="1386"/>
      <c r="Z241" s="1074"/>
      <c r="AA241" s="1074"/>
      <c r="AB241" s="3270">
        <v>1.1499999999999999</v>
      </c>
      <c r="AC241" s="3270"/>
      <c r="AD241" s="3270"/>
      <c r="AE241" s="3270"/>
      <c r="AF241" s="3270"/>
      <c r="AG241" s="3270"/>
      <c r="AH241" s="1018"/>
      <c r="AI241" s="1018"/>
      <c r="AJ241" s="1018"/>
      <c r="AK241" s="1018"/>
    </row>
    <row r="242" spans="1:39">
      <c r="A242" s="1010"/>
      <c r="B242" s="988"/>
      <c r="C242" s="1100"/>
      <c r="D242" s="1365"/>
      <c r="E242" s="1365"/>
      <c r="F242" s="1365"/>
      <c r="G242" s="1365"/>
      <c r="H242" s="1365"/>
      <c r="I242" s="1365"/>
      <c r="J242" s="1365"/>
      <c r="K242" s="921"/>
      <c r="L242" s="921"/>
      <c r="M242" s="921"/>
      <c r="N242" s="921"/>
      <c r="O242" s="921"/>
      <c r="P242" s="921"/>
      <c r="Q242" s="921"/>
      <c r="R242" s="921"/>
      <c r="S242" s="921"/>
      <c r="T242" s="1056"/>
      <c r="U242" s="1000"/>
      <c r="V242" s="1000"/>
      <c r="W242" s="1000"/>
      <c r="X242" s="1000"/>
      <c r="Y242" s="1387"/>
      <c r="Z242" s="1074"/>
      <c r="AA242" s="1074"/>
      <c r="AB242" s="921"/>
      <c r="AC242" s="921"/>
      <c r="AD242" s="921"/>
      <c r="AE242" s="1018"/>
      <c r="AF242" s="1018"/>
      <c r="AG242" s="1018"/>
      <c r="AH242" s="1018"/>
      <c r="AI242" s="1018"/>
      <c r="AJ242" s="1018"/>
      <c r="AK242" s="1018"/>
    </row>
    <row r="243" spans="1:39">
      <c r="A243" s="1010"/>
      <c r="B243" s="1402" t="s">
        <v>1917</v>
      </c>
      <c r="C243" s="1100"/>
      <c r="D243" s="1365"/>
      <c r="E243" s="1365"/>
      <c r="F243" s="1365"/>
      <c r="G243" s="1365"/>
      <c r="H243" s="1365"/>
      <c r="I243" s="1365"/>
      <c r="J243" s="1365"/>
      <c r="K243" s="921"/>
      <c r="L243" s="921"/>
      <c r="M243" s="921"/>
      <c r="N243" s="921"/>
      <c r="O243" s="921"/>
      <c r="P243" s="921"/>
      <c r="Q243" s="921"/>
      <c r="R243" s="921"/>
      <c r="S243" s="921"/>
      <c r="T243" s="1056"/>
      <c r="U243" s="1388"/>
      <c r="V243" s="1388"/>
      <c r="W243" s="1388"/>
      <c r="X243" s="1388"/>
      <c r="Y243" s="1388"/>
      <c r="Z243" s="1074"/>
      <c r="AA243" s="1074"/>
      <c r="AB243" s="3259">
        <f>PV(AB240/12,AB239*12,-AB237/12, ,0)</f>
        <v>0</v>
      </c>
      <c r="AC243" s="3260"/>
      <c r="AD243" s="3260"/>
      <c r="AE243" s="3260"/>
      <c r="AF243" s="3260"/>
      <c r="AG243" s="3261"/>
      <c r="AH243" s="1018"/>
      <c r="AI243" s="1018"/>
      <c r="AJ243" s="1018"/>
      <c r="AK243" s="1018"/>
    </row>
    <row r="244" spans="1:39">
      <c r="A244" s="1010"/>
      <c r="B244" s="1402"/>
      <c r="C244" s="1100"/>
      <c r="D244" s="1365"/>
      <c r="E244" s="1365"/>
      <c r="F244" s="1365"/>
      <c r="G244" s="1365"/>
      <c r="H244" s="1365"/>
      <c r="I244" s="1365"/>
      <c r="J244" s="1365"/>
      <c r="K244" s="921"/>
      <c r="L244" s="921"/>
      <c r="M244" s="921"/>
      <c r="N244" s="921"/>
      <c r="O244" s="921"/>
      <c r="P244" s="921"/>
      <c r="Q244" s="921"/>
      <c r="R244" s="921"/>
      <c r="S244" s="921"/>
      <c r="T244" s="1056"/>
      <c r="U244" s="1388"/>
      <c r="V244" s="1388"/>
      <c r="W244" s="1388"/>
      <c r="X244" s="1388"/>
      <c r="Y244" s="1388"/>
      <c r="Z244" s="1074"/>
      <c r="AA244" s="1074"/>
      <c r="AB244" s="1403"/>
      <c r="AC244" s="1403"/>
      <c r="AD244" s="1403"/>
      <c r="AE244" s="1403"/>
      <c r="AF244" s="1403"/>
      <c r="AG244" s="1403"/>
      <c r="AH244" s="1018"/>
      <c r="AI244" s="1018"/>
      <c r="AJ244" s="1018"/>
      <c r="AK244" s="1018"/>
    </row>
    <row r="245" spans="1:39">
      <c r="A245" s="1010"/>
      <c r="B245" s="1402"/>
      <c r="C245" s="1100"/>
      <c r="D245" s="1365"/>
      <c r="E245" s="1365"/>
      <c r="F245" s="1365"/>
      <c r="G245" s="1365"/>
      <c r="H245" s="1365"/>
      <c r="I245" s="1365"/>
      <c r="J245" s="1365"/>
      <c r="K245" s="921"/>
      <c r="L245" s="921"/>
      <c r="M245" s="921"/>
      <c r="N245" s="921"/>
      <c r="O245" s="921"/>
      <c r="P245" s="921"/>
      <c r="Q245" s="921"/>
      <c r="R245" s="921"/>
      <c r="S245" s="921"/>
      <c r="T245" s="1056"/>
      <c r="U245" s="1388"/>
      <c r="V245" s="1388"/>
      <c r="W245" s="1388"/>
      <c r="X245" s="1388"/>
      <c r="Y245" s="1388"/>
      <c r="Z245" s="1074"/>
      <c r="AA245" s="1074"/>
      <c r="AB245" s="1403"/>
      <c r="AC245" s="1403"/>
      <c r="AD245" s="1403"/>
      <c r="AE245" s="1403"/>
      <c r="AF245" s="1403"/>
      <c r="AG245" s="1403"/>
      <c r="AH245" s="1018"/>
      <c r="AI245" s="1018"/>
      <c r="AJ245" s="1018"/>
      <c r="AK245" s="1018"/>
    </row>
    <row r="246" spans="1:39">
      <c r="A246" s="1010"/>
      <c r="B246" s="1392" t="s">
        <v>1893</v>
      </c>
      <c r="C246" s="1392"/>
      <c r="D246" s="1365"/>
      <c r="E246" s="1365"/>
      <c r="F246" s="1365"/>
      <c r="G246" s="1365"/>
      <c r="H246" s="1365"/>
      <c r="I246" s="1365"/>
      <c r="J246" s="1365"/>
      <c r="K246" s="921"/>
      <c r="L246" s="921"/>
      <c r="M246" s="921"/>
      <c r="N246" s="921"/>
      <c r="O246" s="921"/>
      <c r="P246" s="921"/>
      <c r="Q246" s="921"/>
      <c r="R246" s="921"/>
      <c r="S246" s="921"/>
      <c r="T246" s="921"/>
      <c r="U246" s="921"/>
      <c r="V246" s="921"/>
      <c r="W246" s="921"/>
      <c r="X246" s="921"/>
      <c r="Y246" s="1074"/>
      <c r="Z246" s="1074"/>
      <c r="AA246" s="1074"/>
      <c r="AB246" s="1074"/>
      <c r="AC246" s="921"/>
      <c r="AD246" s="921"/>
      <c r="AE246" s="1018"/>
      <c r="AF246" s="1018"/>
      <c r="AG246" s="1018"/>
      <c r="AH246" s="1018"/>
      <c r="AI246" s="1018"/>
      <c r="AJ246" s="1018"/>
      <c r="AK246" s="1018"/>
    </row>
    <row r="247" spans="1:39">
      <c r="A247" s="1010"/>
      <c r="B247" s="1010" t="s">
        <v>1896</v>
      </c>
      <c r="C247" s="1100"/>
      <c r="D247" s="1365"/>
      <c r="E247" s="1365"/>
      <c r="F247" s="1365"/>
      <c r="G247" s="1365"/>
      <c r="H247" s="1365"/>
      <c r="I247" s="1365"/>
      <c r="J247" s="1365"/>
      <c r="K247" s="921"/>
      <c r="L247" s="921"/>
      <c r="M247" s="921"/>
      <c r="N247" s="921"/>
      <c r="O247" s="921"/>
      <c r="P247" s="921"/>
      <c r="Q247" s="921"/>
      <c r="R247" s="921"/>
      <c r="S247" s="921"/>
      <c r="T247" s="921"/>
      <c r="U247" s="921"/>
      <c r="V247" s="921"/>
      <c r="W247" s="921"/>
      <c r="X247" s="921"/>
      <c r="Y247" s="1074"/>
      <c r="Z247" s="1074"/>
      <c r="AA247" s="1074"/>
      <c r="AB247" s="1074"/>
      <c r="AC247" s="921"/>
      <c r="AD247" s="921"/>
      <c r="AE247" s="1018"/>
      <c r="AF247" s="1018"/>
      <c r="AG247" s="1018"/>
      <c r="AH247" s="1018"/>
      <c r="AI247" s="1018"/>
      <c r="AJ247" s="1018"/>
      <c r="AK247" s="1018"/>
    </row>
    <row r="248" spans="1:39">
      <c r="A248" s="1010"/>
      <c r="B248" s="1010" t="s">
        <v>1895</v>
      </c>
      <c r="C248" s="1100"/>
      <c r="D248" s="1365"/>
      <c r="E248" s="1365"/>
      <c r="F248" s="1365"/>
      <c r="G248" s="1365"/>
      <c r="H248" s="1365"/>
      <c r="I248" s="1365"/>
      <c r="J248" s="1365"/>
      <c r="K248" s="921"/>
      <c r="L248" s="921"/>
      <c r="M248" s="921"/>
      <c r="N248" s="921"/>
      <c r="O248" s="921"/>
      <c r="P248" s="921"/>
      <c r="Q248" s="921"/>
      <c r="R248" s="921"/>
      <c r="S248" s="921"/>
      <c r="T248" s="921"/>
      <c r="U248" s="921"/>
      <c r="V248" s="921"/>
      <c r="W248" s="921"/>
      <c r="X248" s="921"/>
      <c r="Y248" s="1074"/>
      <c r="Z248" s="1074"/>
      <c r="AA248" s="1074"/>
      <c r="AB248" s="1074"/>
      <c r="AC248" s="921"/>
      <c r="AD248" s="921"/>
      <c r="AE248" s="1018"/>
      <c r="AF248" s="1018"/>
      <c r="AG248" s="1018"/>
      <c r="AH248" s="1018"/>
      <c r="AI248" s="1018"/>
      <c r="AJ248" s="1018"/>
      <c r="AK248" s="1018"/>
    </row>
    <row r="249" spans="1:39">
      <c r="A249" s="1010"/>
      <c r="B249" s="1010" t="s">
        <v>1894</v>
      </c>
      <c r="C249" s="1100"/>
      <c r="D249" s="1365"/>
      <c r="E249" s="1365"/>
      <c r="F249" s="1365"/>
      <c r="G249" s="1365"/>
      <c r="H249" s="1365"/>
      <c r="I249" s="1365"/>
      <c r="J249" s="1365"/>
      <c r="K249" s="921"/>
      <c r="L249" s="921"/>
      <c r="M249" s="921"/>
      <c r="N249" s="921"/>
      <c r="O249" s="921"/>
      <c r="P249" s="921"/>
      <c r="Q249" s="921"/>
      <c r="R249" s="921"/>
      <c r="S249" s="921"/>
      <c r="T249" s="921"/>
      <c r="U249" s="921"/>
      <c r="V249" s="921"/>
      <c r="W249" s="921"/>
      <c r="X249" s="921"/>
      <c r="Y249" s="1074"/>
      <c r="Z249" s="1074"/>
      <c r="AA249" s="1074"/>
      <c r="AB249" s="3263">
        <f>IFERROR(('Sources and Uses Budget'!D105/'Sources and Uses Budget'!B105),0)</f>
        <v>0</v>
      </c>
      <c r="AC249" s="3264"/>
      <c r="AD249" s="3264"/>
      <c r="AE249" s="3264"/>
      <c r="AF249" s="3264"/>
      <c r="AG249" s="3265"/>
      <c r="AH249" s="1405"/>
      <c r="AI249" s="1405"/>
      <c r="AJ249" s="1405"/>
      <c r="AK249" s="1018"/>
    </row>
    <row r="250" spans="1:39">
      <c r="A250" s="1010"/>
      <c r="B250" s="992"/>
      <c r="C250" s="1100"/>
      <c r="D250" s="1365"/>
      <c r="E250" s="1365"/>
      <c r="F250" s="1365"/>
      <c r="G250" s="1365"/>
      <c r="H250" s="1365"/>
      <c r="I250" s="1365"/>
      <c r="J250" s="1365"/>
      <c r="K250" s="921"/>
      <c r="L250" s="921"/>
      <c r="M250" s="921"/>
      <c r="N250" s="921"/>
      <c r="O250" s="921"/>
      <c r="P250" s="921"/>
      <c r="Q250" s="921"/>
      <c r="R250" s="921"/>
      <c r="S250" s="921"/>
      <c r="T250" s="921"/>
      <c r="U250" s="921"/>
      <c r="V250" s="921"/>
      <c r="W250" s="921"/>
      <c r="X250" s="921"/>
      <c r="Y250" s="1074"/>
      <c r="Z250" s="1074"/>
      <c r="AA250" s="1074"/>
      <c r="AB250" s="1074"/>
      <c r="AC250" s="921"/>
      <c r="AD250" s="921"/>
      <c r="AE250" s="1018"/>
      <c r="AF250" s="1018"/>
      <c r="AG250" s="1018"/>
      <c r="AH250" s="1018"/>
      <c r="AI250" s="1018"/>
      <c r="AJ250" s="1018"/>
      <c r="AK250" s="1018"/>
    </row>
    <row r="251" spans="1:39">
      <c r="A251" s="1039"/>
      <c r="B251" s="918" t="s">
        <v>1642</v>
      </c>
      <c r="C251" s="1040"/>
      <c r="D251" s="1040"/>
      <c r="E251" s="1041"/>
      <c r="F251" s="1041"/>
      <c r="H251" s="1042"/>
      <c r="I251" s="1042"/>
      <c r="J251" s="1042"/>
      <c r="K251" s="1042"/>
      <c r="L251" s="1042"/>
      <c r="M251" s="1042"/>
      <c r="N251" s="1042"/>
      <c r="O251" s="1042"/>
      <c r="P251" s="1042"/>
      <c r="Q251" s="1042"/>
      <c r="R251" s="1042"/>
      <c r="Y251" s="1042"/>
      <c r="Z251" s="1042"/>
      <c r="AA251" s="1042"/>
      <c r="AB251" s="1039"/>
      <c r="AC251" s="1039"/>
      <c r="AD251" s="1039"/>
      <c r="AE251" s="1039"/>
      <c r="AG251" s="3097">
        <f>AD194*(1-AB249)</f>
        <v>10000000</v>
      </c>
      <c r="AH251" s="3097"/>
      <c r="AI251" s="3097"/>
      <c r="AJ251" s="3097"/>
      <c r="AK251" s="3097"/>
    </row>
    <row r="252" spans="1:39">
      <c r="A252" s="1039"/>
      <c r="B252" s="1043" t="s">
        <v>1643</v>
      </c>
      <c r="C252" s="1044"/>
      <c r="D252" s="1042"/>
      <c r="E252" s="1042"/>
      <c r="F252" s="1044"/>
      <c r="G252" s="1044"/>
      <c r="H252" s="1044"/>
      <c r="I252" s="1044"/>
      <c r="J252" s="1044"/>
      <c r="K252" s="1044"/>
      <c r="L252" s="1044"/>
      <c r="M252" s="1042"/>
      <c r="N252" s="1044"/>
      <c r="O252" s="1044"/>
      <c r="P252" s="1044"/>
      <c r="Q252" s="1044"/>
      <c r="R252" s="1044"/>
      <c r="Y252" s="1042"/>
      <c r="Z252" s="1042"/>
      <c r="AA252" s="1042"/>
      <c r="AB252" s="1039"/>
      <c r="AC252" s="1039"/>
      <c r="AD252" s="1039"/>
      <c r="AE252" s="1039"/>
      <c r="AG252" s="3097">
        <f>'Sources and Uses Budget'!C105</f>
        <v>98828834</v>
      </c>
      <c r="AH252" s="3097"/>
      <c r="AI252" s="3097"/>
      <c r="AJ252" s="3097"/>
      <c r="AK252" s="3097"/>
    </row>
    <row r="253" spans="1:39">
      <c r="A253" s="1039"/>
      <c r="B253" s="1042" t="s">
        <v>13</v>
      </c>
      <c r="C253" s="1042"/>
      <c r="D253" s="1042"/>
      <c r="E253" s="1042"/>
      <c r="F253" s="1042"/>
      <c r="G253" s="1042"/>
      <c r="H253" s="1042"/>
      <c r="I253" s="1042"/>
      <c r="J253" s="1042"/>
      <c r="K253" s="1042"/>
      <c r="L253" s="1042"/>
      <c r="M253" s="1042"/>
      <c r="N253" s="1042"/>
      <c r="O253" s="1042"/>
      <c r="P253" s="1042"/>
      <c r="Q253" s="1042"/>
      <c r="R253" s="1042"/>
      <c r="Y253" s="1042"/>
      <c r="Z253" s="1042"/>
      <c r="AA253" s="1042"/>
      <c r="AB253" s="1039"/>
      <c r="AC253" s="1039"/>
      <c r="AD253" s="1039"/>
      <c r="AE253" s="1039"/>
      <c r="AG253" s="3255">
        <f>ROUNDDOWN(IF(AND(C274="Yes",AK72=10),((AG251*2)/AG252),AG251/AG252),2)</f>
        <v>0.1</v>
      </c>
      <c r="AH253" s="3255"/>
      <c r="AI253" s="3255"/>
      <c r="AJ253" s="3255"/>
      <c r="AK253" s="3255"/>
    </row>
    <row r="254" spans="1:39">
      <c r="A254" s="1039"/>
      <c r="B254" s="1683" t="s">
        <v>2236</v>
      </c>
      <c r="C254" s="1042"/>
      <c r="D254" s="1042"/>
      <c r="E254" s="1042"/>
      <c r="F254" s="1042"/>
      <c r="G254" s="1042"/>
      <c r="H254" s="1042"/>
      <c r="I254" s="1042"/>
      <c r="J254" s="1042"/>
      <c r="K254" s="1042"/>
      <c r="L254" s="1042"/>
      <c r="M254" s="1042"/>
      <c r="N254" s="1042"/>
      <c r="O254" s="1042"/>
      <c r="P254" s="1042"/>
      <c r="Q254" s="1042"/>
      <c r="R254" s="1042"/>
      <c r="Y254" s="1042"/>
      <c r="Z254" s="1042"/>
      <c r="AA254" s="1042"/>
      <c r="AB254" s="1039"/>
      <c r="AC254" s="1039"/>
      <c r="AD254" s="1039"/>
      <c r="AE254" s="1039"/>
      <c r="AG254" s="1682"/>
      <c r="AH254" s="1682"/>
      <c r="AI254" s="1682"/>
      <c r="AJ254" s="1682"/>
      <c r="AK254" s="1682"/>
    </row>
    <row r="255" spans="1:39">
      <c r="A255" s="1045"/>
      <c r="B255" s="1045"/>
      <c r="C255" s="1045"/>
      <c r="D255" s="1045"/>
      <c r="E255" s="1045"/>
      <c r="F255" s="1045"/>
      <c r="G255" s="1045"/>
      <c r="H255" s="1045"/>
      <c r="I255" s="1045"/>
      <c r="J255" s="1045"/>
      <c r="K255" s="1045"/>
      <c r="L255" s="1045"/>
      <c r="M255" s="1045"/>
      <c r="N255" s="1045"/>
      <c r="O255" s="1045"/>
      <c r="P255" s="1045"/>
      <c r="Q255" s="1045"/>
      <c r="R255" s="1045"/>
      <c r="S255" s="1045"/>
      <c r="T255" s="1045"/>
      <c r="U255" s="1045"/>
      <c r="V255" s="1045"/>
      <c r="W255" s="1045"/>
      <c r="X255" s="1045"/>
      <c r="Y255" s="1045"/>
      <c r="Z255" s="1045"/>
      <c r="AA255" s="1045"/>
      <c r="AB255" s="1045"/>
      <c r="AC255" s="1045"/>
      <c r="AD255" s="1045"/>
      <c r="AE255" s="1045"/>
      <c r="AF255" s="1045"/>
      <c r="AG255" s="1045"/>
      <c r="AH255" s="1045"/>
      <c r="AI255" s="1045"/>
      <c r="AJ255" s="1045"/>
    </row>
    <row r="256" spans="1:39">
      <c r="A256" s="1046"/>
      <c r="B256" s="1046"/>
      <c r="C256" s="1046"/>
      <c r="D256" s="1046"/>
      <c r="E256" s="1046"/>
      <c r="F256" s="1046"/>
      <c r="G256" s="1046"/>
      <c r="H256" s="1046"/>
      <c r="I256" s="1046"/>
      <c r="J256" s="1046"/>
      <c r="K256" s="1046"/>
      <c r="L256" s="1046"/>
      <c r="M256" s="1046"/>
      <c r="N256" s="1046"/>
      <c r="O256" s="1046"/>
      <c r="P256" s="1046"/>
      <c r="Q256" s="1046"/>
      <c r="R256" s="1046"/>
      <c r="S256" s="1046"/>
      <c r="T256" s="1046"/>
      <c r="U256" s="1046"/>
      <c r="V256" s="1046"/>
      <c r="W256" s="1046"/>
      <c r="X256" s="1046"/>
      <c r="Y256" s="1046"/>
      <c r="Z256" s="1046"/>
      <c r="AA256" s="1046"/>
      <c r="AB256" s="1046"/>
      <c r="AC256" s="1046"/>
      <c r="AD256" s="1046"/>
      <c r="AE256" s="1046"/>
      <c r="AF256" s="1046"/>
      <c r="AG256" s="1046"/>
      <c r="AH256" s="1047"/>
      <c r="AI256" s="953"/>
      <c r="AJ256" s="953" t="s">
        <v>1644</v>
      </c>
      <c r="AK256" s="3248">
        <f>IF(AG253=0,0,IF((AG253*100)&gt;8,8,(AG253*100)))</f>
        <v>8</v>
      </c>
      <c r="AL256" s="3248"/>
      <c r="AM256" s="3249"/>
    </row>
    <row r="257" spans="1:81" ht="13.8" thickBot="1"/>
    <row r="258" spans="1:81" s="937" customFormat="1" ht="12.75" customHeight="1" thickTop="1">
      <c r="A258" s="1048"/>
      <c r="B258" s="1049"/>
      <c r="C258" s="1049"/>
      <c r="D258" s="1049"/>
      <c r="E258" s="1049"/>
      <c r="F258" s="1049"/>
      <c r="G258" s="1049"/>
      <c r="H258" s="1049"/>
      <c r="I258" s="1049"/>
      <c r="J258" s="1049"/>
      <c r="K258" s="1049"/>
      <c r="L258" s="1049"/>
      <c r="M258" s="1049"/>
      <c r="N258" s="1049"/>
      <c r="O258" s="1049"/>
      <c r="P258" s="1049"/>
      <c r="Q258" s="1049"/>
      <c r="R258" s="1049"/>
      <c r="S258" s="1049"/>
      <c r="T258" s="1049"/>
      <c r="U258" s="1049"/>
      <c r="V258" s="1049"/>
      <c r="W258" s="1049"/>
      <c r="X258" s="1049"/>
      <c r="Y258" s="1049"/>
      <c r="Z258" s="1049"/>
      <c r="AA258" s="1049"/>
      <c r="AB258" s="1049"/>
      <c r="AC258" s="1050"/>
      <c r="AD258" s="1049"/>
      <c r="AE258" s="1049"/>
      <c r="AF258" s="1049"/>
      <c r="AG258" s="1049"/>
      <c r="AH258" s="1023"/>
      <c r="AI258" s="1051"/>
      <c r="AJ258" s="1051"/>
      <c r="AK258" s="1052"/>
      <c r="AL258" s="1052"/>
      <c r="AM258" s="1053"/>
      <c r="AN258" s="994"/>
      <c r="AO258" s="1020"/>
      <c r="AP258" s="1000"/>
      <c r="AQ258" s="1000"/>
      <c r="AR258" s="1000"/>
      <c r="AS258" s="1000"/>
      <c r="AT258" s="1000"/>
      <c r="AU258" s="1000"/>
      <c r="AV258" s="1000"/>
      <c r="AW258" s="1000"/>
      <c r="AX258" s="1000"/>
      <c r="AY258" s="1000"/>
      <c r="AZ258" s="1000"/>
      <c r="BA258" s="1020"/>
      <c r="BB258" s="1020"/>
      <c r="BC258" s="1020"/>
      <c r="BD258" s="1020"/>
      <c r="BE258" s="1020"/>
      <c r="BF258" s="1020"/>
      <c r="BG258" s="1020"/>
      <c r="BH258" s="1020"/>
      <c r="BI258" s="1020"/>
      <c r="BJ258" s="1020"/>
      <c r="BK258" s="1020"/>
      <c r="BL258" s="1020"/>
      <c r="BM258" s="1020"/>
      <c r="BN258" s="1020"/>
      <c r="BO258" s="1020"/>
      <c r="BP258" s="1020"/>
      <c r="BQ258" s="1020"/>
      <c r="BR258" s="1020"/>
      <c r="BS258" s="1020"/>
      <c r="BT258" s="1020"/>
      <c r="BU258" s="1020"/>
      <c r="BV258" s="1020"/>
      <c r="BW258" s="1020"/>
      <c r="BX258" s="1020"/>
      <c r="BY258" s="1020"/>
      <c r="BZ258" s="1020"/>
      <c r="CA258" s="1020"/>
      <c r="CB258" s="1020"/>
      <c r="CC258" s="1020"/>
    </row>
    <row r="259" spans="1:81">
      <c r="A259" s="982" t="s">
        <v>1645</v>
      </c>
      <c r="B259" s="982" t="s">
        <v>1646</v>
      </c>
      <c r="C259" s="1006"/>
      <c r="D259" s="937"/>
      <c r="E259" s="1054"/>
      <c r="F259" s="1020"/>
      <c r="G259" s="1020"/>
      <c r="H259" s="1020"/>
      <c r="I259" s="1020"/>
      <c r="J259" s="1020"/>
      <c r="K259" s="1020"/>
      <c r="L259" s="1020"/>
      <c r="M259" s="1020"/>
      <c r="N259" s="1020"/>
      <c r="O259" s="1020"/>
      <c r="P259" s="1020"/>
      <c r="Q259" s="1020"/>
      <c r="R259" s="1020"/>
      <c r="S259" s="1020"/>
      <c r="T259" s="1020"/>
      <c r="U259" s="1020"/>
      <c r="V259" s="1020"/>
      <c r="W259" s="1020"/>
      <c r="X259" s="1020"/>
      <c r="Y259" s="1020"/>
      <c r="Z259" s="1020"/>
      <c r="AA259" s="1020"/>
      <c r="AB259" s="1020"/>
      <c r="AC259" s="1020"/>
      <c r="AD259" s="1020"/>
      <c r="AE259" s="1020"/>
      <c r="AF259" s="1020"/>
      <c r="AG259" s="1020"/>
      <c r="AH259" s="1028" t="s">
        <v>1583</v>
      </c>
      <c r="AI259" s="1020"/>
      <c r="AJ259" s="937"/>
      <c r="AK259" s="1020"/>
      <c r="AL259" s="1020"/>
      <c r="AM259" s="1020"/>
      <c r="AN259" s="1055"/>
      <c r="AO259" s="1020"/>
      <c r="AP259" s="1056"/>
      <c r="AQ259" s="1056"/>
      <c r="AR259" s="1057"/>
      <c r="AS259" s="1057"/>
      <c r="AT259" s="1057"/>
      <c r="AU259" s="1056"/>
      <c r="AV259" s="1056"/>
      <c r="AW259" s="1056"/>
      <c r="AX259" s="1056"/>
      <c r="AY259" s="1056"/>
      <c r="AZ259" s="1056"/>
      <c r="BA259" s="1056"/>
      <c r="BB259" s="1056"/>
      <c r="BC259" s="1056"/>
      <c r="BD259" s="1058"/>
      <c r="BE259" s="1058"/>
      <c r="BF259" s="1058"/>
      <c r="BG259" s="1058"/>
      <c r="BH259" s="1058"/>
      <c r="BI259" s="1056"/>
      <c r="BJ259" s="1056"/>
      <c r="BK259" s="1056"/>
      <c r="BL259" s="1056"/>
      <c r="BM259" s="1056"/>
      <c r="BN259" s="1056"/>
      <c r="BO259" s="1056"/>
      <c r="BP259" s="1056"/>
      <c r="BQ259" s="1056"/>
      <c r="BR259" s="1056"/>
      <c r="BS259" s="1056"/>
      <c r="BT259" s="1056"/>
      <c r="BU259" s="1056"/>
      <c r="BV259" s="1056"/>
      <c r="BW259" s="1056"/>
      <c r="BX259" s="1056"/>
      <c r="BY259" s="1056"/>
      <c r="BZ259" s="1056"/>
      <c r="CA259" s="1056"/>
      <c r="CB259" s="1056"/>
      <c r="CC259" s="1056"/>
    </row>
    <row r="260" spans="1:81" ht="14.25" customHeight="1">
      <c r="A260" s="1028"/>
      <c r="AI260" s="938"/>
      <c r="AJ260" s="937"/>
      <c r="AK260" s="1020"/>
      <c r="AL260" s="1020"/>
      <c r="AM260" s="1020"/>
      <c r="AN260" s="1055"/>
      <c r="AO260" s="1020"/>
      <c r="AP260" s="1056"/>
      <c r="AQ260" s="1056"/>
      <c r="AR260" s="1057"/>
      <c r="AS260" s="1057"/>
      <c r="AT260" s="1057"/>
      <c r="AU260" s="1056"/>
      <c r="AV260" s="1056"/>
      <c r="AW260" s="1056"/>
      <c r="AX260" s="1056"/>
      <c r="AY260" s="1056"/>
      <c r="AZ260" s="1056"/>
      <c r="BA260" s="1056"/>
      <c r="BB260" s="1056"/>
      <c r="BC260" s="1056"/>
      <c r="BD260" s="1058"/>
      <c r="BE260" s="1058"/>
      <c r="BF260" s="1058"/>
      <c r="BG260" s="1058"/>
      <c r="BH260" s="1058"/>
      <c r="BI260" s="1056"/>
      <c r="BJ260" s="1056"/>
      <c r="BK260" s="1056"/>
      <c r="BL260" s="1056"/>
      <c r="BM260" s="1056"/>
      <c r="BN260" s="1056"/>
      <c r="BO260" s="1056"/>
      <c r="BP260" s="1056"/>
      <c r="BQ260" s="1056"/>
      <c r="BR260" s="1056"/>
      <c r="BS260" s="1056"/>
      <c r="BT260" s="1056"/>
      <c r="BU260" s="1056"/>
      <c r="BV260" s="1056"/>
      <c r="BW260" s="1056"/>
      <c r="BX260" s="1056"/>
      <c r="BY260" s="1056"/>
      <c r="BZ260" s="1056"/>
      <c r="CA260" s="1056"/>
      <c r="CB260" s="1056"/>
      <c r="CC260" s="1056"/>
    </row>
    <row r="261" spans="1:81" ht="13.8" customHeight="1">
      <c r="A261" s="1054"/>
      <c r="B261" s="1059"/>
      <c r="C261" s="3114" t="s">
        <v>578</v>
      </c>
      <c r="D261" s="3114"/>
      <c r="E261" s="934"/>
      <c r="F261" s="3065" t="s">
        <v>2410</v>
      </c>
      <c r="G261" s="3066"/>
      <c r="H261" s="3066"/>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66"/>
      <c r="AD261" s="3067"/>
      <c r="AE261" s="937"/>
      <c r="AF261" s="1060"/>
      <c r="AG261" s="3253" t="s">
        <v>1632</v>
      </c>
      <c r="AH261" s="3253"/>
      <c r="AI261" s="3253"/>
      <c r="AJ261" s="3253"/>
      <c r="AK261" s="1020"/>
      <c r="AL261" s="1020"/>
      <c r="AM261" s="1020"/>
      <c r="AN261" s="1055"/>
      <c r="AO261" s="937"/>
      <c r="AS261" s="21"/>
      <c r="AT261" s="21"/>
    </row>
    <row r="262" spans="1:81" ht="13.8" customHeight="1">
      <c r="A262" s="1054"/>
      <c r="B262" s="1059"/>
      <c r="C262" s="1061"/>
      <c r="D262" s="937"/>
      <c r="E262" s="934"/>
      <c r="F262" s="3068"/>
      <c r="G262" s="3069"/>
      <c r="H262" s="3069"/>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69"/>
      <c r="AD262" s="3070"/>
      <c r="AE262" s="937"/>
      <c r="AF262" s="1060"/>
      <c r="AG262" s="1060"/>
      <c r="AH262" s="1060"/>
      <c r="AI262" s="1060"/>
      <c r="AJ262" s="937"/>
      <c r="AK262" s="1020"/>
      <c r="AL262" s="1020"/>
      <c r="AM262" s="1020"/>
      <c r="AN262" s="1055"/>
      <c r="AO262" s="937"/>
      <c r="AS262" s="21"/>
      <c r="AT262" s="21"/>
    </row>
    <row r="263" spans="1:81">
      <c r="A263" s="1054"/>
      <c r="B263" s="1059"/>
      <c r="C263" s="1061"/>
      <c r="D263" s="937"/>
      <c r="E263" s="934"/>
      <c r="F263" s="3068"/>
      <c r="G263" s="3069"/>
      <c r="H263" s="3069"/>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69"/>
      <c r="AD263" s="3070"/>
      <c r="AE263" s="937"/>
      <c r="AF263" s="1060"/>
      <c r="AG263" s="1060"/>
      <c r="AH263" s="1060"/>
      <c r="AI263" s="1060"/>
      <c r="AJ263" s="937"/>
      <c r="AK263" s="1020"/>
      <c r="AL263" s="1020"/>
      <c r="AM263" s="1020"/>
      <c r="AN263" s="1055"/>
      <c r="AO263" s="937"/>
      <c r="AP263" s="1062"/>
      <c r="AS263" s="21"/>
      <c r="AT263" s="21"/>
    </row>
    <row r="264" spans="1:81" ht="13.8" customHeight="1">
      <c r="A264" s="1054"/>
      <c r="B264" s="1059"/>
      <c r="C264" s="3254"/>
      <c r="D264" s="3254"/>
      <c r="E264" s="934"/>
      <c r="F264" s="3071"/>
      <c r="G264" s="3072"/>
      <c r="H264" s="3072"/>
      <c r="I264" s="3072"/>
      <c r="J264" s="3072"/>
      <c r="K264" s="3072"/>
      <c r="L264" s="3072"/>
      <c r="M264" s="3072"/>
      <c r="N264" s="3072"/>
      <c r="O264" s="3072"/>
      <c r="P264" s="3072"/>
      <c r="Q264" s="3072"/>
      <c r="R264" s="3072"/>
      <c r="S264" s="3072"/>
      <c r="T264" s="3072"/>
      <c r="U264" s="3072"/>
      <c r="V264" s="3072"/>
      <c r="W264" s="3072"/>
      <c r="X264" s="3072"/>
      <c r="Y264" s="3072"/>
      <c r="Z264" s="3072"/>
      <c r="AA264" s="3072"/>
      <c r="AB264" s="3072"/>
      <c r="AC264" s="3072"/>
      <c r="AD264" s="3073"/>
      <c r="AE264" s="937"/>
      <c r="AF264" s="1060"/>
      <c r="AG264" s="3253"/>
      <c r="AH264" s="3253"/>
      <c r="AI264" s="3253"/>
      <c r="AJ264" s="3253"/>
      <c r="AK264" s="1020"/>
      <c r="AL264" s="1020"/>
      <c r="AM264" s="1020"/>
      <c r="AN264" s="1055"/>
      <c r="AS264" s="21"/>
      <c r="AT264" s="21"/>
    </row>
    <row r="265" spans="1:81" ht="13.8" hidden="1" customHeight="1">
      <c r="A265" s="1054"/>
      <c r="C265" s="1063"/>
      <c r="D265" s="1063"/>
      <c r="E265" s="1063"/>
      <c r="F265" s="1817"/>
      <c r="G265" s="1818"/>
      <c r="H265" s="1818"/>
      <c r="I265" s="1818"/>
      <c r="J265" s="1818"/>
      <c r="K265" s="1818"/>
      <c r="L265" s="1818"/>
      <c r="M265" s="1818"/>
      <c r="N265" s="1818"/>
      <c r="O265" s="1818"/>
      <c r="P265" s="1818"/>
      <c r="Q265" s="1818"/>
      <c r="R265" s="1818"/>
      <c r="S265" s="1818"/>
      <c r="T265" s="1818"/>
      <c r="U265" s="1818"/>
      <c r="V265" s="1818"/>
      <c r="W265" s="1818"/>
      <c r="X265" s="1818"/>
      <c r="Y265" s="1818"/>
      <c r="Z265" s="1818"/>
      <c r="AA265" s="1818"/>
      <c r="AB265" s="1818"/>
      <c r="AC265" s="1818"/>
      <c r="AD265" s="1819"/>
      <c r="AE265" s="1063"/>
      <c r="AF265" s="1063"/>
      <c r="AG265" s="1063"/>
      <c r="AH265" s="1063"/>
      <c r="AI265" s="1060"/>
      <c r="AJ265" s="937"/>
      <c r="AK265" s="1020"/>
      <c r="AL265" s="1020"/>
      <c r="AM265" s="1020"/>
      <c r="AN265" s="1055"/>
      <c r="AQ265" s="21"/>
      <c r="AR265" s="21"/>
      <c r="AS265" s="21"/>
      <c r="AT265" s="21"/>
    </row>
    <row r="266" spans="1:81">
      <c r="A266" s="1064"/>
      <c r="B266" s="1063"/>
      <c r="C266" s="1063"/>
      <c r="D266" s="1063"/>
      <c r="E266" s="1063"/>
      <c r="F266" s="1063"/>
      <c r="G266" s="1063"/>
      <c r="H266" s="1063"/>
      <c r="I266" s="1063"/>
      <c r="J266" s="1063"/>
      <c r="K266" s="1063"/>
      <c r="L266" s="1063"/>
      <c r="M266" s="1063"/>
      <c r="N266" s="1063"/>
      <c r="O266" s="1063"/>
      <c r="P266" s="1063"/>
      <c r="Q266" s="1063"/>
      <c r="R266" s="1063"/>
      <c r="S266" s="1063"/>
      <c r="T266" s="1063"/>
      <c r="U266" s="1063"/>
      <c r="V266" s="1063"/>
      <c r="W266" s="1063"/>
      <c r="X266" s="1063"/>
      <c r="Y266" s="1063"/>
      <c r="Z266" s="1063"/>
      <c r="AA266" s="1063"/>
      <c r="AB266" s="1063"/>
      <c r="AC266" s="1063"/>
      <c r="AD266" s="1063"/>
      <c r="AE266" s="1063"/>
      <c r="AF266" s="1063"/>
      <c r="AG266" s="1063"/>
      <c r="AH266" s="1063"/>
      <c r="AI266" s="1063"/>
      <c r="AJ266" s="1063"/>
      <c r="AK266" s="1063"/>
      <c r="AL266" s="1020"/>
      <c r="AM266" s="1020"/>
      <c r="AN266" s="110"/>
      <c r="AR266" s="21"/>
    </row>
    <row r="267" spans="1:81">
      <c r="A267" s="1065"/>
      <c r="B267" s="952"/>
      <c r="C267" s="1012"/>
      <c r="D267" s="1012"/>
      <c r="E267" s="952"/>
      <c r="F267" s="1012"/>
      <c r="G267" s="1012"/>
      <c r="H267" s="1012"/>
      <c r="I267" s="1012"/>
      <c r="J267" s="1012"/>
      <c r="K267" s="1012"/>
      <c r="L267" s="1012"/>
      <c r="M267" s="1012"/>
      <c r="N267" s="1012"/>
      <c r="O267" s="1012"/>
      <c r="P267" s="1012"/>
      <c r="Q267" s="1012"/>
      <c r="R267" s="1012"/>
      <c r="S267" s="1012"/>
      <c r="T267" s="1012"/>
      <c r="U267" s="1012"/>
      <c r="V267" s="1012"/>
      <c r="W267" s="1012"/>
      <c r="X267" s="1012"/>
      <c r="Y267" s="1012"/>
      <c r="Z267" s="1012"/>
      <c r="AA267" s="1012"/>
      <c r="AB267" s="1012"/>
      <c r="AC267" s="1012"/>
      <c r="AD267" s="1012"/>
      <c r="AE267" s="1012"/>
      <c r="AF267" s="1012"/>
      <c r="AG267" s="1012"/>
      <c r="AH267" s="1012"/>
      <c r="AI267" s="953"/>
      <c r="AJ267" s="953" t="s">
        <v>1648</v>
      </c>
      <c r="AK267" s="3248">
        <f>IF($C$261="yes",10,0)</f>
        <v>10</v>
      </c>
      <c r="AL267" s="3248"/>
      <c r="AM267" s="3249"/>
      <c r="AN267" s="110"/>
      <c r="AR267" s="21"/>
    </row>
    <row r="268" spans="1:81" ht="13.8" thickBot="1"/>
    <row r="269" spans="1:81" ht="13.8" thickTop="1">
      <c r="A269" s="1066"/>
      <c r="B269" s="1066"/>
      <c r="C269" s="1066"/>
      <c r="D269" s="1066"/>
      <c r="E269" s="1066"/>
      <c r="F269" s="1066"/>
      <c r="G269" s="1066"/>
      <c r="H269" s="1066"/>
      <c r="I269" s="1066"/>
      <c r="J269" s="1066"/>
      <c r="K269" s="1066"/>
      <c r="L269" s="1066"/>
      <c r="M269" s="1066"/>
      <c r="N269" s="1066"/>
      <c r="O269" s="1066"/>
      <c r="P269" s="1066"/>
      <c r="Q269" s="1066"/>
      <c r="R269" s="1066"/>
      <c r="S269" s="1066"/>
      <c r="T269" s="1066"/>
      <c r="U269" s="1066"/>
      <c r="V269" s="1066"/>
      <c r="W269" s="1066"/>
      <c r="X269" s="1066"/>
      <c r="Y269" s="1066"/>
      <c r="Z269" s="1066"/>
      <c r="AA269" s="1066"/>
      <c r="AB269" s="1066"/>
      <c r="AC269" s="1066"/>
      <c r="AD269" s="1066"/>
      <c r="AE269" s="1066"/>
      <c r="AF269" s="1066"/>
      <c r="AG269" s="1066"/>
      <c r="AH269" s="1066"/>
      <c r="AI269" s="1066"/>
      <c r="AJ269" s="1066"/>
      <c r="AK269" s="1066"/>
      <c r="AL269" s="1066"/>
      <c r="AM269" s="1067"/>
    </row>
    <row r="270" spans="1:81">
      <c r="A270" s="982" t="s">
        <v>1649</v>
      </c>
      <c r="B270" s="982" t="s">
        <v>2376</v>
      </c>
      <c r="AH270" s="1028" t="s">
        <v>1562</v>
      </c>
    </row>
    <row r="271" spans="1:81" ht="15" customHeight="1">
      <c r="B271" s="926" t="s">
        <v>2375</v>
      </c>
    </row>
    <row r="272" spans="1:81" ht="15" customHeight="1">
      <c r="B272" s="926" t="s">
        <v>2377</v>
      </c>
    </row>
    <row r="273" spans="1:53">
      <c r="B273" s="937"/>
      <c r="C273" s="1068"/>
      <c r="D273" s="937"/>
      <c r="E273" s="937"/>
      <c r="F273" s="937"/>
      <c r="G273" s="937"/>
      <c r="H273" s="937"/>
      <c r="I273" s="937"/>
      <c r="J273" s="937"/>
      <c r="K273" s="937"/>
      <c r="L273" s="937"/>
      <c r="M273" s="937"/>
      <c r="N273" s="937"/>
      <c r="O273" s="937"/>
      <c r="P273" s="937"/>
      <c r="Q273" s="937"/>
      <c r="R273" s="937"/>
      <c r="S273" s="937"/>
      <c r="T273" s="937"/>
      <c r="U273" s="937"/>
      <c r="V273" s="937"/>
      <c r="W273" s="937"/>
      <c r="X273" s="937"/>
      <c r="Y273" s="937"/>
      <c r="Z273" s="937"/>
      <c r="AA273" s="937"/>
      <c r="AB273" s="937"/>
      <c r="AC273" s="937"/>
      <c r="AD273" s="937"/>
      <c r="AG273" s="937"/>
      <c r="AI273" s="937"/>
      <c r="AJ273" s="937"/>
      <c r="AK273" s="1020"/>
      <c r="AL273" s="1020"/>
      <c r="AM273" s="1020"/>
      <c r="AN273" s="110"/>
      <c r="AO273" s="51"/>
      <c r="AP273" s="1069"/>
      <c r="AQ273" s="1070"/>
      <c r="AR273" s="1069"/>
      <c r="AS273" s="1069"/>
      <c r="AT273" s="1069"/>
      <c r="AU273" s="1069"/>
      <c r="AV273" s="1071"/>
      <c r="AW273" s="1071"/>
      <c r="AX273" s="112"/>
      <c r="AY273" s="112"/>
      <c r="AZ273" s="112"/>
      <c r="BA273" s="112"/>
    </row>
    <row r="274" spans="1:53" ht="12.75" customHeight="1">
      <c r="A274" s="3226" t="s">
        <v>1651</v>
      </c>
      <c r="B274" s="3226"/>
      <c r="C274" s="3114" t="s">
        <v>626</v>
      </c>
      <c r="D274" s="3114"/>
      <c r="E274" s="934"/>
      <c r="F274" s="3250" t="s">
        <v>1652</v>
      </c>
      <c r="G274" s="3251"/>
      <c r="H274" s="3251"/>
      <c r="I274" s="3251"/>
      <c r="J274" s="3251"/>
      <c r="K274" s="3251"/>
      <c r="L274" s="3251"/>
      <c r="M274" s="3251"/>
      <c r="N274" s="3251"/>
      <c r="O274" s="3251"/>
      <c r="P274" s="3251"/>
      <c r="Q274" s="3251"/>
      <c r="R274" s="3251"/>
      <c r="S274" s="3251"/>
      <c r="T274" s="3251"/>
      <c r="U274" s="3251"/>
      <c r="V274" s="3251"/>
      <c r="W274" s="3251"/>
      <c r="X274" s="3251"/>
      <c r="Y274" s="3251"/>
      <c r="Z274" s="3251"/>
      <c r="AA274" s="3251"/>
      <c r="AB274" s="3251"/>
      <c r="AC274" s="3251"/>
      <c r="AD274" s="3252"/>
      <c r="AE274" s="1072"/>
      <c r="AF274" s="937"/>
      <c r="AG274" s="980" t="s">
        <v>1653</v>
      </c>
      <c r="AH274" s="937"/>
      <c r="AI274" s="937"/>
      <c r="AJ274" s="937"/>
      <c r="AK274" s="1020"/>
      <c r="AL274" s="1020"/>
      <c r="AM274" s="1020"/>
      <c r="AN274" s="110"/>
      <c r="AO274" s="51"/>
      <c r="AP274" s="126"/>
      <c r="AS274" s="1069"/>
      <c r="AT274" s="1069"/>
      <c r="AU274" s="1069"/>
      <c r="AV274" s="1071"/>
      <c r="AW274" s="1071"/>
      <c r="AX274" s="112"/>
      <c r="AY274" s="112"/>
      <c r="AZ274" s="112"/>
      <c r="BA274" s="112"/>
    </row>
    <row r="275" spans="1:53">
      <c r="A275" s="1068"/>
      <c r="B275" s="1059"/>
      <c r="F275" s="3243"/>
      <c r="G275" s="3118"/>
      <c r="H275" s="3118"/>
      <c r="I275" s="3118"/>
      <c r="J275" s="3118"/>
      <c r="K275" s="3118"/>
      <c r="L275" s="3118"/>
      <c r="M275" s="3118"/>
      <c r="N275" s="3118"/>
      <c r="O275" s="3118"/>
      <c r="P275" s="3118"/>
      <c r="Q275" s="3118"/>
      <c r="R275" s="3118"/>
      <c r="S275" s="3118"/>
      <c r="T275" s="3118"/>
      <c r="U275" s="3118"/>
      <c r="V275" s="3118"/>
      <c r="W275" s="3118"/>
      <c r="X275" s="3118"/>
      <c r="Y275" s="3118"/>
      <c r="Z275" s="3118"/>
      <c r="AA275" s="3118"/>
      <c r="AB275" s="3118"/>
      <c r="AC275" s="3118"/>
      <c r="AD275" s="3244"/>
      <c r="AE275" s="1072"/>
      <c r="AF275" s="938"/>
      <c r="AH275" s="938"/>
      <c r="AI275" s="938"/>
      <c r="AJ275" s="937"/>
      <c r="AK275" s="1020"/>
      <c r="AL275" s="1020"/>
      <c r="AM275" s="1020"/>
      <c r="AN275" s="110"/>
      <c r="AO275" s="51"/>
      <c r="AP275" s="937">
        <f>IF($C$274="yes",20,0)</f>
        <v>0</v>
      </c>
      <c r="AR275" s="21"/>
      <c r="AS275" s="1069"/>
      <c r="AT275" s="1069"/>
      <c r="AU275" s="1069"/>
      <c r="AV275" s="1071"/>
      <c r="AW275" s="1071"/>
      <c r="AX275" s="112"/>
      <c r="AY275" s="112"/>
      <c r="AZ275" s="112"/>
      <c r="BA275" s="112"/>
    </row>
    <row r="276" spans="1:53" ht="15" customHeight="1">
      <c r="A276" s="1068"/>
      <c r="B276" s="1059"/>
      <c r="F276" s="3243"/>
      <c r="G276" s="3118"/>
      <c r="H276" s="3118"/>
      <c r="I276" s="3118"/>
      <c r="J276" s="3118"/>
      <c r="K276" s="3118"/>
      <c r="L276" s="3118"/>
      <c r="M276" s="3118"/>
      <c r="N276" s="3118"/>
      <c r="O276" s="3118"/>
      <c r="P276" s="3118"/>
      <c r="Q276" s="3118"/>
      <c r="R276" s="3118"/>
      <c r="S276" s="3118"/>
      <c r="T276" s="3118"/>
      <c r="U276" s="3118"/>
      <c r="V276" s="3118"/>
      <c r="W276" s="3118"/>
      <c r="X276" s="3118"/>
      <c r="Y276" s="3118"/>
      <c r="Z276" s="3118"/>
      <c r="AA276" s="3118"/>
      <c r="AB276" s="3118"/>
      <c r="AC276" s="3118"/>
      <c r="AD276" s="3244"/>
      <c r="AE276" s="1072"/>
      <c r="AF276" s="938"/>
      <c r="AH276" s="938"/>
      <c r="AI276" s="938"/>
      <c r="AJ276" s="937"/>
      <c r="AK276" s="1020"/>
      <c r="AL276" s="1020"/>
      <c r="AM276" s="1020"/>
      <c r="AN276" s="110"/>
      <c r="AO276" s="51"/>
      <c r="AP276" s="937">
        <f>IF($C$284="yes",9,0)</f>
        <v>0</v>
      </c>
      <c r="AR276" s="21"/>
      <c r="AS276" s="1069"/>
      <c r="AT276" s="1069"/>
      <c r="AU276" s="1069"/>
      <c r="AV276" s="1071"/>
      <c r="AW276" s="1071"/>
      <c r="AX276" s="112"/>
      <c r="AY276" s="112"/>
      <c r="AZ276" s="112"/>
      <c r="BA276" s="112"/>
    </row>
    <row r="277" spans="1:53" ht="12.75" customHeight="1">
      <c r="A277" s="1068"/>
      <c r="B277" s="1059"/>
      <c r="F277" s="3243" t="s">
        <v>1654</v>
      </c>
      <c r="G277" s="3118"/>
      <c r="H277" s="3118"/>
      <c r="I277" s="3118"/>
      <c r="J277" s="3118"/>
      <c r="K277" s="3118"/>
      <c r="L277" s="3118"/>
      <c r="M277" s="3118"/>
      <c r="N277" s="3118"/>
      <c r="O277" s="3118"/>
      <c r="P277" s="3118"/>
      <c r="Q277" s="3118"/>
      <c r="R277" s="3118"/>
      <c r="S277" s="3118"/>
      <c r="T277" s="3118"/>
      <c r="U277" s="3118"/>
      <c r="V277" s="3118"/>
      <c r="W277" s="3118"/>
      <c r="X277" s="3118"/>
      <c r="Y277" s="3118"/>
      <c r="Z277" s="3118"/>
      <c r="AA277" s="3118"/>
      <c r="AB277" s="3118"/>
      <c r="AC277" s="3118"/>
      <c r="AD277" s="3244"/>
      <c r="AE277" s="1072"/>
      <c r="AF277" s="938"/>
      <c r="AH277" s="938"/>
      <c r="AI277" s="938"/>
      <c r="AJ277" s="937"/>
      <c r="AK277" s="1020"/>
      <c r="AL277" s="1020"/>
      <c r="AM277" s="1020"/>
      <c r="AN277" s="110"/>
      <c r="AO277" s="51"/>
      <c r="AP277" s="937">
        <f>IF($C$292="yes",9,0)</f>
        <v>9</v>
      </c>
      <c r="AQ277" s="21"/>
      <c r="AR277" s="21"/>
      <c r="AS277" s="1069"/>
      <c r="AT277" s="1069"/>
      <c r="AU277" s="1069"/>
      <c r="AV277" s="1071"/>
      <c r="AW277" s="1071"/>
      <c r="AX277" s="112"/>
      <c r="AY277" s="112"/>
      <c r="AZ277" s="112"/>
      <c r="BA277" s="112"/>
    </row>
    <row r="278" spans="1:53">
      <c r="A278" s="1068"/>
      <c r="B278" s="1059"/>
      <c r="F278" s="3243"/>
      <c r="G278" s="3118"/>
      <c r="H278" s="3118"/>
      <c r="I278" s="3118"/>
      <c r="J278" s="3118"/>
      <c r="K278" s="3118"/>
      <c r="L278" s="3118"/>
      <c r="M278" s="3118"/>
      <c r="N278" s="3118"/>
      <c r="O278" s="3118"/>
      <c r="P278" s="3118"/>
      <c r="Q278" s="3118"/>
      <c r="R278" s="3118"/>
      <c r="S278" s="3118"/>
      <c r="T278" s="3118"/>
      <c r="U278" s="3118"/>
      <c r="V278" s="3118"/>
      <c r="W278" s="3118"/>
      <c r="X278" s="3118"/>
      <c r="Y278" s="3118"/>
      <c r="Z278" s="3118"/>
      <c r="AA278" s="3118"/>
      <c r="AB278" s="3118"/>
      <c r="AC278" s="3118"/>
      <c r="AD278" s="3244"/>
      <c r="AE278" s="1072"/>
      <c r="AF278" s="938"/>
      <c r="AH278" s="938"/>
      <c r="AI278" s="938"/>
      <c r="AJ278" s="937"/>
      <c r="AK278" s="1020"/>
      <c r="AL278" s="1020"/>
      <c r="AM278" s="1020"/>
      <c r="AN278" s="110"/>
      <c r="AO278" s="51"/>
      <c r="AP278" s="937">
        <f>IF($C$315="yes",9,0)</f>
        <v>0</v>
      </c>
      <c r="AR278" s="21"/>
      <c r="AS278" s="1069"/>
      <c r="AT278" s="1069"/>
      <c r="AU278" s="1069"/>
      <c r="AV278" s="1071"/>
      <c r="AW278" s="1071"/>
      <c r="AX278" s="112"/>
      <c r="AY278" s="112"/>
      <c r="AZ278" s="112"/>
      <c r="BA278" s="112"/>
    </row>
    <row r="279" spans="1:53" ht="12.75" customHeight="1">
      <c r="A279" s="1054"/>
      <c r="B279" s="938"/>
      <c r="C279" s="937"/>
      <c r="D279" s="938"/>
      <c r="E279" s="937"/>
      <c r="F279" s="3243" t="s">
        <v>1655</v>
      </c>
      <c r="G279" s="3118"/>
      <c r="H279" s="3118"/>
      <c r="I279" s="3118"/>
      <c r="J279" s="3118"/>
      <c r="K279" s="3118"/>
      <c r="L279" s="3118"/>
      <c r="M279" s="3118"/>
      <c r="N279" s="3118"/>
      <c r="O279" s="3118"/>
      <c r="P279" s="3118"/>
      <c r="Q279" s="3118"/>
      <c r="R279" s="3118"/>
      <c r="S279" s="3118"/>
      <c r="T279" s="3118"/>
      <c r="U279" s="3118"/>
      <c r="V279" s="3118"/>
      <c r="W279" s="3118"/>
      <c r="X279" s="3118"/>
      <c r="Y279" s="3118"/>
      <c r="Z279" s="3118"/>
      <c r="AA279" s="3118"/>
      <c r="AB279" s="3118"/>
      <c r="AC279" s="3118"/>
      <c r="AD279" s="3244"/>
      <c r="AE279" s="1072"/>
      <c r="AF279" s="938"/>
      <c r="AG279" s="938"/>
      <c r="AH279" s="938"/>
      <c r="AI279" s="938"/>
      <c r="AJ279" s="937"/>
      <c r="AK279" s="1020"/>
      <c r="AL279" s="1020"/>
      <c r="AM279" s="1020"/>
      <c r="AN279" s="110"/>
      <c r="AO279" s="51"/>
      <c r="AP279" s="1073">
        <f>MAX(AP275,AP276,AP277,AP278)</f>
        <v>9</v>
      </c>
      <c r="AQ279" s="962" t="s">
        <v>1585</v>
      </c>
      <c r="AR279" s="21"/>
      <c r="AS279" s="1069"/>
      <c r="AT279" s="1069"/>
      <c r="AU279" s="1069"/>
      <c r="AV279" s="1071"/>
      <c r="AW279" s="1071"/>
      <c r="AX279" s="112"/>
      <c r="AY279" s="112"/>
      <c r="AZ279" s="112"/>
      <c r="BA279" s="112"/>
    </row>
    <row r="280" spans="1:53" ht="15" customHeight="1">
      <c r="A280" s="1054"/>
      <c r="B280" s="938"/>
      <c r="C280" s="938"/>
      <c r="D280" s="938"/>
      <c r="E280" s="938"/>
      <c r="F280" s="3243"/>
      <c r="G280" s="3118"/>
      <c r="H280" s="3118"/>
      <c r="I280" s="3118"/>
      <c r="J280" s="3118"/>
      <c r="K280" s="3118"/>
      <c r="L280" s="3118"/>
      <c r="M280" s="3118"/>
      <c r="N280" s="3118"/>
      <c r="O280" s="3118"/>
      <c r="P280" s="3118"/>
      <c r="Q280" s="3118"/>
      <c r="R280" s="3118"/>
      <c r="S280" s="3118"/>
      <c r="T280" s="3118"/>
      <c r="U280" s="3118"/>
      <c r="V280" s="3118"/>
      <c r="W280" s="3118"/>
      <c r="X280" s="3118"/>
      <c r="Y280" s="3118"/>
      <c r="Z280" s="3118"/>
      <c r="AA280" s="3118"/>
      <c r="AB280" s="3118"/>
      <c r="AC280" s="3118"/>
      <c r="AD280" s="3244"/>
      <c r="AE280" s="1072"/>
      <c r="AF280" s="938"/>
      <c r="AG280" s="938"/>
      <c r="AH280" s="938"/>
      <c r="AI280" s="938"/>
      <c r="AJ280" s="937"/>
      <c r="AK280" s="1020"/>
      <c r="AL280" s="1020"/>
      <c r="AM280" s="1020"/>
      <c r="AN280" s="110"/>
      <c r="AO280" s="51"/>
      <c r="AR280" s="21"/>
      <c r="AS280" s="1069"/>
      <c r="AT280" s="1069"/>
      <c r="AU280" s="1069"/>
      <c r="AV280" s="1071"/>
      <c r="AW280" s="1071"/>
      <c r="AX280" s="112"/>
      <c r="AY280" s="112"/>
      <c r="AZ280" s="112"/>
      <c r="BA280" s="112"/>
    </row>
    <row r="281" spans="1:53" ht="12.75" customHeight="1">
      <c r="A281" s="1054"/>
      <c r="B281" s="938"/>
      <c r="C281" s="938"/>
      <c r="D281" s="938"/>
      <c r="E281" s="938"/>
      <c r="F281" s="3243" t="s">
        <v>1656</v>
      </c>
      <c r="G281" s="3118"/>
      <c r="H281" s="3118"/>
      <c r="I281" s="3118"/>
      <c r="J281" s="3118"/>
      <c r="K281" s="3118"/>
      <c r="L281" s="3118"/>
      <c r="M281" s="3118"/>
      <c r="N281" s="3118"/>
      <c r="O281" s="3118"/>
      <c r="P281" s="3118"/>
      <c r="Q281" s="3118"/>
      <c r="R281" s="3118"/>
      <c r="S281" s="3118"/>
      <c r="T281" s="3118"/>
      <c r="U281" s="3118"/>
      <c r="V281" s="3118"/>
      <c r="W281" s="3118"/>
      <c r="X281" s="3118"/>
      <c r="Y281" s="3118"/>
      <c r="Z281" s="3118"/>
      <c r="AA281" s="3118"/>
      <c r="AB281" s="3118"/>
      <c r="AC281" s="3118"/>
      <c r="AD281" s="3244"/>
      <c r="AE281" s="1074"/>
      <c r="AF281" s="938"/>
      <c r="AG281" s="938"/>
      <c r="AH281" s="938"/>
      <c r="AI281" s="938"/>
      <c r="AJ281" s="937"/>
      <c r="AK281" s="1020"/>
      <c r="AL281" s="1020"/>
      <c r="AM281" s="1020"/>
      <c r="AN281" s="110"/>
      <c r="AO281" s="51"/>
      <c r="AP281" s="937"/>
      <c r="AR281" s="21"/>
      <c r="AS281" s="1069"/>
      <c r="AT281" s="1069"/>
      <c r="AU281" s="1069"/>
      <c r="AV281" s="1071"/>
      <c r="AW281" s="1071"/>
      <c r="AX281" s="112"/>
      <c r="AY281" s="112"/>
      <c r="AZ281" s="112"/>
      <c r="BA281" s="112"/>
    </row>
    <row r="282" spans="1:53">
      <c r="A282" s="1054"/>
      <c r="B282" s="938"/>
      <c r="C282" s="938"/>
      <c r="D282" s="938"/>
      <c r="E282" s="938"/>
      <c r="F282" s="3245"/>
      <c r="G282" s="3246"/>
      <c r="H282" s="3246"/>
      <c r="I282" s="3246"/>
      <c r="J282" s="3246"/>
      <c r="K282" s="3246"/>
      <c r="L282" s="3246"/>
      <c r="M282" s="3246"/>
      <c r="N282" s="3246"/>
      <c r="O282" s="3246"/>
      <c r="P282" s="3246"/>
      <c r="Q282" s="3246"/>
      <c r="R282" s="3246"/>
      <c r="S282" s="3246"/>
      <c r="T282" s="3246"/>
      <c r="U282" s="3246"/>
      <c r="V282" s="3246"/>
      <c r="W282" s="3246"/>
      <c r="X282" s="3246"/>
      <c r="Y282" s="3246"/>
      <c r="Z282" s="3246"/>
      <c r="AA282" s="3246"/>
      <c r="AB282" s="3246"/>
      <c r="AC282" s="3246"/>
      <c r="AD282" s="3247"/>
      <c r="AE282" s="1074"/>
      <c r="AF282" s="938"/>
      <c r="AG282" s="938"/>
      <c r="AH282" s="938"/>
      <c r="AI282" s="938"/>
      <c r="AJ282" s="937"/>
      <c r="AK282" s="1020"/>
      <c r="AL282" s="1020"/>
      <c r="AM282" s="1020"/>
      <c r="AN282" s="110"/>
      <c r="AO282" s="51"/>
      <c r="AP282" s="937"/>
      <c r="AR282" s="21"/>
      <c r="AS282" s="1069"/>
      <c r="AT282" s="1069"/>
      <c r="AU282" s="1069"/>
      <c r="AV282" s="1071"/>
      <c r="AW282" s="1071"/>
      <c r="AX282" s="112"/>
      <c r="AY282" s="112"/>
      <c r="AZ282" s="112"/>
      <c r="BA282" s="112"/>
    </row>
    <row r="283" spans="1:53">
      <c r="A283" s="1054"/>
      <c r="B283" s="938"/>
      <c r="C283" s="938"/>
      <c r="D283" s="938"/>
      <c r="E283" s="938"/>
      <c r="F283" s="1074"/>
      <c r="G283" s="1074"/>
      <c r="H283" s="1074"/>
      <c r="I283" s="1074"/>
      <c r="J283" s="1074"/>
      <c r="K283" s="1074"/>
      <c r="L283" s="1074"/>
      <c r="M283" s="1074"/>
      <c r="N283" s="1074"/>
      <c r="O283" s="1074"/>
      <c r="P283" s="1074"/>
      <c r="Q283" s="1074"/>
      <c r="R283" s="1074"/>
      <c r="S283" s="1074"/>
      <c r="T283" s="1074"/>
      <c r="U283" s="1074"/>
      <c r="V283" s="1074"/>
      <c r="W283" s="1074"/>
      <c r="X283" s="1074"/>
      <c r="Y283" s="1074"/>
      <c r="Z283" s="1074"/>
      <c r="AA283" s="1074"/>
      <c r="AB283" s="1074"/>
      <c r="AC283" s="1074"/>
      <c r="AD283" s="1074"/>
      <c r="AE283" s="938"/>
      <c r="AF283" s="938"/>
      <c r="AG283" s="938"/>
      <c r="AH283" s="938"/>
      <c r="AI283" s="938"/>
      <c r="AJ283" s="937"/>
      <c r="AK283" s="1020"/>
      <c r="AL283" s="1020"/>
      <c r="AM283" s="1020"/>
      <c r="AN283" s="110"/>
      <c r="AO283" s="51"/>
      <c r="AR283" s="21"/>
      <c r="AS283" s="1075"/>
      <c r="AT283" s="1075"/>
      <c r="AU283" s="1075"/>
      <c r="AV283" s="54"/>
      <c r="AW283" s="54"/>
    </row>
    <row r="284" spans="1:53" ht="15" customHeight="1">
      <c r="A284" s="3226" t="s">
        <v>1657</v>
      </c>
      <c r="B284" s="3226"/>
      <c r="C284" s="3114" t="s">
        <v>626</v>
      </c>
      <c r="D284" s="3114"/>
      <c r="E284" s="934"/>
      <c r="F284" s="1076" t="s">
        <v>1658</v>
      </c>
      <c r="G284" s="1077"/>
      <c r="H284" s="1077"/>
      <c r="I284" s="1077"/>
      <c r="J284" s="1077"/>
      <c r="K284" s="1077"/>
      <c r="L284" s="1077"/>
      <c r="M284" s="1077"/>
      <c r="N284" s="1077"/>
      <c r="O284" s="1077"/>
      <c r="P284" s="1077"/>
      <c r="Q284" s="1077"/>
      <c r="R284" s="1077"/>
      <c r="S284" s="1077"/>
      <c r="T284" s="1077"/>
      <c r="U284" s="1077"/>
      <c r="V284" s="1077"/>
      <c r="W284" s="1077"/>
      <c r="X284" s="1077"/>
      <c r="Y284" s="1077"/>
      <c r="Z284" s="1077"/>
      <c r="AA284" s="1077"/>
      <c r="AB284" s="1077"/>
      <c r="AC284" s="1077"/>
      <c r="AD284" s="1078"/>
      <c r="AE284" s="938"/>
      <c r="AF284" s="938"/>
      <c r="AG284" s="980" t="s">
        <v>1659</v>
      </c>
      <c r="AH284" s="938"/>
      <c r="AI284" s="938"/>
      <c r="AJ284" s="937"/>
      <c r="AK284" s="1020"/>
      <c r="AL284" s="1020"/>
      <c r="AM284" s="1020"/>
      <c r="AN284" s="1079"/>
      <c r="AO284" s="51"/>
      <c r="AR284" s="21"/>
    </row>
    <row r="285" spans="1:53">
      <c r="A285" s="1054"/>
      <c r="B285" s="938"/>
      <c r="C285" s="937"/>
      <c r="D285" s="938"/>
      <c r="E285" s="937"/>
      <c r="F285" s="3243" t="s">
        <v>1660</v>
      </c>
      <c r="G285" s="3118"/>
      <c r="H285" s="3118"/>
      <c r="I285" s="3118"/>
      <c r="J285" s="3118"/>
      <c r="K285" s="3118"/>
      <c r="L285" s="3118"/>
      <c r="M285" s="3118"/>
      <c r="N285" s="3118"/>
      <c r="O285" s="3118"/>
      <c r="P285" s="3118"/>
      <c r="Q285" s="3118"/>
      <c r="R285" s="3118"/>
      <c r="S285" s="3118"/>
      <c r="T285" s="3118"/>
      <c r="U285" s="3118"/>
      <c r="V285" s="3118"/>
      <c r="W285" s="3118"/>
      <c r="X285" s="3118"/>
      <c r="Y285" s="3118"/>
      <c r="Z285" s="3118"/>
      <c r="AA285" s="3118"/>
      <c r="AB285" s="3118"/>
      <c r="AC285" s="3118"/>
      <c r="AD285" s="3244"/>
      <c r="AE285" s="938"/>
      <c r="AF285" s="938"/>
      <c r="AG285" s="938"/>
      <c r="AH285" s="938"/>
      <c r="AI285" s="938"/>
      <c r="AJ285" s="937"/>
      <c r="AK285" s="1020"/>
      <c r="AL285" s="1020"/>
      <c r="AM285" s="1020"/>
      <c r="AR285" s="1080"/>
    </row>
    <row r="286" spans="1:53" ht="15" customHeight="1">
      <c r="A286" s="1054"/>
      <c r="B286" s="938"/>
      <c r="C286" s="937"/>
      <c r="D286" s="938"/>
      <c r="E286" s="937"/>
      <c r="F286" s="3243"/>
      <c r="G286" s="3118"/>
      <c r="H286" s="3118"/>
      <c r="I286" s="3118"/>
      <c r="J286" s="3118"/>
      <c r="K286" s="3118"/>
      <c r="L286" s="3118"/>
      <c r="M286" s="3118"/>
      <c r="N286" s="3118"/>
      <c r="O286" s="3118"/>
      <c r="P286" s="3118"/>
      <c r="Q286" s="3118"/>
      <c r="R286" s="3118"/>
      <c r="S286" s="3118"/>
      <c r="T286" s="3118"/>
      <c r="U286" s="3118"/>
      <c r="V286" s="3118"/>
      <c r="W286" s="3118"/>
      <c r="X286" s="3118"/>
      <c r="Y286" s="3118"/>
      <c r="Z286" s="3118"/>
      <c r="AA286" s="3118"/>
      <c r="AB286" s="3118"/>
      <c r="AC286" s="3118"/>
      <c r="AD286" s="3244"/>
      <c r="AE286" s="938"/>
      <c r="AF286" s="938"/>
      <c r="AG286" s="938"/>
      <c r="AH286" s="938"/>
      <c r="AI286" s="938"/>
      <c r="AJ286" s="937"/>
      <c r="AK286" s="1020"/>
      <c r="AL286" s="1020"/>
      <c r="AM286" s="1020"/>
      <c r="AR286" s="1080"/>
    </row>
    <row r="287" spans="1:53">
      <c r="A287" s="1054"/>
      <c r="B287" s="938"/>
      <c r="C287" s="937"/>
      <c r="D287" s="938"/>
      <c r="E287" s="937"/>
      <c r="F287" s="3243" t="s">
        <v>1655</v>
      </c>
      <c r="G287" s="3118"/>
      <c r="H287" s="3118"/>
      <c r="I287" s="3118"/>
      <c r="J287" s="3118"/>
      <c r="K287" s="3118"/>
      <c r="L287" s="3118"/>
      <c r="M287" s="3118"/>
      <c r="N287" s="3118"/>
      <c r="O287" s="3118"/>
      <c r="P287" s="3118"/>
      <c r="Q287" s="3118"/>
      <c r="R287" s="3118"/>
      <c r="S287" s="3118"/>
      <c r="T287" s="3118"/>
      <c r="U287" s="3118"/>
      <c r="V287" s="3118"/>
      <c r="W287" s="3118"/>
      <c r="X287" s="3118"/>
      <c r="Y287" s="3118"/>
      <c r="Z287" s="3118"/>
      <c r="AA287" s="3118"/>
      <c r="AB287" s="3118"/>
      <c r="AC287" s="3118"/>
      <c r="AD287" s="3244"/>
      <c r="AE287" s="938"/>
      <c r="AF287" s="938"/>
      <c r="AG287" s="938"/>
      <c r="AH287" s="938"/>
      <c r="AI287" s="938"/>
      <c r="AJ287" s="937"/>
      <c r="AK287" s="1020"/>
      <c r="AL287" s="1020"/>
      <c r="AM287" s="1020"/>
      <c r="AP287" s="1073"/>
      <c r="AQ287" s="962"/>
      <c r="AR287" s="1080"/>
    </row>
    <row r="288" spans="1:53" ht="15" customHeight="1">
      <c r="A288" s="1054"/>
      <c r="B288" s="938"/>
      <c r="C288" s="937"/>
      <c r="D288" s="938"/>
      <c r="E288" s="937"/>
      <c r="F288" s="3243"/>
      <c r="G288" s="3118"/>
      <c r="H288" s="3118"/>
      <c r="I288" s="3118"/>
      <c r="J288" s="3118"/>
      <c r="K288" s="3118"/>
      <c r="L288" s="3118"/>
      <c r="M288" s="3118"/>
      <c r="N288" s="3118"/>
      <c r="O288" s="3118"/>
      <c r="P288" s="3118"/>
      <c r="Q288" s="3118"/>
      <c r="R288" s="3118"/>
      <c r="S288" s="3118"/>
      <c r="T288" s="3118"/>
      <c r="U288" s="3118"/>
      <c r="V288" s="3118"/>
      <c r="W288" s="3118"/>
      <c r="X288" s="3118"/>
      <c r="Y288" s="3118"/>
      <c r="Z288" s="3118"/>
      <c r="AA288" s="3118"/>
      <c r="AB288" s="3118"/>
      <c r="AC288" s="3118"/>
      <c r="AD288" s="3244"/>
      <c r="AE288" s="938"/>
      <c r="AF288" s="938"/>
      <c r="AG288" s="938"/>
      <c r="AH288" s="938"/>
      <c r="AI288" s="938"/>
      <c r="AJ288" s="937"/>
      <c r="AK288" s="1020"/>
      <c r="AL288" s="1020"/>
      <c r="AM288" s="1020"/>
      <c r="AP288" s="1073"/>
      <c r="AQ288" s="962"/>
      <c r="AR288" s="1080"/>
    </row>
    <row r="289" spans="1:60">
      <c r="A289" s="1054"/>
      <c r="B289" s="938"/>
      <c r="C289" s="937"/>
      <c r="D289" s="938"/>
      <c r="E289" s="937"/>
      <c r="F289" s="3243" t="s">
        <v>1661</v>
      </c>
      <c r="G289" s="3118"/>
      <c r="H289" s="3118"/>
      <c r="I289" s="3118"/>
      <c r="J289" s="3118"/>
      <c r="K289" s="3118"/>
      <c r="L289" s="3118"/>
      <c r="M289" s="3118"/>
      <c r="N289" s="3118"/>
      <c r="O289" s="3118"/>
      <c r="P289" s="3118"/>
      <c r="Q289" s="3118"/>
      <c r="R289" s="3118"/>
      <c r="S289" s="3118"/>
      <c r="T289" s="3118"/>
      <c r="U289" s="3118"/>
      <c r="V289" s="3118"/>
      <c r="W289" s="3118"/>
      <c r="X289" s="3118"/>
      <c r="Y289" s="3118"/>
      <c r="Z289" s="3118"/>
      <c r="AA289" s="3118"/>
      <c r="AB289" s="3118"/>
      <c r="AC289" s="3118"/>
      <c r="AD289" s="3244"/>
      <c r="AE289" s="938"/>
      <c r="AF289" s="938"/>
      <c r="AG289" s="938"/>
      <c r="AH289" s="938"/>
      <c r="AI289" s="938"/>
      <c r="AJ289" s="937"/>
      <c r="AK289" s="1020"/>
      <c r="AL289" s="1020"/>
      <c r="AM289" s="1020"/>
      <c r="AP289" s="1073"/>
      <c r="AQ289" s="962"/>
      <c r="AR289" s="1080"/>
    </row>
    <row r="290" spans="1:60">
      <c r="A290" s="1054"/>
      <c r="B290" s="938"/>
      <c r="C290" s="937"/>
      <c r="D290" s="938"/>
      <c r="E290" s="937"/>
      <c r="F290" s="3245"/>
      <c r="G290" s="3246"/>
      <c r="H290" s="3246"/>
      <c r="I290" s="3246"/>
      <c r="J290" s="3246"/>
      <c r="K290" s="3246"/>
      <c r="L290" s="3246"/>
      <c r="M290" s="3246"/>
      <c r="N290" s="3246"/>
      <c r="O290" s="3246"/>
      <c r="P290" s="3246"/>
      <c r="Q290" s="3246"/>
      <c r="R290" s="3246"/>
      <c r="S290" s="3246"/>
      <c r="T290" s="3246"/>
      <c r="U290" s="3246"/>
      <c r="V290" s="3246"/>
      <c r="W290" s="3246"/>
      <c r="X290" s="3246"/>
      <c r="Y290" s="3246"/>
      <c r="Z290" s="3246"/>
      <c r="AA290" s="3246"/>
      <c r="AB290" s="3246"/>
      <c r="AC290" s="3246"/>
      <c r="AD290" s="3247"/>
      <c r="AE290" s="938"/>
      <c r="AF290" s="938"/>
      <c r="AG290" s="938"/>
      <c r="AH290" s="938"/>
      <c r="AI290" s="938"/>
      <c r="AJ290" s="937"/>
      <c r="AK290" s="1020"/>
      <c r="AL290" s="1020"/>
      <c r="AM290" s="1020"/>
      <c r="AP290" s="1073"/>
      <c r="AQ290" s="962"/>
      <c r="AR290" s="1080"/>
    </row>
    <row r="291" spans="1:60">
      <c r="A291" s="1054"/>
      <c r="B291" s="938"/>
      <c r="C291" s="938"/>
      <c r="D291" s="938"/>
      <c r="E291" s="938"/>
      <c r="F291" s="938"/>
      <c r="G291" s="938"/>
      <c r="H291" s="938"/>
      <c r="I291" s="938"/>
      <c r="J291" s="938"/>
      <c r="K291" s="938"/>
      <c r="L291" s="938"/>
      <c r="M291" s="938"/>
      <c r="N291" s="938"/>
      <c r="O291" s="938"/>
      <c r="P291" s="938"/>
      <c r="Q291" s="938"/>
      <c r="R291" s="938"/>
      <c r="S291" s="938"/>
      <c r="T291" s="938"/>
      <c r="U291" s="938"/>
      <c r="V291" s="938"/>
      <c r="W291" s="938"/>
      <c r="X291" s="938"/>
      <c r="Y291" s="938"/>
      <c r="Z291" s="938"/>
      <c r="AA291" s="938"/>
      <c r="AB291" s="938"/>
      <c r="AC291" s="938"/>
      <c r="AD291" s="938"/>
      <c r="AE291" s="938"/>
      <c r="AF291" s="938"/>
      <c r="AG291" s="938"/>
      <c r="AH291" s="938"/>
      <c r="AI291" s="938"/>
      <c r="AJ291" s="937"/>
      <c r="AK291" s="1020"/>
      <c r="AL291" s="1020"/>
      <c r="AM291" s="1020"/>
      <c r="AN291" s="110"/>
      <c r="AO291" s="51"/>
      <c r="AR291" s="21"/>
    </row>
    <row r="292" spans="1:60">
      <c r="A292" s="3226" t="s">
        <v>1662</v>
      </c>
      <c r="B292" s="3226"/>
      <c r="C292" s="3114" t="s">
        <v>578</v>
      </c>
      <c r="D292" s="3114"/>
      <c r="E292" s="934"/>
      <c r="F292" s="1076" t="s">
        <v>1658</v>
      </c>
      <c r="G292" s="1081"/>
      <c r="H292" s="1081"/>
      <c r="I292" s="1081"/>
      <c r="J292" s="1081"/>
      <c r="K292" s="1081"/>
      <c r="L292" s="1081"/>
      <c r="M292" s="1081"/>
      <c r="N292" s="1081"/>
      <c r="O292" s="1081"/>
      <c r="P292" s="1081"/>
      <c r="Q292" s="1081"/>
      <c r="R292" s="1081"/>
      <c r="S292" s="1081"/>
      <c r="T292" s="1081"/>
      <c r="U292" s="1081"/>
      <c r="V292" s="1081"/>
      <c r="W292" s="1081"/>
      <c r="X292" s="1081"/>
      <c r="Y292" s="1081"/>
      <c r="Z292" s="1081"/>
      <c r="AA292" s="1081"/>
      <c r="AB292" s="1081"/>
      <c r="AC292" s="1081"/>
      <c r="AD292" s="1082"/>
      <c r="AE292" s="938"/>
      <c r="AF292" s="938"/>
      <c r="AG292" s="1006" t="s">
        <v>1659</v>
      </c>
      <c r="AH292" s="938"/>
      <c r="AI292" s="938"/>
      <c r="AJ292" s="937"/>
      <c r="AK292" s="1020"/>
      <c r="AL292" s="1020"/>
      <c r="AM292" s="1020"/>
      <c r="AN292" s="110"/>
      <c r="AO292" s="51"/>
      <c r="AR292" s="21"/>
    </row>
    <row r="293" spans="1:60">
      <c r="A293" s="1780"/>
      <c r="B293" s="1780"/>
      <c r="C293" s="1776"/>
      <c r="D293" s="1776"/>
      <c r="E293" s="934"/>
      <c r="F293" s="3243" t="s">
        <v>1663</v>
      </c>
      <c r="G293" s="3118"/>
      <c r="H293" s="3118"/>
      <c r="I293" s="3118"/>
      <c r="J293" s="3118"/>
      <c r="K293" s="3118"/>
      <c r="L293" s="3118"/>
      <c r="M293" s="3118"/>
      <c r="N293" s="3118"/>
      <c r="O293" s="3118"/>
      <c r="P293" s="3118"/>
      <c r="Q293" s="3118"/>
      <c r="R293" s="3118"/>
      <c r="S293" s="3118"/>
      <c r="T293" s="3118"/>
      <c r="U293" s="3118"/>
      <c r="V293" s="3118"/>
      <c r="W293" s="3118"/>
      <c r="X293" s="3118"/>
      <c r="Y293" s="3118"/>
      <c r="Z293" s="3118"/>
      <c r="AA293" s="3118"/>
      <c r="AB293" s="3118"/>
      <c r="AC293" s="3118"/>
      <c r="AD293" s="3244"/>
      <c r="AE293" s="938"/>
      <c r="AF293" s="938"/>
      <c r="AG293" s="1006"/>
      <c r="AH293" s="938"/>
      <c r="AI293" s="938"/>
      <c r="AJ293" s="937"/>
      <c r="AK293" s="1020"/>
      <c r="AL293" s="1020"/>
      <c r="AM293" s="1020"/>
      <c r="AN293" s="110"/>
      <c r="AO293" s="51"/>
      <c r="AP293" s="944" t="s">
        <v>1382</v>
      </c>
      <c r="AR293" s="21"/>
    </row>
    <row r="294" spans="1:60" s="21" customFormat="1">
      <c r="F294" s="3243"/>
      <c r="G294" s="3118"/>
      <c r="H294" s="3118"/>
      <c r="I294" s="3118"/>
      <c r="J294" s="3118"/>
      <c r="K294" s="3118"/>
      <c r="L294" s="3118"/>
      <c r="M294" s="3118"/>
      <c r="N294" s="3118"/>
      <c r="O294" s="3118"/>
      <c r="P294" s="3118"/>
      <c r="Q294" s="3118"/>
      <c r="R294" s="3118"/>
      <c r="S294" s="3118"/>
      <c r="T294" s="3118"/>
      <c r="U294" s="3118"/>
      <c r="V294" s="3118"/>
      <c r="W294" s="3118"/>
      <c r="X294" s="3118"/>
      <c r="Y294" s="3118"/>
      <c r="Z294" s="3118"/>
      <c r="AA294" s="3118"/>
      <c r="AB294" s="3118"/>
      <c r="AC294" s="3118"/>
      <c r="AD294" s="3244"/>
      <c r="AE294" s="938"/>
      <c r="AF294" s="938"/>
      <c r="AH294" s="938"/>
      <c r="AI294" s="938"/>
      <c r="AJ294" s="1083"/>
      <c r="AK294" s="1054"/>
      <c r="AL294" s="1054"/>
      <c r="AM294" s="1054"/>
      <c r="AN294" s="1084"/>
      <c r="AP294" s="1085" t="s">
        <v>2224</v>
      </c>
      <c r="BD294" s="1086"/>
      <c r="BE294" s="1086"/>
      <c r="BF294" s="1086"/>
      <c r="BG294" s="1086"/>
      <c r="BH294" s="1086"/>
    </row>
    <row r="295" spans="1:60">
      <c r="A295" s="1054"/>
      <c r="B295" s="938"/>
      <c r="C295" s="1776"/>
      <c r="D295" s="1776"/>
      <c r="E295" s="934"/>
      <c r="F295" s="1088" t="s">
        <v>1664</v>
      </c>
      <c r="G295" s="1100"/>
      <c r="H295" s="1100"/>
      <c r="I295" s="1100"/>
      <c r="J295" s="1100"/>
      <c r="K295" s="1100"/>
      <c r="L295" s="1100"/>
      <c r="M295" s="1100"/>
      <c r="N295" s="1100"/>
      <c r="O295" s="1100"/>
      <c r="P295" s="1100"/>
      <c r="Q295" s="1100"/>
      <c r="R295" s="1100"/>
      <c r="S295" s="1100"/>
      <c r="T295" s="1100"/>
      <c r="U295" s="1100"/>
      <c r="V295" s="1100"/>
      <c r="W295" s="1100"/>
      <c r="X295" s="1100"/>
      <c r="Y295" s="1100"/>
      <c r="Z295" s="1100"/>
      <c r="AA295" s="1100"/>
      <c r="AB295" s="1100"/>
      <c r="AC295" s="1100"/>
      <c r="AD295" s="1807"/>
      <c r="AE295" s="938"/>
      <c r="AF295" s="938"/>
      <c r="AG295" s="980"/>
      <c r="AH295" s="938"/>
      <c r="AI295" s="938"/>
      <c r="AJ295" s="937"/>
      <c r="AK295" s="1020"/>
      <c r="AL295" s="1020"/>
      <c r="AM295" s="1020"/>
      <c r="AN295" s="110"/>
      <c r="AO295" s="51"/>
      <c r="AP295" s="1085" t="s">
        <v>2226</v>
      </c>
      <c r="AR295" s="21"/>
    </row>
    <row r="296" spans="1:60">
      <c r="A296" s="1054"/>
      <c r="B296" s="938"/>
      <c r="C296" s="1776"/>
      <c r="D296" s="1776"/>
      <c r="E296" s="934"/>
      <c r="F296" s="1088"/>
      <c r="G296" s="1100"/>
      <c r="H296" s="1100"/>
      <c r="I296" s="1100"/>
      <c r="J296" s="1100"/>
      <c r="K296" s="1100"/>
      <c r="L296" s="1100"/>
      <c r="M296" s="1100"/>
      <c r="N296" s="1100"/>
      <c r="O296" s="1100"/>
      <c r="P296" s="1100"/>
      <c r="Q296" s="1100"/>
      <c r="R296" s="1100"/>
      <c r="S296" s="1100"/>
      <c r="T296" s="1100"/>
      <c r="U296" s="1100"/>
      <c r="V296" s="1100"/>
      <c r="W296" s="1100"/>
      <c r="X296" s="1100"/>
      <c r="Y296" s="1100"/>
      <c r="Z296" s="1100"/>
      <c r="AA296" s="1100"/>
      <c r="AB296" s="1100"/>
      <c r="AC296" s="1100"/>
      <c r="AD296" s="1807"/>
      <c r="AE296" s="938"/>
      <c r="AF296" s="938"/>
      <c r="AG296" s="980"/>
      <c r="AH296" s="938"/>
      <c r="AI296" s="938"/>
      <c r="AJ296" s="1019"/>
      <c r="AK296" s="1020"/>
      <c r="AL296" s="1020"/>
      <c r="AM296" s="1020"/>
      <c r="AN296" s="110"/>
      <c r="AO296" s="51"/>
      <c r="AP296" s="1085" t="s">
        <v>2379</v>
      </c>
      <c r="AR296" s="21"/>
    </row>
    <row r="297" spans="1:60" ht="12.75" customHeight="1">
      <c r="A297" s="1054"/>
      <c r="B297" s="938"/>
      <c r="C297" s="1776"/>
      <c r="D297" s="1776"/>
      <c r="E297" s="934"/>
      <c r="F297" s="1088"/>
      <c r="G297" s="1072"/>
      <c r="H297" s="1072"/>
      <c r="I297" s="1072"/>
      <c r="J297" s="1072"/>
      <c r="K297" s="1072"/>
      <c r="L297" s="1072"/>
      <c r="M297" s="1072"/>
      <c r="N297" s="1072"/>
      <c r="O297" s="1072"/>
      <c r="P297" s="1072"/>
      <c r="Q297" s="1072"/>
      <c r="R297" s="1072"/>
      <c r="S297" s="1072"/>
      <c r="T297" s="1072"/>
      <c r="U297" s="1072"/>
      <c r="V297" s="1072"/>
      <c r="W297" s="1072"/>
      <c r="X297" s="1072"/>
      <c r="Y297" s="1072"/>
      <c r="Z297" s="1072"/>
      <c r="AA297" s="1072"/>
      <c r="AB297" s="1072"/>
      <c r="AC297" s="1072"/>
      <c r="AD297" s="1089"/>
      <c r="AE297" s="938"/>
      <c r="AF297" s="938"/>
      <c r="AG297" s="980"/>
      <c r="AH297" s="938"/>
      <c r="AI297" s="938"/>
      <c r="AJ297" s="1020"/>
      <c r="AK297" s="1020"/>
      <c r="AL297" s="1020"/>
      <c r="AM297" s="1020"/>
      <c r="AN297" s="110"/>
      <c r="AO297" s="51"/>
      <c r="AP297" s="126"/>
      <c r="AR297" s="21"/>
    </row>
    <row r="298" spans="1:60" ht="12.75" customHeight="1">
      <c r="A298" s="1054"/>
      <c r="B298" s="938"/>
      <c r="C298" s="1776"/>
      <c r="D298" s="1776"/>
      <c r="E298" s="934"/>
      <c r="F298" s="3233" t="s">
        <v>2224</v>
      </c>
      <c r="G298" s="3234"/>
      <c r="H298" s="3234"/>
      <c r="I298" s="3234"/>
      <c r="J298" s="3234"/>
      <c r="K298" s="3234"/>
      <c r="L298" s="3234"/>
      <c r="M298" s="3234"/>
      <c r="N298" s="3234"/>
      <c r="O298" s="3234"/>
      <c r="P298" s="3234"/>
      <c r="Q298" s="3234"/>
      <c r="R298" s="3234"/>
      <c r="S298" s="3234"/>
      <c r="T298" s="3234"/>
      <c r="U298" s="3234"/>
      <c r="V298" s="3234"/>
      <c r="W298" s="3234"/>
      <c r="X298" s="3234"/>
      <c r="Y298" s="3234"/>
      <c r="Z298" s="3234"/>
      <c r="AA298" s="3234"/>
      <c r="AB298" s="3234"/>
      <c r="AC298" s="3234"/>
      <c r="AD298" s="3235"/>
      <c r="AE298" s="1072"/>
      <c r="AF298" s="1072"/>
      <c r="AG298" s="1072"/>
      <c r="AH298" s="1072"/>
      <c r="AI298" s="1072"/>
      <c r="AJ298" s="1072"/>
      <c r="AK298" s="1072"/>
      <c r="AL298" s="1020"/>
      <c r="AM298" s="1020"/>
      <c r="AN298" s="110"/>
      <c r="AO298" s="51"/>
      <c r="AP298" s="126"/>
      <c r="AR298" s="21"/>
    </row>
    <row r="299" spans="1:60">
      <c r="A299" s="1054"/>
      <c r="B299" s="938"/>
      <c r="C299" s="1776"/>
      <c r="D299" s="1776"/>
      <c r="E299" s="934"/>
      <c r="F299" s="3233"/>
      <c r="G299" s="3234"/>
      <c r="H299" s="3234"/>
      <c r="I299" s="3234"/>
      <c r="J299" s="3234"/>
      <c r="K299" s="3234"/>
      <c r="L299" s="3234"/>
      <c r="M299" s="3234"/>
      <c r="N299" s="3234"/>
      <c r="O299" s="3234"/>
      <c r="P299" s="3234"/>
      <c r="Q299" s="3234"/>
      <c r="R299" s="3234"/>
      <c r="S299" s="3234"/>
      <c r="T299" s="3234"/>
      <c r="U299" s="3234"/>
      <c r="V299" s="3234"/>
      <c r="W299" s="3234"/>
      <c r="X299" s="3234"/>
      <c r="Y299" s="3234"/>
      <c r="Z299" s="3234"/>
      <c r="AA299" s="3234"/>
      <c r="AB299" s="3234"/>
      <c r="AC299" s="3234"/>
      <c r="AD299" s="3235"/>
      <c r="AE299" s="938"/>
      <c r="AF299" s="938"/>
      <c r="AG299" s="980"/>
      <c r="AH299" s="938"/>
      <c r="AI299" s="938"/>
      <c r="AJ299" s="1020"/>
      <c r="AK299" s="1020"/>
      <c r="AL299" s="1020"/>
      <c r="AM299" s="1020"/>
      <c r="AN299" s="110"/>
      <c r="AO299" s="51"/>
      <c r="AP299" s="126"/>
      <c r="AR299" s="21"/>
    </row>
    <row r="300" spans="1:60">
      <c r="A300" s="1054"/>
      <c r="B300" s="938"/>
      <c r="C300" s="1776"/>
      <c r="D300" s="1776"/>
      <c r="E300" s="934"/>
      <c r="F300" s="3233"/>
      <c r="G300" s="3234"/>
      <c r="H300" s="3234"/>
      <c r="I300" s="3234"/>
      <c r="J300" s="3234"/>
      <c r="K300" s="3234"/>
      <c r="L300" s="3234"/>
      <c r="M300" s="3234"/>
      <c r="N300" s="3234"/>
      <c r="O300" s="3234"/>
      <c r="P300" s="3234"/>
      <c r="Q300" s="3234"/>
      <c r="R300" s="3234"/>
      <c r="S300" s="3234"/>
      <c r="T300" s="3234"/>
      <c r="U300" s="3234"/>
      <c r="V300" s="3234"/>
      <c r="W300" s="3234"/>
      <c r="X300" s="3234"/>
      <c r="Y300" s="3234"/>
      <c r="Z300" s="3234"/>
      <c r="AA300" s="3234"/>
      <c r="AB300" s="3234"/>
      <c r="AC300" s="3234"/>
      <c r="AD300" s="3235"/>
      <c r="AE300" s="938"/>
      <c r="AF300" s="938"/>
      <c r="AG300" s="980"/>
      <c r="AH300" s="938"/>
      <c r="AI300" s="938"/>
      <c r="AJ300" s="1020"/>
      <c r="AK300" s="1020"/>
      <c r="AL300" s="1020"/>
      <c r="AM300" s="1020"/>
      <c r="AN300" s="110"/>
      <c r="AO300" s="51"/>
      <c r="AP300" s="126"/>
      <c r="AR300" s="21"/>
    </row>
    <row r="301" spans="1:60">
      <c r="A301" s="1054"/>
      <c r="B301" s="938"/>
      <c r="C301" s="1776"/>
      <c r="D301" s="1776"/>
      <c r="E301" s="934"/>
      <c r="F301" s="3233"/>
      <c r="G301" s="3234"/>
      <c r="H301" s="3234"/>
      <c r="I301" s="3234"/>
      <c r="J301" s="3234"/>
      <c r="K301" s="3234"/>
      <c r="L301" s="3234"/>
      <c r="M301" s="3234"/>
      <c r="N301" s="3234"/>
      <c r="O301" s="3234"/>
      <c r="P301" s="3234"/>
      <c r="Q301" s="3234"/>
      <c r="R301" s="3234"/>
      <c r="S301" s="3234"/>
      <c r="T301" s="3234"/>
      <c r="U301" s="3234"/>
      <c r="V301" s="3234"/>
      <c r="W301" s="3234"/>
      <c r="X301" s="3234"/>
      <c r="Y301" s="3234"/>
      <c r="Z301" s="3234"/>
      <c r="AA301" s="3234"/>
      <c r="AB301" s="3234"/>
      <c r="AC301" s="3234"/>
      <c r="AD301" s="3235"/>
      <c r="AE301" s="938"/>
      <c r="AF301" s="938"/>
      <c r="AG301" s="980"/>
      <c r="AH301" s="938"/>
      <c r="AI301" s="938"/>
      <c r="AJ301" s="1020"/>
      <c r="AK301" s="1020"/>
      <c r="AL301" s="1020"/>
      <c r="AM301" s="1020"/>
      <c r="AN301" s="110"/>
      <c r="AO301" s="51"/>
      <c r="AP301" s="126"/>
      <c r="AR301" s="21"/>
    </row>
    <row r="302" spans="1:60">
      <c r="A302" s="1054"/>
      <c r="B302" s="938"/>
      <c r="C302" s="1776"/>
      <c r="D302" s="1776"/>
      <c r="E302" s="934"/>
      <c r="F302" s="3236"/>
      <c r="G302" s="3237"/>
      <c r="H302" s="3237"/>
      <c r="I302" s="3237"/>
      <c r="J302" s="3237"/>
      <c r="K302" s="3237"/>
      <c r="L302" s="3237"/>
      <c r="M302" s="3237"/>
      <c r="N302" s="3237"/>
      <c r="O302" s="3237"/>
      <c r="P302" s="3237"/>
      <c r="Q302" s="3237"/>
      <c r="R302" s="3237"/>
      <c r="S302" s="3237"/>
      <c r="T302" s="3237"/>
      <c r="U302" s="3237"/>
      <c r="V302" s="3237"/>
      <c r="W302" s="3237"/>
      <c r="X302" s="3237"/>
      <c r="Y302" s="3237"/>
      <c r="Z302" s="3237"/>
      <c r="AA302" s="3237"/>
      <c r="AB302" s="3237"/>
      <c r="AC302" s="3237"/>
      <c r="AD302" s="3238"/>
      <c r="AE302" s="938"/>
      <c r="AF302" s="938"/>
      <c r="AG302" s="980"/>
      <c r="AH302" s="938"/>
      <c r="AI302" s="938"/>
      <c r="AJ302" s="1019"/>
      <c r="AK302" s="1020"/>
      <c r="AL302" s="1020"/>
      <c r="AM302" s="1020"/>
      <c r="AN302" s="110"/>
      <c r="AO302" s="51"/>
      <c r="AP302" s="126"/>
      <c r="AR302" s="21"/>
    </row>
    <row r="303" spans="1:60" s="56" customFormat="1">
      <c r="A303" s="1054"/>
      <c r="B303" s="938"/>
      <c r="C303" s="1776"/>
      <c r="D303" s="1776"/>
      <c r="E303" s="934"/>
      <c r="F303" s="1677"/>
      <c r="G303" s="1072"/>
      <c r="H303" s="1072"/>
      <c r="I303" s="1072"/>
      <c r="J303" s="1072"/>
      <c r="K303" s="1072"/>
      <c r="L303" s="1072"/>
      <c r="M303" s="1072"/>
      <c r="N303" s="1072"/>
      <c r="O303" s="1072"/>
      <c r="P303" s="1072"/>
      <c r="Q303" s="1072"/>
      <c r="R303" s="1072"/>
      <c r="S303" s="1072"/>
      <c r="T303" s="1072"/>
      <c r="U303" s="1072"/>
      <c r="V303" s="1072"/>
      <c r="W303" s="1072"/>
      <c r="X303" s="1072"/>
      <c r="Y303" s="1072"/>
      <c r="Z303" s="1072"/>
      <c r="AA303" s="1072"/>
      <c r="AB303" s="1072"/>
      <c r="AC303" s="1072"/>
      <c r="AD303" s="1089"/>
      <c r="AE303" s="938"/>
      <c r="AF303" s="938"/>
      <c r="AG303" s="980"/>
      <c r="AH303" s="938"/>
      <c r="AI303" s="938"/>
      <c r="AJ303" s="1020"/>
      <c r="AK303" s="1020"/>
      <c r="AL303" s="1020"/>
      <c r="AM303" s="1020"/>
      <c r="AN303" s="1678"/>
      <c r="AP303" s="1679"/>
      <c r="AR303" s="1680"/>
      <c r="BD303" s="55"/>
      <c r="BE303" s="55"/>
      <c r="BF303" s="55"/>
      <c r="BG303" s="55"/>
      <c r="BH303" s="55"/>
    </row>
    <row r="304" spans="1:60">
      <c r="A304" s="1054"/>
      <c r="B304" s="938"/>
      <c r="C304" s="1776"/>
      <c r="D304" s="1776"/>
      <c r="E304" s="934"/>
      <c r="F304" s="1090" t="s">
        <v>2225</v>
      </c>
      <c r="G304" s="938"/>
      <c r="H304" s="938"/>
      <c r="I304" s="938"/>
      <c r="J304" s="938"/>
      <c r="K304" s="938"/>
      <c r="L304" s="938"/>
      <c r="M304" s="938"/>
      <c r="N304" s="938"/>
      <c r="O304" s="938"/>
      <c r="P304" s="938"/>
      <c r="Q304" s="938"/>
      <c r="R304" s="938"/>
      <c r="S304" s="938"/>
      <c r="T304" s="938"/>
      <c r="U304" s="938"/>
      <c r="V304" s="938"/>
      <c r="W304" s="938"/>
      <c r="X304" s="938"/>
      <c r="Y304" s="938"/>
      <c r="Z304" s="938"/>
      <c r="AA304" s="938"/>
      <c r="AB304" s="938"/>
      <c r="AC304" s="938"/>
      <c r="AD304" s="1091"/>
      <c r="AE304" s="938"/>
      <c r="AF304" s="938"/>
      <c r="AG304" s="980"/>
      <c r="AH304" s="938"/>
      <c r="AI304" s="938"/>
      <c r="AJ304" s="937"/>
      <c r="AK304" s="1020"/>
      <c r="AL304" s="1020"/>
      <c r="AM304" s="1020"/>
      <c r="AN304" s="110"/>
      <c r="AO304" s="51"/>
      <c r="AP304" s="126"/>
      <c r="AR304" s="21"/>
    </row>
    <row r="305" spans="1:60">
      <c r="A305" s="1054"/>
      <c r="B305" s="938"/>
      <c r="C305" s="1776"/>
      <c r="D305" s="1776"/>
      <c r="E305" s="934"/>
      <c r="F305" s="1090"/>
      <c r="G305" s="938"/>
      <c r="H305" s="938"/>
      <c r="I305" s="938"/>
      <c r="J305" s="938"/>
      <c r="K305" s="938"/>
      <c r="L305" s="938"/>
      <c r="M305" s="938"/>
      <c r="N305" s="938"/>
      <c r="O305" s="938"/>
      <c r="P305" s="938"/>
      <c r="Q305" s="938"/>
      <c r="R305" s="938"/>
      <c r="S305" s="938"/>
      <c r="T305" s="938"/>
      <c r="U305" s="938"/>
      <c r="V305" s="938"/>
      <c r="W305" s="938"/>
      <c r="X305" s="938"/>
      <c r="Y305" s="938"/>
      <c r="Z305" s="938"/>
      <c r="AA305" s="938"/>
      <c r="AB305" s="938"/>
      <c r="AC305" s="938"/>
      <c r="AD305" s="1091"/>
      <c r="AE305" s="938"/>
      <c r="AF305" s="938"/>
      <c r="AG305" s="980"/>
      <c r="AH305" s="938"/>
      <c r="AI305" s="938"/>
      <c r="AJ305" s="937"/>
      <c r="AK305" s="1020"/>
      <c r="AL305" s="1020"/>
      <c r="AM305" s="1020"/>
      <c r="AN305" s="110"/>
      <c r="AO305" s="51"/>
      <c r="AP305" s="944" t="s">
        <v>1382</v>
      </c>
      <c r="AR305" s="21"/>
    </row>
    <row r="306" spans="1:60" ht="12.75" customHeight="1">
      <c r="A306" s="1054"/>
      <c r="B306" s="938"/>
      <c r="C306" s="1776"/>
      <c r="D306" s="1776"/>
      <c r="E306" s="934"/>
      <c r="F306" s="1092"/>
      <c r="G306" s="963" t="s">
        <v>725</v>
      </c>
      <c r="H306" s="963"/>
      <c r="I306" s="3239" t="s">
        <v>2622</v>
      </c>
      <c r="J306" s="3239"/>
      <c r="K306" s="3239"/>
      <c r="L306" s="3239"/>
      <c r="M306" s="3239"/>
      <c r="N306" s="3239"/>
      <c r="O306" s="3239"/>
      <c r="P306" s="3239"/>
      <c r="Q306" s="3239"/>
      <c r="R306" s="3239"/>
      <c r="S306" s="3239"/>
      <c r="T306" s="3239"/>
      <c r="U306" s="3239"/>
      <c r="V306" s="3239"/>
      <c r="W306" s="3239"/>
      <c r="X306" s="3239"/>
      <c r="Y306" s="3239"/>
      <c r="Z306" s="3239"/>
      <c r="AA306" s="3239"/>
      <c r="AB306" s="3239"/>
      <c r="AC306" s="3239"/>
      <c r="AD306" s="3240"/>
      <c r="AE306" s="938"/>
      <c r="AF306" s="938"/>
      <c r="AG306" s="980"/>
      <c r="AH306" s="938"/>
      <c r="AI306" s="938"/>
      <c r="AJ306" s="937"/>
      <c r="AK306" s="1020"/>
      <c r="AL306" s="1020"/>
      <c r="AM306" s="1020"/>
      <c r="AN306" s="110"/>
      <c r="AO306" s="51"/>
      <c r="AP306" s="944" t="s">
        <v>1987</v>
      </c>
      <c r="AR306" s="21"/>
    </row>
    <row r="307" spans="1:60">
      <c r="A307" s="1054"/>
      <c r="B307" s="938"/>
      <c r="C307" s="1776"/>
      <c r="D307" s="1776"/>
      <c r="E307" s="934"/>
      <c r="F307" s="1092"/>
      <c r="G307" s="963"/>
      <c r="H307" s="963"/>
      <c r="I307" s="3239"/>
      <c r="J307" s="3239"/>
      <c r="K307" s="3239"/>
      <c r="L307" s="3239"/>
      <c r="M307" s="3239"/>
      <c r="N307" s="3239"/>
      <c r="O307" s="3239"/>
      <c r="P307" s="3239"/>
      <c r="Q307" s="3239"/>
      <c r="R307" s="3239"/>
      <c r="S307" s="3239"/>
      <c r="T307" s="3239"/>
      <c r="U307" s="3239"/>
      <c r="V307" s="3239"/>
      <c r="W307" s="3239"/>
      <c r="X307" s="3239"/>
      <c r="Y307" s="3239"/>
      <c r="Z307" s="3239"/>
      <c r="AA307" s="3239"/>
      <c r="AB307" s="3239"/>
      <c r="AC307" s="3239"/>
      <c r="AD307" s="3240"/>
      <c r="AE307" s="938"/>
      <c r="AF307" s="938"/>
      <c r="AG307" s="980"/>
      <c r="AH307" s="938"/>
      <c r="AI307" s="938"/>
      <c r="AJ307" s="937"/>
      <c r="AK307" s="1020"/>
      <c r="AL307" s="1020"/>
      <c r="AM307" s="1020"/>
      <c r="AN307" s="110"/>
      <c r="AO307" s="51"/>
      <c r="AP307" s="944" t="s">
        <v>2227</v>
      </c>
      <c r="AR307" s="21"/>
    </row>
    <row r="308" spans="1:60">
      <c r="A308" s="1054"/>
      <c r="B308" s="938"/>
      <c r="C308" s="1087"/>
      <c r="D308" s="1087"/>
      <c r="E308" s="934"/>
      <c r="F308" s="1092"/>
      <c r="G308" s="963"/>
      <c r="H308" s="963"/>
      <c r="I308" s="3239"/>
      <c r="J308" s="3239"/>
      <c r="K308" s="3239"/>
      <c r="L308" s="3239"/>
      <c r="M308" s="3239"/>
      <c r="N308" s="3239"/>
      <c r="O308" s="3239"/>
      <c r="P308" s="3239"/>
      <c r="Q308" s="3239"/>
      <c r="R308" s="3239"/>
      <c r="S308" s="3239"/>
      <c r="T308" s="3239"/>
      <c r="U308" s="3239"/>
      <c r="V308" s="3239"/>
      <c r="W308" s="3239"/>
      <c r="X308" s="3239"/>
      <c r="Y308" s="3239"/>
      <c r="Z308" s="3239"/>
      <c r="AA308" s="3239"/>
      <c r="AB308" s="3239"/>
      <c r="AC308" s="3239"/>
      <c r="AD308" s="3240"/>
      <c r="AE308" s="938"/>
      <c r="AF308" s="938"/>
      <c r="AG308" s="980"/>
      <c r="AH308" s="938"/>
      <c r="AI308" s="938"/>
      <c r="AJ308" s="937"/>
      <c r="AK308" s="1020"/>
      <c r="AL308" s="1020"/>
      <c r="AM308" s="1020"/>
      <c r="AN308" s="110"/>
      <c r="AO308" s="51"/>
      <c r="AP308" s="944" t="s">
        <v>2229</v>
      </c>
      <c r="AR308" s="21"/>
    </row>
    <row r="309" spans="1:60">
      <c r="A309" s="1054"/>
      <c r="B309" s="938"/>
      <c r="C309" s="1087"/>
      <c r="D309" s="1087"/>
      <c r="E309" s="934"/>
      <c r="F309" s="1090"/>
      <c r="G309" s="938"/>
      <c r="H309" s="938"/>
      <c r="I309" s="3241"/>
      <c r="J309" s="3241"/>
      <c r="K309" s="3241"/>
      <c r="L309" s="3241"/>
      <c r="M309" s="3241"/>
      <c r="N309" s="3241"/>
      <c r="O309" s="3241"/>
      <c r="P309" s="3241"/>
      <c r="Q309" s="3241"/>
      <c r="R309" s="3241"/>
      <c r="S309" s="3241"/>
      <c r="T309" s="3241"/>
      <c r="U309" s="3241"/>
      <c r="V309" s="3241"/>
      <c r="W309" s="3241"/>
      <c r="X309" s="3241"/>
      <c r="Y309" s="3241"/>
      <c r="Z309" s="3241"/>
      <c r="AA309" s="3241"/>
      <c r="AB309" s="3241"/>
      <c r="AC309" s="3241"/>
      <c r="AD309" s="3242"/>
      <c r="AE309" s="938"/>
      <c r="AF309" s="938"/>
      <c r="AG309" s="980"/>
      <c r="AH309" s="938"/>
      <c r="AI309" s="938"/>
      <c r="AJ309" s="937"/>
      <c r="AK309" s="1020"/>
      <c r="AL309" s="1020"/>
      <c r="AM309" s="1020"/>
      <c r="AN309" s="110"/>
      <c r="AO309" s="51"/>
      <c r="AP309" s="944" t="s">
        <v>2228</v>
      </c>
      <c r="AR309" s="21"/>
    </row>
    <row r="310" spans="1:60">
      <c r="A310" s="1054"/>
      <c r="B310" s="938"/>
      <c r="C310" s="1087"/>
      <c r="D310" s="1087"/>
      <c r="E310" s="934"/>
      <c r="F310" s="1090"/>
      <c r="G310" s="938"/>
      <c r="H310" s="938"/>
      <c r="I310" s="938"/>
      <c r="J310" s="938"/>
      <c r="K310" s="938"/>
      <c r="L310" s="938"/>
      <c r="M310" s="938"/>
      <c r="N310" s="938"/>
      <c r="O310" s="938"/>
      <c r="P310" s="938"/>
      <c r="Q310" s="938"/>
      <c r="R310" s="938"/>
      <c r="S310" s="938"/>
      <c r="T310" s="938"/>
      <c r="U310" s="938"/>
      <c r="V310" s="938"/>
      <c r="W310" s="938"/>
      <c r="X310" s="938"/>
      <c r="Y310" s="938"/>
      <c r="Z310" s="938"/>
      <c r="AA310" s="938"/>
      <c r="AB310" s="938"/>
      <c r="AC310" s="938"/>
      <c r="AD310" s="1091"/>
      <c r="AE310" s="938"/>
      <c r="AF310" s="938"/>
      <c r="AG310" s="980"/>
      <c r="AH310" s="938"/>
      <c r="AI310" s="938"/>
      <c r="AJ310" s="937"/>
      <c r="AK310" s="1020"/>
      <c r="AL310" s="1020"/>
      <c r="AM310" s="1020"/>
      <c r="AN310" s="110"/>
      <c r="AO310" s="51"/>
      <c r="AP310" s="126"/>
      <c r="AR310" s="21"/>
    </row>
    <row r="311" spans="1:60">
      <c r="A311" s="1054"/>
      <c r="B311" s="938"/>
      <c r="C311" s="1087"/>
      <c r="D311" s="1087"/>
      <c r="E311" s="934"/>
      <c r="F311" s="1090"/>
      <c r="G311" s="938" t="s">
        <v>542</v>
      </c>
      <c r="H311" s="938"/>
      <c r="I311" s="3239" t="s">
        <v>1382</v>
      </c>
      <c r="J311" s="3239"/>
      <c r="K311" s="3239"/>
      <c r="L311" s="3239"/>
      <c r="M311" s="3239"/>
      <c r="N311" s="3239"/>
      <c r="O311" s="3239"/>
      <c r="P311" s="3239"/>
      <c r="Q311" s="3239"/>
      <c r="R311" s="3239"/>
      <c r="S311" s="3239"/>
      <c r="T311" s="3239"/>
      <c r="U311" s="3239"/>
      <c r="V311" s="3239"/>
      <c r="W311" s="3239"/>
      <c r="X311" s="3239"/>
      <c r="Y311" s="3239"/>
      <c r="Z311" s="3239"/>
      <c r="AA311" s="3239"/>
      <c r="AB311" s="3239"/>
      <c r="AC311" s="3239"/>
      <c r="AD311" s="3240"/>
      <c r="AE311" s="938"/>
      <c r="AF311" s="938"/>
      <c r="AG311" s="980"/>
      <c r="AH311" s="938"/>
      <c r="AI311" s="938"/>
      <c r="AJ311" s="937"/>
      <c r="AK311" s="1020"/>
      <c r="AL311" s="1020"/>
      <c r="AM311" s="1020"/>
      <c r="AN311" s="110"/>
      <c r="AO311" s="51"/>
      <c r="AR311" s="21"/>
    </row>
    <row r="312" spans="1:60">
      <c r="A312" s="1054"/>
      <c r="B312" s="938"/>
      <c r="C312" s="1087"/>
      <c r="D312" s="1087"/>
      <c r="E312" s="934"/>
      <c r="F312" s="1090"/>
      <c r="G312" s="938"/>
      <c r="H312" s="938"/>
      <c r="I312" s="3239"/>
      <c r="J312" s="3239"/>
      <c r="K312" s="3239"/>
      <c r="L312" s="3239"/>
      <c r="M312" s="3239"/>
      <c r="N312" s="3239"/>
      <c r="O312" s="3239"/>
      <c r="P312" s="3239"/>
      <c r="Q312" s="3239"/>
      <c r="R312" s="3239"/>
      <c r="S312" s="3239"/>
      <c r="T312" s="3239"/>
      <c r="U312" s="3239"/>
      <c r="V312" s="3239"/>
      <c r="W312" s="3239"/>
      <c r="X312" s="3239"/>
      <c r="Y312" s="3239"/>
      <c r="Z312" s="3239"/>
      <c r="AA312" s="3239"/>
      <c r="AB312" s="3239"/>
      <c r="AC312" s="3239"/>
      <c r="AD312" s="3240"/>
      <c r="AE312" s="938"/>
      <c r="AF312" s="938"/>
      <c r="AG312" s="980"/>
      <c r="AH312" s="938"/>
      <c r="AI312" s="938"/>
      <c r="AJ312" s="937"/>
      <c r="AK312" s="1020"/>
      <c r="AL312" s="1020"/>
      <c r="AM312" s="1020"/>
      <c r="AN312" s="110"/>
      <c r="AO312" s="51"/>
      <c r="AP312" s="944" t="s">
        <v>1382</v>
      </c>
      <c r="AR312" s="21"/>
    </row>
    <row r="313" spans="1:60">
      <c r="A313" s="1054"/>
      <c r="B313" s="938"/>
      <c r="C313" s="1087"/>
      <c r="D313" s="1087"/>
      <c r="E313" s="934"/>
      <c r="F313" s="1093"/>
      <c r="G313" s="1094"/>
      <c r="H313" s="1094"/>
      <c r="I313" s="3241"/>
      <c r="J313" s="3241"/>
      <c r="K313" s="3241"/>
      <c r="L313" s="3241"/>
      <c r="M313" s="3241"/>
      <c r="N313" s="3241"/>
      <c r="O313" s="3241"/>
      <c r="P313" s="3241"/>
      <c r="Q313" s="3241"/>
      <c r="R313" s="3241"/>
      <c r="S313" s="3241"/>
      <c r="T313" s="3241"/>
      <c r="U313" s="3241"/>
      <c r="V313" s="3241"/>
      <c r="W313" s="3241"/>
      <c r="X313" s="3241"/>
      <c r="Y313" s="3241"/>
      <c r="Z313" s="3241"/>
      <c r="AA313" s="3241"/>
      <c r="AB313" s="3241"/>
      <c r="AC313" s="3241"/>
      <c r="AD313" s="3242"/>
      <c r="AE313" s="938"/>
      <c r="AF313" s="938"/>
      <c r="AG313" s="980"/>
      <c r="AH313" s="938"/>
      <c r="AI313" s="938"/>
      <c r="AJ313" s="937"/>
      <c r="AK313" s="1020"/>
      <c r="AL313" s="1020"/>
      <c r="AM313" s="1020"/>
      <c r="AN313" s="110"/>
      <c r="AO313" s="51"/>
      <c r="AP313" s="944" t="s">
        <v>1665</v>
      </c>
      <c r="AR313" s="21"/>
    </row>
    <row r="314" spans="1:60">
      <c r="A314" s="1054"/>
      <c r="B314" s="938"/>
      <c r="C314" s="937"/>
      <c r="D314" s="938"/>
      <c r="E314" s="937"/>
      <c r="F314" s="1029"/>
      <c r="G314" s="938"/>
      <c r="H314" s="938"/>
      <c r="I314" s="938"/>
      <c r="J314" s="938"/>
      <c r="K314" s="938"/>
      <c r="L314" s="938"/>
      <c r="M314" s="938"/>
      <c r="N314" s="938"/>
      <c r="O314" s="938"/>
      <c r="P314" s="938"/>
      <c r="Q314" s="938"/>
      <c r="R314" s="938"/>
      <c r="S314" s="938"/>
      <c r="T314" s="938"/>
      <c r="U314" s="938"/>
      <c r="V314" s="938"/>
      <c r="W314" s="938"/>
      <c r="X314" s="938"/>
      <c r="Y314" s="938"/>
      <c r="Z314" s="938"/>
      <c r="AA314" s="938"/>
      <c r="AB314" s="938"/>
      <c r="AC314" s="938"/>
      <c r="AD314" s="938"/>
      <c r="AE314" s="938"/>
      <c r="AF314" s="938"/>
      <c r="AG314" s="938"/>
      <c r="AH314" s="938"/>
      <c r="AI314" s="938"/>
      <c r="AJ314" s="937"/>
      <c r="AK314" s="1020"/>
      <c r="AL314" s="1020"/>
      <c r="AM314" s="1020"/>
      <c r="AN314" s="110"/>
      <c r="AO314" s="51"/>
      <c r="AP314" s="944" t="s">
        <v>1988</v>
      </c>
    </row>
    <row r="315" spans="1:60" ht="12.75" customHeight="1">
      <c r="A315" s="3226" t="s">
        <v>1666</v>
      </c>
      <c r="B315" s="3226"/>
      <c r="C315" s="3114" t="s">
        <v>626</v>
      </c>
      <c r="D315" s="3114"/>
      <c r="E315" s="934"/>
      <c r="F315" s="3227" t="s">
        <v>1667</v>
      </c>
      <c r="G315" s="3228"/>
      <c r="H315" s="3228"/>
      <c r="I315" s="3228"/>
      <c r="J315" s="3228"/>
      <c r="K315" s="3228"/>
      <c r="L315" s="3228"/>
      <c r="M315" s="3228"/>
      <c r="N315" s="3228"/>
      <c r="O315" s="3228"/>
      <c r="P315" s="3228"/>
      <c r="Q315" s="3228"/>
      <c r="R315" s="3228"/>
      <c r="S315" s="3228"/>
      <c r="T315" s="3228"/>
      <c r="U315" s="3228"/>
      <c r="V315" s="3228"/>
      <c r="W315" s="3228"/>
      <c r="X315" s="3228"/>
      <c r="Y315" s="3228"/>
      <c r="Z315" s="3228"/>
      <c r="AA315" s="3228"/>
      <c r="AB315" s="3228"/>
      <c r="AC315" s="3228"/>
      <c r="AD315" s="3229"/>
      <c r="AE315" s="938"/>
      <c r="AF315" s="938"/>
      <c r="AG315" s="980" t="s">
        <v>1659</v>
      </c>
      <c r="AH315" s="938"/>
      <c r="AI315" s="938"/>
      <c r="AJ315" s="937"/>
      <c r="AK315" s="1020"/>
      <c r="AL315" s="1020"/>
      <c r="AM315" s="1020"/>
      <c r="AN315" s="110"/>
      <c r="AO315" s="51"/>
    </row>
    <row r="316" spans="1:60" ht="15" customHeight="1">
      <c r="A316" s="1054"/>
      <c r="B316" s="938"/>
      <c r="C316" s="938"/>
      <c r="D316" s="938"/>
      <c r="E316" s="938"/>
      <c r="F316" s="3230"/>
      <c r="G316" s="3231"/>
      <c r="H316" s="3231"/>
      <c r="I316" s="3231"/>
      <c r="J316" s="3231"/>
      <c r="K316" s="3231"/>
      <c r="L316" s="3231"/>
      <c r="M316" s="3231"/>
      <c r="N316" s="3231"/>
      <c r="O316" s="3231"/>
      <c r="P316" s="3231"/>
      <c r="Q316" s="3231"/>
      <c r="R316" s="3231"/>
      <c r="S316" s="3231"/>
      <c r="T316" s="3231"/>
      <c r="U316" s="3231"/>
      <c r="V316" s="3231"/>
      <c r="W316" s="3231"/>
      <c r="X316" s="3231"/>
      <c r="Y316" s="3231"/>
      <c r="Z316" s="3231"/>
      <c r="AA316" s="3231"/>
      <c r="AB316" s="3231"/>
      <c r="AC316" s="3231"/>
      <c r="AD316" s="3232"/>
      <c r="AE316" s="938"/>
      <c r="AF316" s="938"/>
      <c r="AG316" s="938"/>
      <c r="AH316" s="938"/>
      <c r="AI316" s="938"/>
      <c r="AJ316" s="937"/>
      <c r="AK316" s="1020"/>
      <c r="AL316" s="1020"/>
      <c r="AM316" s="1020"/>
      <c r="AN316" s="110"/>
      <c r="AO316" s="51"/>
    </row>
    <row r="317" spans="1:60" ht="15" customHeight="1">
      <c r="A317" s="1054"/>
      <c r="B317" s="938"/>
      <c r="C317" s="938"/>
      <c r="D317" s="938"/>
      <c r="E317" s="938"/>
      <c r="F317" s="3230"/>
      <c r="G317" s="3231"/>
      <c r="H317" s="3231"/>
      <c r="I317" s="3231"/>
      <c r="J317" s="3231"/>
      <c r="K317" s="3231"/>
      <c r="L317" s="3231"/>
      <c r="M317" s="3231"/>
      <c r="N317" s="3231"/>
      <c r="O317" s="3231"/>
      <c r="P317" s="3231"/>
      <c r="Q317" s="3231"/>
      <c r="R317" s="3231"/>
      <c r="S317" s="3231"/>
      <c r="T317" s="3231"/>
      <c r="U317" s="3231"/>
      <c r="V317" s="3231"/>
      <c r="W317" s="3231"/>
      <c r="X317" s="3231"/>
      <c r="Y317" s="3231"/>
      <c r="Z317" s="3231"/>
      <c r="AA317" s="3231"/>
      <c r="AB317" s="3231"/>
      <c r="AC317" s="3231"/>
      <c r="AD317" s="3232"/>
      <c r="AE317" s="938"/>
      <c r="AF317" s="938"/>
      <c r="AG317" s="938"/>
      <c r="AH317" s="938"/>
      <c r="AI317" s="938"/>
      <c r="AJ317" s="937"/>
      <c r="AK317" s="1020"/>
      <c r="AL317" s="1020"/>
      <c r="AM317" s="1095"/>
      <c r="AN317" s="112"/>
      <c r="AO317" s="51"/>
    </row>
    <row r="318" spans="1:60" s="1056" customFormat="1">
      <c r="A318" s="1054"/>
      <c r="B318" s="938"/>
      <c r="C318" s="1020"/>
      <c r="D318" s="938"/>
      <c r="E318" s="1020"/>
      <c r="F318" s="1096" t="s">
        <v>1668</v>
      </c>
      <c r="G318" s="1097"/>
      <c r="H318" s="1097"/>
      <c r="I318" s="1097"/>
      <c r="J318" s="1097"/>
      <c r="K318" s="1097"/>
      <c r="L318" s="1097"/>
      <c r="M318" s="1097"/>
      <c r="N318" s="1097"/>
      <c r="O318" s="1097"/>
      <c r="P318" s="1097"/>
      <c r="Q318" s="1097"/>
      <c r="R318" s="1097"/>
      <c r="S318" s="1097"/>
      <c r="T318" s="1097"/>
      <c r="U318" s="1097"/>
      <c r="V318" s="1097"/>
      <c r="W318" s="1097"/>
      <c r="X318" s="1097"/>
      <c r="Y318" s="1097"/>
      <c r="Z318" s="1097"/>
      <c r="AA318" s="1097"/>
      <c r="AB318" s="1097"/>
      <c r="AC318" s="1097"/>
      <c r="AD318" s="1098"/>
      <c r="AE318" s="938"/>
      <c r="AF318" s="938"/>
      <c r="AG318" s="938"/>
      <c r="AH318" s="938"/>
      <c r="AI318" s="938"/>
      <c r="AJ318" s="1020"/>
      <c r="AK318" s="1020"/>
      <c r="AL318" s="1020"/>
      <c r="AM318" s="1095"/>
      <c r="AN318" s="1099"/>
      <c r="AO318" s="1099"/>
      <c r="BD318" s="1058"/>
      <c r="BE318" s="1058"/>
      <c r="BF318" s="1058"/>
      <c r="BG318" s="1058"/>
      <c r="BH318" s="1058"/>
    </row>
    <row r="319" spans="1:60" s="1056" customFormat="1">
      <c r="A319" s="1054"/>
      <c r="B319" s="938"/>
      <c r="C319" s="1020"/>
      <c r="D319" s="938"/>
      <c r="E319" s="1020"/>
      <c r="F319" s="1100"/>
      <c r="G319" s="1100"/>
      <c r="H319" s="1100"/>
      <c r="I319" s="1100"/>
      <c r="J319" s="1100"/>
      <c r="K319" s="1100"/>
      <c r="L319" s="1100"/>
      <c r="M319" s="1100"/>
      <c r="N319" s="1100"/>
      <c r="O319" s="1100"/>
      <c r="P319" s="1100"/>
      <c r="Q319" s="1100"/>
      <c r="R319" s="1100"/>
      <c r="S319" s="1100"/>
      <c r="T319" s="1100"/>
      <c r="U319" s="1100"/>
      <c r="V319" s="1100"/>
      <c r="W319" s="1100"/>
      <c r="X319" s="1100"/>
      <c r="Y319" s="1100"/>
      <c r="Z319" s="1100"/>
      <c r="AA319" s="1100"/>
      <c r="AB319" s="1100"/>
      <c r="AC319" s="1100"/>
      <c r="AD319" s="1100"/>
      <c r="AE319" s="938"/>
      <c r="AF319" s="938"/>
      <c r="AG319" s="938"/>
      <c r="AH319" s="938"/>
      <c r="AI319" s="938"/>
      <c r="AJ319" s="1020"/>
      <c r="AK319" s="1020"/>
      <c r="AL319" s="1020"/>
      <c r="AM319" s="1095"/>
      <c r="AN319" s="1099"/>
      <c r="AO319" s="1099"/>
      <c r="BD319" s="1058"/>
      <c r="BE319" s="1058"/>
      <c r="BF319" s="1058"/>
      <c r="BG319" s="1058"/>
      <c r="BH319" s="1058"/>
    </row>
    <row r="320" spans="1:60" s="1056" customFormat="1">
      <c r="A320" s="1011"/>
      <c r="B320" s="1101"/>
      <c r="C320" s="1101"/>
      <c r="D320" s="1101"/>
      <c r="E320" s="1101"/>
      <c r="F320" s="1101"/>
      <c r="G320" s="1101"/>
      <c r="H320" s="1101"/>
      <c r="I320" s="1101"/>
      <c r="J320" s="1101"/>
      <c r="K320" s="1101"/>
      <c r="L320" s="1101"/>
      <c r="M320" s="1101"/>
      <c r="N320" s="1101"/>
      <c r="O320" s="1101"/>
      <c r="P320" s="1101"/>
      <c r="Q320" s="1101"/>
      <c r="R320" s="1101"/>
      <c r="S320" s="1101"/>
      <c r="T320" s="1101"/>
      <c r="U320" s="1101"/>
      <c r="V320" s="1101"/>
      <c r="W320" s="1101"/>
      <c r="X320" s="1101"/>
      <c r="Y320" s="1101"/>
      <c r="Z320" s="1101"/>
      <c r="AA320" s="1101"/>
      <c r="AB320" s="1101"/>
      <c r="AC320" s="1102"/>
      <c r="AD320" s="1101"/>
      <c r="AE320" s="1012"/>
      <c r="AF320" s="1012"/>
      <c r="AG320" s="1012"/>
      <c r="AH320" s="1012"/>
      <c r="AI320" s="953"/>
      <c r="AJ320" s="953" t="s">
        <v>1669</v>
      </c>
      <c r="AK320" s="3100">
        <f>AP279</f>
        <v>9</v>
      </c>
      <c r="AL320" s="3101"/>
      <c r="AM320" s="3102"/>
      <c r="AN320" s="1099"/>
      <c r="AO320" s="1099"/>
      <c r="BD320" s="1058"/>
      <c r="BE320" s="1058"/>
      <c r="BF320" s="1058"/>
      <c r="BG320" s="1058"/>
      <c r="BH320" s="1058"/>
    </row>
    <row r="321" spans="1:42" s="1020" customFormat="1" ht="12.75" customHeight="1">
      <c r="A321" s="1017"/>
      <c r="B321" s="1017"/>
      <c r="C321" s="1017"/>
      <c r="D321" s="1054"/>
      <c r="E321" s="1054"/>
      <c r="AE321" s="1017"/>
      <c r="AF321" s="1017"/>
      <c r="AG321" s="1017"/>
      <c r="AH321" s="1017"/>
      <c r="AI321" s="1017"/>
      <c r="AJ321" s="1017"/>
      <c r="AK321" s="1017"/>
      <c r="AL321" s="1017"/>
      <c r="AM321" s="1095"/>
    </row>
    <row r="322" spans="1:42" s="937" customFormat="1" ht="12.75" customHeight="1">
      <c r="A322" s="1103"/>
      <c r="B322" s="1104"/>
      <c r="C322" s="1103"/>
      <c r="D322" s="1105"/>
      <c r="E322" s="1105"/>
      <c r="F322" s="1106"/>
      <c r="G322" s="1106"/>
      <c r="H322" s="1106"/>
      <c r="I322" s="1106"/>
      <c r="J322" s="1106"/>
      <c r="K322" s="1106"/>
      <c r="L322" s="1106"/>
      <c r="M322" s="1106"/>
      <c r="N322" s="1106"/>
      <c r="O322" s="1106"/>
      <c r="P322" s="1106"/>
      <c r="Q322" s="1106"/>
      <c r="R322" s="1106"/>
      <c r="S322" s="1106"/>
      <c r="T322" s="1106"/>
      <c r="U322" s="1106"/>
      <c r="V322" s="1106"/>
      <c r="W322" s="1106"/>
      <c r="X322" s="1106"/>
      <c r="Y322" s="1106"/>
      <c r="Z322" s="1106"/>
      <c r="AA322" s="1106"/>
      <c r="AB322" s="1106"/>
      <c r="AC322" s="1107"/>
      <c r="AD322" s="1107"/>
      <c r="AE322" s="1107"/>
      <c r="AF322" s="1104"/>
      <c r="AG322" s="1104"/>
      <c r="AH322" s="1104"/>
      <c r="AI322" s="1104"/>
      <c r="AJ322" s="1104"/>
      <c r="AK322" s="1104"/>
      <c r="AL322" s="1104"/>
      <c r="AM322" s="1108"/>
      <c r="AN322" s="994"/>
    </row>
    <row r="323" spans="1:42" s="937" customFormat="1" ht="12.75" customHeight="1">
      <c r="A323" s="1109"/>
      <c r="B323" s="926" t="s">
        <v>1670</v>
      </c>
      <c r="C323" s="1021"/>
      <c r="D323" s="1021"/>
      <c r="E323" s="1021"/>
      <c r="F323" s="1021"/>
      <c r="G323" s="1021"/>
      <c r="H323" s="1021"/>
      <c r="I323" s="1021"/>
      <c r="J323" s="1021"/>
      <c r="K323" s="1021"/>
      <c r="L323" s="1021"/>
      <c r="M323" s="1021"/>
      <c r="N323" s="1021"/>
      <c r="O323" s="1021"/>
      <c r="P323" s="1021"/>
      <c r="Q323" s="1021"/>
      <c r="R323" s="1021"/>
      <c r="S323" s="1021"/>
      <c r="T323" s="1021"/>
      <c r="U323" s="1021"/>
      <c r="V323" s="1021"/>
      <c r="W323" s="1021"/>
      <c r="X323" s="1021"/>
      <c r="Y323" s="1021"/>
      <c r="Z323" s="1021"/>
      <c r="AA323" s="1021"/>
      <c r="AB323" s="1021"/>
      <c r="AC323" s="1021"/>
      <c r="AD323" s="1021"/>
      <c r="AE323" s="3182" t="s">
        <v>1583</v>
      </c>
      <c r="AF323" s="3182"/>
      <c r="AG323" s="3182"/>
      <c r="AH323" s="3182"/>
      <c r="AI323" s="3182"/>
      <c r="AJ323" s="3182"/>
      <c r="AK323" s="3182"/>
      <c r="AL323" s="1028"/>
      <c r="AM323" s="1021"/>
      <c r="AN323" s="994"/>
    </row>
    <row r="324" spans="1:42" s="937" customFormat="1" ht="12.75" customHeight="1">
      <c r="C324" s="1021"/>
      <c r="D324" s="1021"/>
      <c r="E324" s="1021"/>
      <c r="F324" s="1021"/>
      <c r="G324" s="1021"/>
      <c r="H324" s="1021"/>
      <c r="I324" s="1021"/>
      <c r="J324" s="1021"/>
      <c r="K324" s="1021"/>
      <c r="L324" s="1021"/>
      <c r="M324" s="1021"/>
      <c r="N324" s="1021"/>
      <c r="O324" s="1021"/>
      <c r="P324" s="1021"/>
      <c r="Q324" s="1021"/>
      <c r="R324" s="1021"/>
      <c r="S324" s="1021"/>
      <c r="T324" s="1021"/>
      <c r="U324" s="1021"/>
      <c r="V324" s="1021"/>
      <c r="W324" s="1021"/>
      <c r="X324" s="1021"/>
      <c r="Y324" s="1021"/>
      <c r="Z324" s="1021"/>
      <c r="AA324" s="1021"/>
      <c r="AB324" s="1021"/>
      <c r="AC324" s="1021"/>
      <c r="AD324" s="1021"/>
      <c r="AE324" s="1021"/>
      <c r="AF324" s="1021"/>
      <c r="AG324" s="1021"/>
      <c r="AH324" s="1021"/>
      <c r="AI324" s="1021"/>
      <c r="AJ324" s="1021"/>
      <c r="AK324" s="1021"/>
      <c r="AL324" s="1021"/>
      <c r="AM324" s="1021"/>
      <c r="AN324" s="994"/>
    </row>
    <row r="325" spans="1:42" s="937" customFormat="1" ht="12.75" customHeight="1">
      <c r="A325" s="1021"/>
      <c r="B325" s="3118" t="s">
        <v>2187</v>
      </c>
      <c r="C325" s="3118"/>
      <c r="D325" s="3118"/>
      <c r="E325" s="3118"/>
      <c r="F325" s="3118"/>
      <c r="G325" s="3118"/>
      <c r="H325" s="3118"/>
      <c r="I325" s="3118"/>
      <c r="J325" s="3118"/>
      <c r="K325" s="3118"/>
      <c r="L325" s="3118"/>
      <c r="M325" s="3118"/>
      <c r="N325" s="3118"/>
      <c r="O325" s="3118"/>
      <c r="P325" s="3118"/>
      <c r="Q325" s="3118"/>
      <c r="R325" s="3118"/>
      <c r="S325" s="3118"/>
      <c r="T325" s="3118"/>
      <c r="U325" s="3118"/>
      <c r="V325" s="3118"/>
      <c r="W325" s="3118"/>
      <c r="X325" s="3118"/>
      <c r="Y325" s="3118"/>
      <c r="Z325" s="3118"/>
      <c r="AA325" s="3118"/>
      <c r="AB325" s="3118"/>
      <c r="AC325" s="3118"/>
      <c r="AD325" s="3118"/>
      <c r="AE325" s="3118"/>
      <c r="AF325" s="3118"/>
      <c r="AG325" s="3118"/>
      <c r="AH325" s="3118"/>
      <c r="AI325" s="3118"/>
      <c r="AJ325" s="3118"/>
      <c r="AK325" s="1072"/>
      <c r="AL325" s="961"/>
      <c r="AM325" s="1021"/>
      <c r="AN325" s="994"/>
    </row>
    <row r="326" spans="1:42" s="937" customFormat="1" ht="12.75" customHeight="1">
      <c r="A326" s="1021"/>
      <c r="B326" s="3118"/>
      <c r="C326" s="3118"/>
      <c r="D326" s="3118"/>
      <c r="E326" s="3118"/>
      <c r="F326" s="3118"/>
      <c r="G326" s="3118"/>
      <c r="H326" s="3118"/>
      <c r="I326" s="3118"/>
      <c r="J326" s="3118"/>
      <c r="K326" s="3118"/>
      <c r="L326" s="3118"/>
      <c r="M326" s="3118"/>
      <c r="N326" s="3118"/>
      <c r="O326" s="3118"/>
      <c r="P326" s="3118"/>
      <c r="Q326" s="3118"/>
      <c r="R326" s="3118"/>
      <c r="S326" s="3118"/>
      <c r="T326" s="3118"/>
      <c r="U326" s="3118"/>
      <c r="V326" s="3118"/>
      <c r="W326" s="3118"/>
      <c r="X326" s="3118"/>
      <c r="Y326" s="3118"/>
      <c r="Z326" s="3118"/>
      <c r="AA326" s="3118"/>
      <c r="AB326" s="3118"/>
      <c r="AC326" s="3118"/>
      <c r="AD326" s="3118"/>
      <c r="AE326" s="3118"/>
      <c r="AF326" s="3118"/>
      <c r="AG326" s="3118"/>
      <c r="AH326" s="3118"/>
      <c r="AI326" s="3118"/>
      <c r="AJ326" s="3118"/>
      <c r="AK326" s="1072"/>
      <c r="AL326" s="961"/>
      <c r="AM326" s="1021"/>
      <c r="AN326" s="994"/>
    </row>
    <row r="327" spans="1:42" s="937" customFormat="1" ht="12.75" customHeight="1">
      <c r="A327" s="1021"/>
      <c r="B327" s="3118"/>
      <c r="C327" s="3118"/>
      <c r="D327" s="3118"/>
      <c r="E327" s="3118"/>
      <c r="F327" s="3118"/>
      <c r="G327" s="3118"/>
      <c r="H327" s="3118"/>
      <c r="I327" s="3118"/>
      <c r="J327" s="3118"/>
      <c r="K327" s="3118"/>
      <c r="L327" s="3118"/>
      <c r="M327" s="3118"/>
      <c r="N327" s="3118"/>
      <c r="O327" s="3118"/>
      <c r="P327" s="3118"/>
      <c r="Q327" s="3118"/>
      <c r="R327" s="3118"/>
      <c r="S327" s="3118"/>
      <c r="T327" s="3118"/>
      <c r="U327" s="3118"/>
      <c r="V327" s="3118"/>
      <c r="W327" s="3118"/>
      <c r="X327" s="3118"/>
      <c r="Y327" s="3118"/>
      <c r="Z327" s="3118"/>
      <c r="AA327" s="3118"/>
      <c r="AB327" s="3118"/>
      <c r="AC327" s="3118"/>
      <c r="AD327" s="3118"/>
      <c r="AE327" s="3118"/>
      <c r="AF327" s="3118"/>
      <c r="AG327" s="3118"/>
      <c r="AH327" s="3118"/>
      <c r="AI327" s="3118"/>
      <c r="AJ327" s="3118"/>
      <c r="AK327" s="1072"/>
      <c r="AL327" s="961"/>
      <c r="AM327" s="1021"/>
      <c r="AN327" s="994"/>
    </row>
    <row r="328" spans="1:42" s="937" customFormat="1" ht="12.75" customHeight="1">
      <c r="A328" s="1021"/>
      <c r="B328" s="3118"/>
      <c r="C328" s="3118"/>
      <c r="D328" s="3118"/>
      <c r="E328" s="3118"/>
      <c r="F328" s="3118"/>
      <c r="G328" s="3118"/>
      <c r="H328" s="3118"/>
      <c r="I328" s="3118"/>
      <c r="J328" s="3118"/>
      <c r="K328" s="3118"/>
      <c r="L328" s="3118"/>
      <c r="M328" s="3118"/>
      <c r="N328" s="3118"/>
      <c r="O328" s="3118"/>
      <c r="P328" s="3118"/>
      <c r="Q328" s="3118"/>
      <c r="R328" s="3118"/>
      <c r="S328" s="3118"/>
      <c r="T328" s="3118"/>
      <c r="U328" s="3118"/>
      <c r="V328" s="3118"/>
      <c r="W328" s="3118"/>
      <c r="X328" s="3118"/>
      <c r="Y328" s="3118"/>
      <c r="Z328" s="3118"/>
      <c r="AA328" s="3118"/>
      <c r="AB328" s="3118"/>
      <c r="AC328" s="3118"/>
      <c r="AD328" s="3118"/>
      <c r="AE328" s="3118"/>
      <c r="AF328" s="3118"/>
      <c r="AG328" s="3118"/>
      <c r="AH328" s="3118"/>
      <c r="AI328" s="3118"/>
      <c r="AJ328" s="3118"/>
      <c r="AK328" s="1072"/>
      <c r="AL328" s="961"/>
      <c r="AM328" s="1021"/>
      <c r="AN328" s="994"/>
    </row>
    <row r="329" spans="1:42" s="937" customFormat="1" ht="12.75" customHeight="1">
      <c r="A329" s="1021"/>
      <c r="B329" s="3118"/>
      <c r="C329" s="3118"/>
      <c r="D329" s="3118"/>
      <c r="E329" s="3118"/>
      <c r="F329" s="3118"/>
      <c r="G329" s="3118"/>
      <c r="H329" s="3118"/>
      <c r="I329" s="3118"/>
      <c r="J329" s="3118"/>
      <c r="K329" s="3118"/>
      <c r="L329" s="3118"/>
      <c r="M329" s="3118"/>
      <c r="N329" s="3118"/>
      <c r="O329" s="3118"/>
      <c r="P329" s="3118"/>
      <c r="Q329" s="3118"/>
      <c r="R329" s="3118"/>
      <c r="S329" s="3118"/>
      <c r="T329" s="3118"/>
      <c r="U329" s="3118"/>
      <c r="V329" s="3118"/>
      <c r="W329" s="3118"/>
      <c r="X329" s="3118"/>
      <c r="Y329" s="3118"/>
      <c r="Z329" s="3118"/>
      <c r="AA329" s="3118"/>
      <c r="AB329" s="3118"/>
      <c r="AC329" s="3118"/>
      <c r="AD329" s="3118"/>
      <c r="AE329" s="3118"/>
      <c r="AF329" s="3118"/>
      <c r="AG329" s="3118"/>
      <c r="AH329" s="3118"/>
      <c r="AI329" s="3118"/>
      <c r="AJ329" s="3118"/>
      <c r="AK329" s="1072"/>
      <c r="AL329" s="961"/>
      <c r="AM329" s="1021"/>
      <c r="AN329" s="994"/>
    </row>
    <row r="330" spans="1:42" s="937" customFormat="1" ht="12.75" customHeight="1">
      <c r="A330" s="1021"/>
      <c r="B330" s="3118"/>
      <c r="C330" s="3118"/>
      <c r="D330" s="3118"/>
      <c r="E330" s="3118"/>
      <c r="F330" s="3118"/>
      <c r="G330" s="3118"/>
      <c r="H330" s="3118"/>
      <c r="I330" s="3118"/>
      <c r="J330" s="3118"/>
      <c r="K330" s="3118"/>
      <c r="L330" s="3118"/>
      <c r="M330" s="3118"/>
      <c r="N330" s="3118"/>
      <c r="O330" s="3118"/>
      <c r="P330" s="3118"/>
      <c r="Q330" s="3118"/>
      <c r="R330" s="3118"/>
      <c r="S330" s="3118"/>
      <c r="T330" s="3118"/>
      <c r="U330" s="3118"/>
      <c r="V330" s="3118"/>
      <c r="W330" s="3118"/>
      <c r="X330" s="3118"/>
      <c r="Y330" s="3118"/>
      <c r="Z330" s="3118"/>
      <c r="AA330" s="3118"/>
      <c r="AB330" s="3118"/>
      <c r="AC330" s="3118"/>
      <c r="AD330" s="3118"/>
      <c r="AE330" s="3118"/>
      <c r="AF330" s="3118"/>
      <c r="AG330" s="3118"/>
      <c r="AH330" s="3118"/>
      <c r="AI330" s="3118"/>
      <c r="AJ330" s="3118"/>
      <c r="AK330" s="1072"/>
      <c r="AL330" s="961"/>
      <c r="AM330" s="1021"/>
      <c r="AN330" s="994"/>
    </row>
    <row r="331" spans="1:42" s="937" customFormat="1" ht="12.75" customHeight="1">
      <c r="A331" s="1021"/>
      <c r="B331" s="3118"/>
      <c r="C331" s="3118"/>
      <c r="D331" s="3118"/>
      <c r="E331" s="3118"/>
      <c r="F331" s="3118"/>
      <c r="G331" s="3118"/>
      <c r="H331" s="3118"/>
      <c r="I331" s="3118"/>
      <c r="J331" s="3118"/>
      <c r="K331" s="3118"/>
      <c r="L331" s="3118"/>
      <c r="M331" s="3118"/>
      <c r="N331" s="3118"/>
      <c r="O331" s="3118"/>
      <c r="P331" s="3118"/>
      <c r="Q331" s="3118"/>
      <c r="R331" s="3118"/>
      <c r="S331" s="3118"/>
      <c r="T331" s="3118"/>
      <c r="U331" s="3118"/>
      <c r="V331" s="3118"/>
      <c r="W331" s="3118"/>
      <c r="X331" s="3118"/>
      <c r="Y331" s="3118"/>
      <c r="Z331" s="3118"/>
      <c r="AA331" s="3118"/>
      <c r="AB331" s="3118"/>
      <c r="AC331" s="3118"/>
      <c r="AD331" s="3118"/>
      <c r="AE331" s="3118"/>
      <c r="AF331" s="3118"/>
      <c r="AG331" s="3118"/>
      <c r="AH331" s="3118"/>
      <c r="AI331" s="3118"/>
      <c r="AJ331" s="3118"/>
      <c r="AK331" s="1072"/>
      <c r="AL331" s="961"/>
      <c r="AM331" s="1021"/>
      <c r="AN331" s="994"/>
    </row>
    <row r="332" spans="1:42" ht="12.75" customHeight="1">
      <c r="A332" s="1021"/>
      <c r="B332" s="3118"/>
      <c r="C332" s="3118"/>
      <c r="D332" s="3118"/>
      <c r="E332" s="3118"/>
      <c r="F332" s="3118"/>
      <c r="G332" s="3118"/>
      <c r="H332" s="3118"/>
      <c r="I332" s="3118"/>
      <c r="J332" s="3118"/>
      <c r="K332" s="3118"/>
      <c r="L332" s="3118"/>
      <c r="M332" s="3118"/>
      <c r="N332" s="3118"/>
      <c r="O332" s="3118"/>
      <c r="P332" s="3118"/>
      <c r="Q332" s="3118"/>
      <c r="R332" s="3118"/>
      <c r="S332" s="3118"/>
      <c r="T332" s="3118"/>
      <c r="U332" s="3118"/>
      <c r="V332" s="3118"/>
      <c r="W332" s="3118"/>
      <c r="X332" s="3118"/>
      <c r="Y332" s="3118"/>
      <c r="Z332" s="3118"/>
      <c r="AA332" s="3118"/>
      <c r="AB332" s="3118"/>
      <c r="AC332" s="3118"/>
      <c r="AD332" s="3118"/>
      <c r="AE332" s="3118"/>
      <c r="AF332" s="3118"/>
      <c r="AG332" s="3118"/>
      <c r="AH332" s="3118"/>
      <c r="AI332" s="3118"/>
      <c r="AJ332" s="3118"/>
      <c r="AK332" s="1072"/>
      <c r="AL332" s="961"/>
      <c r="AM332" s="1021"/>
    </row>
    <row r="333" spans="1:42" s="937" customFormat="1" ht="12.75" customHeight="1">
      <c r="A333" s="1054"/>
      <c r="B333" s="3118"/>
      <c r="C333" s="3118"/>
      <c r="D333" s="3118"/>
      <c r="E333" s="3118"/>
      <c r="F333" s="3118"/>
      <c r="G333" s="3118"/>
      <c r="H333" s="3118"/>
      <c r="I333" s="3118"/>
      <c r="J333" s="3118"/>
      <c r="K333" s="3118"/>
      <c r="L333" s="3118"/>
      <c r="M333" s="3118"/>
      <c r="N333" s="3118"/>
      <c r="O333" s="3118"/>
      <c r="P333" s="3118"/>
      <c r="Q333" s="3118"/>
      <c r="R333" s="3118"/>
      <c r="S333" s="3118"/>
      <c r="T333" s="3118"/>
      <c r="U333" s="3118"/>
      <c r="V333" s="3118"/>
      <c r="W333" s="3118"/>
      <c r="X333" s="3118"/>
      <c r="Y333" s="3118"/>
      <c r="Z333" s="3118"/>
      <c r="AA333" s="3118"/>
      <c r="AB333" s="3118"/>
      <c r="AC333" s="3118"/>
      <c r="AD333" s="3118"/>
      <c r="AE333" s="3118"/>
      <c r="AF333" s="3118"/>
      <c r="AG333" s="3118"/>
      <c r="AH333" s="3118"/>
      <c r="AI333" s="3118"/>
      <c r="AJ333" s="3118"/>
      <c r="AK333" s="1072"/>
      <c r="AL333" s="961"/>
      <c r="AM333" s="1020"/>
      <c r="AN333" s="994"/>
    </row>
    <row r="334" spans="1:42" s="937" customFormat="1" ht="12.75" customHeight="1">
      <c r="A334" s="1054"/>
      <c r="B334" s="1072"/>
      <c r="C334" s="1072"/>
      <c r="D334" s="1072"/>
      <c r="E334" s="1072"/>
      <c r="F334" s="1072"/>
      <c r="G334" s="1072"/>
      <c r="H334" s="1072"/>
      <c r="I334" s="1072"/>
      <c r="J334" s="1072"/>
      <c r="K334" s="1072"/>
      <c r="L334" s="1072"/>
      <c r="M334" s="1072"/>
      <c r="N334" s="1072"/>
      <c r="O334" s="1072"/>
      <c r="P334" s="1072"/>
      <c r="Q334" s="1072"/>
      <c r="R334" s="1072"/>
      <c r="S334" s="1072"/>
      <c r="T334" s="1072"/>
      <c r="U334" s="1072"/>
      <c r="V334" s="1072"/>
      <c r="W334" s="1072"/>
      <c r="X334" s="1072"/>
      <c r="Y334" s="1072"/>
      <c r="Z334" s="1072"/>
      <c r="AA334" s="1072"/>
      <c r="AB334" s="1072"/>
      <c r="AC334" s="1072"/>
      <c r="AD334" s="1072"/>
      <c r="AE334" s="1072"/>
      <c r="AF334" s="1072"/>
      <c r="AG334" s="1072"/>
      <c r="AH334" s="1072"/>
      <c r="AI334" s="1072"/>
      <c r="AJ334" s="1072"/>
      <c r="AK334" s="1072"/>
      <c r="AL334" s="961"/>
      <c r="AM334" s="1020"/>
      <c r="AN334" s="994"/>
    </row>
    <row r="335" spans="1:42" s="937" customFormat="1" ht="12.75" customHeight="1">
      <c r="A335" s="1054"/>
      <c r="B335" s="1100" t="s">
        <v>1671</v>
      </c>
      <c r="C335" s="1110"/>
      <c r="D335" s="961"/>
      <c r="E335" s="961"/>
      <c r="F335" s="961"/>
      <c r="G335" s="961"/>
      <c r="H335" s="961"/>
      <c r="I335" s="961"/>
      <c r="J335" s="961"/>
      <c r="K335" s="961"/>
      <c r="L335" s="961"/>
      <c r="M335" s="961"/>
      <c r="N335" s="961"/>
      <c r="O335" s="961"/>
      <c r="P335" s="961"/>
      <c r="Q335" s="961"/>
      <c r="R335" s="961"/>
      <c r="S335" s="961"/>
      <c r="T335" s="961"/>
      <c r="U335" s="961"/>
      <c r="V335" s="961"/>
      <c r="W335" s="961"/>
      <c r="X335" s="961"/>
      <c r="Y335" s="961"/>
      <c r="Z335" s="961"/>
      <c r="AA335" s="961"/>
      <c r="AB335" s="961"/>
      <c r="AC335" s="961"/>
      <c r="AD335" s="961"/>
      <c r="AE335" s="961"/>
      <c r="AF335" s="961"/>
      <c r="AG335" s="961"/>
      <c r="AH335" s="961"/>
      <c r="AI335" s="961"/>
      <c r="AK335" s="1020"/>
      <c r="AL335" s="1020"/>
      <c r="AM335" s="1020"/>
      <c r="AN335" s="994"/>
      <c r="AP335" s="937" t="s">
        <v>626</v>
      </c>
    </row>
    <row r="336" spans="1:42" s="937" customFormat="1" ht="12.75" customHeight="1">
      <c r="A336" s="1054"/>
      <c r="B336" s="924"/>
      <c r="C336" s="1110"/>
      <c r="D336" s="961"/>
      <c r="E336" s="961"/>
      <c r="F336" s="961"/>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K336" s="1020"/>
      <c r="AL336" s="1020"/>
      <c r="AM336" s="1020"/>
      <c r="AN336" s="994"/>
      <c r="AP336" s="937" t="s">
        <v>578</v>
      </c>
    </row>
    <row r="337" spans="1:42" s="937" customFormat="1" ht="12.75" customHeight="1">
      <c r="A337" s="1054"/>
      <c r="B337" s="1054"/>
      <c r="C337" s="980" t="s">
        <v>1672</v>
      </c>
      <c r="D337" s="1111"/>
      <c r="E337" s="961"/>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K337" s="1020"/>
      <c r="AL337" s="1020"/>
      <c r="AM337" s="1020"/>
      <c r="AN337" s="994"/>
    </row>
    <row r="338" spans="1:42" s="937" customFormat="1" ht="12.75" customHeight="1">
      <c r="A338" s="1054"/>
      <c r="B338" s="1017"/>
      <c r="C338" s="1000"/>
      <c r="D338" s="1592"/>
      <c r="E338" s="1591"/>
      <c r="F338" s="1591"/>
      <c r="G338" s="1591"/>
      <c r="H338" s="1591"/>
      <c r="I338" s="1591"/>
      <c r="J338" s="1591"/>
      <c r="K338" s="1591"/>
      <c r="L338" s="1591"/>
      <c r="M338" s="1591"/>
      <c r="N338" s="1591"/>
      <c r="O338" s="1591"/>
      <c r="P338" s="1591"/>
      <c r="Q338" s="1591"/>
      <c r="R338" s="1591"/>
      <c r="S338" s="1591"/>
      <c r="T338" s="1591"/>
      <c r="U338" s="1591"/>
      <c r="V338" s="1591"/>
      <c r="W338" s="1591"/>
      <c r="X338" s="1591"/>
      <c r="Y338" s="1591"/>
      <c r="Z338" s="1591"/>
      <c r="AA338" s="1591"/>
      <c r="AB338" s="1591"/>
      <c r="AC338" s="1591"/>
      <c r="AD338" s="1591"/>
      <c r="AE338" s="1591"/>
      <c r="AF338" s="921"/>
      <c r="AG338" s="921"/>
      <c r="AH338" s="921"/>
      <c r="AI338" s="921"/>
      <c r="AJ338" s="921"/>
      <c r="AK338" s="921"/>
      <c r="AL338" s="921"/>
      <c r="AM338" s="1020"/>
      <c r="AN338" s="994"/>
    </row>
    <row r="339" spans="1:42" s="937" customFormat="1" ht="12.75" customHeight="1">
      <c r="A339" s="1054"/>
      <c r="B339" s="921"/>
      <c r="C339" s="921"/>
      <c r="D339" s="1100" t="s">
        <v>725</v>
      </c>
      <c r="E339" s="1630" t="s">
        <v>2192</v>
      </c>
      <c r="F339" s="1072"/>
      <c r="G339" s="1072"/>
      <c r="H339" s="1072"/>
      <c r="I339" s="1072"/>
      <c r="J339" s="1072"/>
      <c r="K339" s="1072"/>
      <c r="L339" s="1072"/>
      <c r="M339" s="1072"/>
      <c r="N339" s="1072"/>
      <c r="O339" s="1072"/>
      <c r="P339" s="1072"/>
      <c r="Q339" s="1072"/>
      <c r="R339" s="1072"/>
      <c r="S339" s="1072"/>
      <c r="T339" s="1072"/>
      <c r="U339" s="1072"/>
      <c r="V339" s="1072"/>
      <c r="W339" s="1072"/>
      <c r="X339" s="1072"/>
      <c r="Y339" s="1072"/>
      <c r="Z339" s="1072"/>
      <c r="AA339" s="1072"/>
      <c r="AB339" s="1072"/>
      <c r="AC339" s="921"/>
      <c r="AD339" s="921"/>
      <c r="AE339" s="921"/>
      <c r="AF339" s="3217" t="s">
        <v>1607</v>
      </c>
      <c r="AG339" s="3217"/>
      <c r="AH339" s="3217"/>
      <c r="AI339" s="3217"/>
      <c r="AJ339" s="3217"/>
      <c r="AK339" s="3217"/>
      <c r="AL339" s="3217"/>
      <c r="AM339" s="1020"/>
      <c r="AN339" s="994"/>
    </row>
    <row r="340" spans="1:42" s="937" customFormat="1" ht="12.75" customHeight="1">
      <c r="A340" s="1020"/>
      <c r="B340" s="1000"/>
      <c r="C340" s="1029"/>
      <c r="D340" s="1100"/>
      <c r="E340" s="1630" t="s">
        <v>2193</v>
      </c>
      <c r="F340" s="1072"/>
      <c r="G340" s="1072"/>
      <c r="H340" s="1072"/>
      <c r="I340" s="1072"/>
      <c r="J340" s="1072"/>
      <c r="K340" s="1072"/>
      <c r="L340" s="1072"/>
      <c r="M340" s="1072"/>
      <c r="N340" s="1072"/>
      <c r="O340" s="1072"/>
      <c r="P340" s="1072"/>
      <c r="Q340" s="1072"/>
      <c r="R340" s="1072"/>
      <c r="S340" s="1072"/>
      <c r="T340" s="1072"/>
      <c r="U340" s="1072"/>
      <c r="V340" s="1072"/>
      <c r="W340" s="1072"/>
      <c r="X340" s="1072"/>
      <c r="Y340" s="1072"/>
      <c r="Z340" s="1072"/>
      <c r="AA340" s="1072"/>
      <c r="AB340" s="1072"/>
      <c r="AC340" s="921"/>
      <c r="AD340" s="921"/>
      <c r="AE340" s="1029"/>
      <c r="AF340" s="1029"/>
      <c r="AG340" s="1029"/>
      <c r="AH340" s="1029"/>
      <c r="AI340" s="1029"/>
      <c r="AJ340" s="1029"/>
      <c r="AK340" s="1029"/>
      <c r="AL340" s="1029"/>
      <c r="AM340" s="1020"/>
      <c r="AN340" s="994"/>
    </row>
    <row r="341" spans="1:42" s="937" customFormat="1" ht="12.75" customHeight="1">
      <c r="A341" s="1020"/>
      <c r="B341" s="1000"/>
      <c r="C341" s="1029"/>
      <c r="D341" s="1100"/>
      <c r="E341" s="1630" t="s">
        <v>2194</v>
      </c>
      <c r="F341" s="1072"/>
      <c r="G341" s="1072"/>
      <c r="H341" s="1072"/>
      <c r="I341" s="1072"/>
      <c r="J341" s="1072"/>
      <c r="K341" s="1072"/>
      <c r="L341" s="1072"/>
      <c r="M341" s="1072"/>
      <c r="N341" s="1072"/>
      <c r="O341" s="1072"/>
      <c r="P341" s="1072"/>
      <c r="Q341" s="1072"/>
      <c r="R341" s="1072"/>
      <c r="S341" s="1072"/>
      <c r="T341" s="1072"/>
      <c r="U341" s="1072"/>
      <c r="V341" s="1072"/>
      <c r="W341" s="1072"/>
      <c r="X341" s="1072"/>
      <c r="Y341" s="1072"/>
      <c r="Z341" s="1072"/>
      <c r="AA341" s="1072"/>
      <c r="AB341" s="1072"/>
      <c r="AC341" s="921"/>
      <c r="AD341" s="921"/>
      <c r="AE341" s="1029"/>
      <c r="AF341" s="1029"/>
      <c r="AG341" s="1029"/>
      <c r="AH341" s="1029"/>
      <c r="AI341" s="1029"/>
      <c r="AJ341" s="1029"/>
      <c r="AK341" s="1029"/>
      <c r="AL341" s="1029"/>
      <c r="AM341" s="1020"/>
      <c r="AN341" s="994"/>
    </row>
    <row r="342" spans="1:42" s="937" customFormat="1" ht="12.75" customHeight="1">
      <c r="A342" s="1020"/>
      <c r="B342" s="1000"/>
      <c r="C342" s="1029"/>
      <c r="D342" s="1100"/>
      <c r="E342" s="1630" t="s">
        <v>2195</v>
      </c>
      <c r="F342" s="1072"/>
      <c r="G342" s="1072"/>
      <c r="H342" s="1072"/>
      <c r="I342" s="1072"/>
      <c r="J342" s="1072"/>
      <c r="K342" s="1072"/>
      <c r="L342" s="1072"/>
      <c r="M342" s="1072"/>
      <c r="N342" s="1072"/>
      <c r="O342" s="1072"/>
      <c r="P342" s="1072"/>
      <c r="Q342" s="1072"/>
      <c r="R342" s="1072"/>
      <c r="S342" s="1072"/>
      <c r="T342" s="1072"/>
      <c r="U342" s="1072"/>
      <c r="V342" s="1072"/>
      <c r="W342" s="1072"/>
      <c r="X342" s="1072"/>
      <c r="Y342" s="1072"/>
      <c r="Z342" s="1072"/>
      <c r="AA342" s="1072"/>
      <c r="AB342" s="1072"/>
      <c r="AC342" s="921"/>
      <c r="AD342" s="921"/>
      <c r="AE342" s="1029"/>
      <c r="AF342" s="1029"/>
      <c r="AG342" s="1029"/>
      <c r="AH342" s="1029"/>
      <c r="AI342" s="1029"/>
      <c r="AJ342" s="1029"/>
      <c r="AK342" s="1029"/>
      <c r="AL342" s="1029"/>
      <c r="AM342" s="1020"/>
      <c r="AN342" s="994"/>
    </row>
    <row r="343" spans="1:42" s="937" customFormat="1" ht="12.75" customHeight="1">
      <c r="A343" s="1020"/>
      <c r="B343" s="1000"/>
      <c r="C343" s="1029"/>
      <c r="D343" s="1100"/>
      <c r="E343" s="1630" t="s">
        <v>2196</v>
      </c>
      <c r="F343" s="1072"/>
      <c r="G343" s="1072"/>
      <c r="H343" s="1072"/>
      <c r="I343" s="1072"/>
      <c r="J343" s="1072"/>
      <c r="K343" s="1072"/>
      <c r="L343" s="1072"/>
      <c r="M343" s="1072"/>
      <c r="N343" s="1072"/>
      <c r="O343" s="1072"/>
      <c r="P343" s="1072"/>
      <c r="Q343" s="1072"/>
      <c r="R343" s="1072"/>
      <c r="S343" s="1072"/>
      <c r="T343" s="1072"/>
      <c r="U343" s="1072"/>
      <c r="V343" s="1072"/>
      <c r="W343" s="1072"/>
      <c r="X343" s="1072"/>
      <c r="Y343" s="1072"/>
      <c r="Z343" s="1072"/>
      <c r="AA343" s="1072"/>
      <c r="AB343" s="1072"/>
      <c r="AC343" s="921"/>
      <c r="AD343" s="921"/>
      <c r="AE343" s="1029"/>
      <c r="AF343" s="1029"/>
      <c r="AG343" s="1029"/>
      <c r="AH343" s="1029"/>
      <c r="AI343" s="1029"/>
      <c r="AJ343" s="1029"/>
      <c r="AK343" s="1029"/>
      <c r="AL343" s="1029"/>
      <c r="AM343" s="1020"/>
      <c r="AN343" s="994"/>
    </row>
    <row r="344" spans="1:42" s="937" customFormat="1" ht="12.75" customHeight="1">
      <c r="A344" s="1020"/>
      <c r="B344" s="1000"/>
      <c r="C344" s="1029"/>
      <c r="D344" s="1100"/>
      <c r="E344" s="1630" t="s">
        <v>2197</v>
      </c>
      <c r="F344" s="1072"/>
      <c r="G344" s="1072"/>
      <c r="H344" s="1072"/>
      <c r="I344" s="1072"/>
      <c r="J344" s="1072"/>
      <c r="K344" s="1072"/>
      <c r="L344" s="1072"/>
      <c r="M344" s="1072"/>
      <c r="N344" s="1072"/>
      <c r="O344" s="1072"/>
      <c r="P344" s="1072"/>
      <c r="Q344" s="1072"/>
      <c r="R344" s="1072"/>
      <c r="S344" s="1072"/>
      <c r="T344" s="1072"/>
      <c r="U344" s="1072"/>
      <c r="V344" s="1072"/>
      <c r="W344" s="1072"/>
      <c r="X344" s="1072"/>
      <c r="Y344" s="1072"/>
      <c r="Z344" s="1072"/>
      <c r="AA344" s="1072"/>
      <c r="AB344" s="1072"/>
      <c r="AC344" s="921"/>
      <c r="AD344" s="921"/>
      <c r="AE344" s="1029"/>
      <c r="AF344" s="1029"/>
      <c r="AG344" s="1029"/>
      <c r="AH344" s="1029"/>
      <c r="AI344" s="1029"/>
      <c r="AJ344" s="1029"/>
      <c r="AK344" s="1029"/>
      <c r="AL344" s="1029"/>
      <c r="AM344" s="1020"/>
      <c r="AN344" s="994"/>
    </row>
    <row r="345" spans="1:42" s="996" customFormat="1" ht="12.75" customHeight="1">
      <c r="A345" s="1020"/>
      <c r="B345" s="1000"/>
      <c r="C345" s="1029"/>
      <c r="D345" s="1100"/>
      <c r="E345" s="1630"/>
      <c r="F345" s="1072"/>
      <c r="G345" s="1072"/>
      <c r="H345" s="1072"/>
      <c r="I345" s="1072"/>
      <c r="J345" s="1072"/>
      <c r="K345" s="1072"/>
      <c r="L345" s="1072"/>
      <c r="M345" s="1072"/>
      <c r="N345" s="1072"/>
      <c r="O345" s="1072"/>
      <c r="P345" s="1072"/>
      <c r="Q345" s="1072"/>
      <c r="R345" s="1072"/>
      <c r="S345" s="1072"/>
      <c r="T345" s="1072"/>
      <c r="U345" s="1072"/>
      <c r="V345" s="1072"/>
      <c r="W345" s="1072"/>
      <c r="X345" s="1072"/>
      <c r="Y345" s="1072"/>
      <c r="Z345" s="1072"/>
      <c r="AA345" s="1072"/>
      <c r="AB345" s="1072"/>
      <c r="AC345" s="921"/>
      <c r="AD345" s="921"/>
      <c r="AE345" s="1029"/>
      <c r="AF345" s="924"/>
      <c r="AG345" s="924"/>
      <c r="AH345" s="924"/>
      <c r="AI345" s="924"/>
      <c r="AJ345" s="924"/>
      <c r="AK345" s="924"/>
      <c r="AL345" s="924"/>
      <c r="AM345" s="1020"/>
      <c r="AN345" s="995"/>
    </row>
    <row r="346" spans="1:42" s="937" customFormat="1" ht="12.75" customHeight="1">
      <c r="A346" s="1113"/>
      <c r="B346" s="1000"/>
      <c r="C346" s="1631"/>
      <c r="D346" s="1100" t="s">
        <v>542</v>
      </c>
      <c r="E346" s="1630" t="s">
        <v>2198</v>
      </c>
      <c r="F346" s="1632"/>
      <c r="G346" s="1632"/>
      <c r="H346" s="1632"/>
      <c r="I346" s="1632"/>
      <c r="J346" s="1632"/>
      <c r="K346" s="1632"/>
      <c r="L346" s="1632"/>
      <c r="M346" s="1632"/>
      <c r="N346" s="1632"/>
      <c r="O346" s="1632"/>
      <c r="P346" s="1632"/>
      <c r="Q346" s="1632"/>
      <c r="R346" s="1632"/>
      <c r="S346" s="1632"/>
      <c r="T346" s="1632"/>
      <c r="U346" s="1632"/>
      <c r="V346" s="1632"/>
      <c r="W346" s="1632"/>
      <c r="X346" s="1632"/>
      <c r="Y346" s="1632"/>
      <c r="Z346" s="1632"/>
      <c r="AA346" s="1632"/>
      <c r="AB346" s="1632"/>
      <c r="AC346" s="921"/>
      <c r="AD346" s="921"/>
      <c r="AE346" s="921"/>
      <c r="AF346" s="3217" t="s">
        <v>1673</v>
      </c>
      <c r="AG346" s="3217"/>
      <c r="AH346" s="3217"/>
      <c r="AI346" s="3217"/>
      <c r="AJ346" s="3217"/>
      <c r="AK346" s="3217"/>
      <c r="AL346" s="3217"/>
      <c r="AM346" s="1020"/>
      <c r="AN346" s="994"/>
    </row>
    <row r="347" spans="1:42" s="937" customFormat="1" ht="12.75" customHeight="1">
      <c r="A347" s="1054"/>
      <c r="B347" s="1017"/>
      <c r="C347" s="1633"/>
      <c r="D347" s="1100"/>
      <c r="E347" s="1630" t="s">
        <v>2199</v>
      </c>
      <c r="F347" s="1632"/>
      <c r="G347" s="1632"/>
      <c r="H347" s="1632"/>
      <c r="I347" s="1632"/>
      <c r="J347" s="1632"/>
      <c r="K347" s="1632"/>
      <c r="L347" s="1632"/>
      <c r="M347" s="1632"/>
      <c r="N347" s="1632"/>
      <c r="O347" s="1632"/>
      <c r="P347" s="1632"/>
      <c r="Q347" s="1632"/>
      <c r="R347" s="1632"/>
      <c r="S347" s="1632"/>
      <c r="T347" s="1632"/>
      <c r="U347" s="1632"/>
      <c r="V347" s="1632"/>
      <c r="W347" s="1632"/>
      <c r="X347" s="1632"/>
      <c r="Y347" s="1632"/>
      <c r="Z347" s="1632"/>
      <c r="AA347" s="1632"/>
      <c r="AB347" s="1632"/>
      <c r="AC347" s="921"/>
      <c r="AD347" s="921"/>
      <c r="AE347" s="1000"/>
      <c r="AF347" s="1000"/>
      <c r="AG347" s="1000"/>
      <c r="AH347" s="1000"/>
      <c r="AI347" s="1000"/>
      <c r="AJ347" s="1000"/>
      <c r="AK347" s="1000"/>
      <c r="AL347" s="1000"/>
      <c r="AM347" s="1020"/>
      <c r="AN347" s="994"/>
      <c r="AO347" s="937" t="s">
        <v>626</v>
      </c>
      <c r="AP347" s="1114">
        <v>0</v>
      </c>
    </row>
    <row r="348" spans="1:42" s="937" customFormat="1" ht="12.75" customHeight="1">
      <c r="A348" s="1054"/>
      <c r="B348" s="1018"/>
      <c r="C348" s="1634"/>
      <c r="D348" s="1100"/>
      <c r="E348" s="1630" t="s">
        <v>2200</v>
      </c>
      <c r="F348" s="1632"/>
      <c r="G348" s="1632"/>
      <c r="H348" s="1632"/>
      <c r="I348" s="1632"/>
      <c r="J348" s="1632"/>
      <c r="K348" s="1632"/>
      <c r="L348" s="1632"/>
      <c r="M348" s="1632"/>
      <c r="N348" s="1632"/>
      <c r="O348" s="1632"/>
      <c r="P348" s="1632"/>
      <c r="Q348" s="1632"/>
      <c r="R348" s="1632"/>
      <c r="S348" s="1632"/>
      <c r="T348" s="1632"/>
      <c r="U348" s="1632"/>
      <c r="V348" s="1632"/>
      <c r="W348" s="1632"/>
      <c r="X348" s="1632"/>
      <c r="Y348" s="1632"/>
      <c r="Z348" s="1632"/>
      <c r="AA348" s="1632"/>
      <c r="AB348" s="1632"/>
      <c r="AC348" s="921"/>
      <c r="AD348" s="921"/>
      <c r="AE348" s="1017"/>
      <c r="AF348" s="1017"/>
      <c r="AG348" s="1017"/>
      <c r="AH348" s="1017"/>
      <c r="AI348" s="1017"/>
      <c r="AJ348" s="1017"/>
      <c r="AK348" s="1017"/>
      <c r="AL348" s="1017"/>
      <c r="AM348" s="1020"/>
      <c r="AN348" s="994"/>
      <c r="AO348" s="1112" t="s">
        <v>725</v>
      </c>
      <c r="AP348" s="937">
        <v>7</v>
      </c>
    </row>
    <row r="349" spans="1:42" s="937" customFormat="1" ht="12.75" customHeight="1">
      <c r="A349" s="1054"/>
      <c r="B349" s="1018"/>
      <c r="C349" s="1634"/>
      <c r="D349" s="1100"/>
      <c r="E349" s="1630" t="s">
        <v>2202</v>
      </c>
      <c r="F349" s="1632"/>
      <c r="G349" s="1632"/>
      <c r="H349" s="1632"/>
      <c r="I349" s="1632"/>
      <c r="J349" s="1632"/>
      <c r="K349" s="1632"/>
      <c r="L349" s="1632"/>
      <c r="M349" s="1632"/>
      <c r="N349" s="1632"/>
      <c r="O349" s="1632"/>
      <c r="P349" s="1632"/>
      <c r="Q349" s="1632"/>
      <c r="R349" s="1632"/>
      <c r="S349" s="1632"/>
      <c r="T349" s="1632"/>
      <c r="U349" s="1632"/>
      <c r="V349" s="1632"/>
      <c r="W349" s="1632"/>
      <c r="X349" s="1632"/>
      <c r="Y349" s="1632"/>
      <c r="Z349" s="1632"/>
      <c r="AA349" s="1632"/>
      <c r="AB349" s="1632"/>
      <c r="AC349" s="921"/>
      <c r="AD349" s="921"/>
      <c r="AE349" s="1017"/>
      <c r="AF349" s="1017"/>
      <c r="AG349" s="1017"/>
      <c r="AH349" s="1017"/>
      <c r="AI349" s="1017"/>
      <c r="AJ349" s="1017"/>
      <c r="AK349" s="1017"/>
      <c r="AL349" s="1017"/>
      <c r="AM349" s="1020"/>
      <c r="AN349" s="994"/>
      <c r="AO349" s="1112" t="s">
        <v>542</v>
      </c>
      <c r="AP349" s="937">
        <v>6</v>
      </c>
    </row>
    <row r="350" spans="1:42" s="937" customFormat="1" ht="12.75" customHeight="1">
      <c r="A350" s="1054"/>
      <c r="B350" s="1018"/>
      <c r="C350" s="1634"/>
      <c r="D350" s="1100"/>
      <c r="E350" s="1630" t="s">
        <v>2201</v>
      </c>
      <c r="F350" s="1632"/>
      <c r="G350" s="1632"/>
      <c r="H350" s="1632"/>
      <c r="I350" s="1632"/>
      <c r="J350" s="1632"/>
      <c r="K350" s="1632"/>
      <c r="L350" s="1632"/>
      <c r="M350" s="1632"/>
      <c r="N350" s="1632"/>
      <c r="O350" s="1632"/>
      <c r="P350" s="1632"/>
      <c r="Q350" s="1632"/>
      <c r="R350" s="1632"/>
      <c r="S350" s="1632"/>
      <c r="T350" s="1632"/>
      <c r="U350" s="1632"/>
      <c r="V350" s="1632"/>
      <c r="W350" s="1632"/>
      <c r="X350" s="1632"/>
      <c r="Y350" s="1632"/>
      <c r="Z350" s="1632"/>
      <c r="AA350" s="1632"/>
      <c r="AB350" s="1632"/>
      <c r="AC350" s="921"/>
      <c r="AD350" s="921"/>
      <c r="AE350" s="1017"/>
      <c r="AF350" s="1017"/>
      <c r="AG350" s="1017"/>
      <c r="AH350" s="1017"/>
      <c r="AI350" s="1017"/>
      <c r="AJ350" s="1017"/>
      <c r="AK350" s="1017"/>
      <c r="AL350" s="1017"/>
      <c r="AM350" s="1020"/>
      <c r="AN350" s="994"/>
      <c r="AO350" s="1112" t="s">
        <v>284</v>
      </c>
      <c r="AP350" s="937">
        <v>5</v>
      </c>
    </row>
    <row r="351" spans="1:42" s="937" customFormat="1" ht="12.75" customHeight="1">
      <c r="A351" s="1054"/>
      <c r="B351" s="1018"/>
      <c r="C351" s="1634"/>
      <c r="D351" s="1100"/>
      <c r="E351" s="1635"/>
      <c r="F351" s="1636"/>
      <c r="G351" s="1636"/>
      <c r="H351" s="1636"/>
      <c r="I351" s="1029"/>
      <c r="J351" s="1029"/>
      <c r="K351" s="1029"/>
      <c r="L351" s="1029"/>
      <c r="M351" s="1029"/>
      <c r="N351" s="1029"/>
      <c r="O351" s="1029"/>
      <c r="P351" s="1029"/>
      <c r="Q351" s="1029"/>
      <c r="R351" s="1029"/>
      <c r="S351" s="1029"/>
      <c r="T351" s="1029"/>
      <c r="U351" s="1029"/>
      <c r="V351" s="1029"/>
      <c r="W351" s="1029"/>
      <c r="X351" s="1029"/>
      <c r="Y351" s="1029"/>
      <c r="Z351" s="1029"/>
      <c r="AA351" s="1029"/>
      <c r="AB351" s="1029"/>
      <c r="AC351" s="921"/>
      <c r="AD351" s="921"/>
      <c r="AE351" s="1029"/>
      <c r="AF351" s="921"/>
      <c r="AG351" s="921"/>
      <c r="AH351" s="921"/>
      <c r="AI351" s="921"/>
      <c r="AJ351" s="921"/>
      <c r="AK351" s="921"/>
      <c r="AL351" s="921"/>
      <c r="AM351" s="1020"/>
      <c r="AN351" s="994"/>
      <c r="AO351" s="1112" t="s">
        <v>1674</v>
      </c>
      <c r="AP351" s="937">
        <v>4</v>
      </c>
    </row>
    <row r="352" spans="1:42" s="937" customFormat="1" ht="12.75" customHeight="1">
      <c r="A352" s="1054"/>
      <c r="B352" s="1000"/>
      <c r="C352" s="1631"/>
      <c r="D352" s="1100" t="s">
        <v>284</v>
      </c>
      <c r="E352" s="1630" t="s">
        <v>2203</v>
      </c>
      <c r="F352" s="1632"/>
      <c r="G352" s="1632"/>
      <c r="H352" s="1632"/>
      <c r="I352" s="1632"/>
      <c r="J352" s="1632"/>
      <c r="K352" s="1632"/>
      <c r="L352" s="1632"/>
      <c r="M352" s="1632"/>
      <c r="N352" s="1632"/>
      <c r="O352" s="1632"/>
      <c r="P352" s="1632"/>
      <c r="Q352" s="1632"/>
      <c r="R352" s="1632"/>
      <c r="S352" s="1632"/>
      <c r="T352" s="1632"/>
      <c r="U352" s="1632"/>
      <c r="V352" s="1632"/>
      <c r="W352" s="1632"/>
      <c r="X352" s="1632"/>
      <c r="Y352" s="1632"/>
      <c r="Z352" s="1632"/>
      <c r="AA352" s="1632"/>
      <c r="AB352" s="1632"/>
      <c r="AC352" s="921"/>
      <c r="AD352" s="921"/>
      <c r="AE352" s="921"/>
      <c r="AF352" s="3217" t="s">
        <v>1647</v>
      </c>
      <c r="AG352" s="3217"/>
      <c r="AH352" s="3217"/>
      <c r="AI352" s="3217"/>
      <c r="AJ352" s="3217"/>
      <c r="AK352" s="3217"/>
      <c r="AL352" s="3217"/>
      <c r="AM352" s="1020"/>
      <c r="AN352" s="994"/>
      <c r="AO352" s="1112" t="s">
        <v>1675</v>
      </c>
      <c r="AP352" s="937">
        <v>3</v>
      </c>
    </row>
    <row r="353" spans="1:53" s="937" customFormat="1" ht="12.75" customHeight="1">
      <c r="A353" s="1054"/>
      <c r="B353" s="1017"/>
      <c r="C353" s="1633"/>
      <c r="D353" s="1100"/>
      <c r="E353" s="1630" t="s">
        <v>2199</v>
      </c>
      <c r="F353" s="1632"/>
      <c r="G353" s="1632"/>
      <c r="H353" s="1632"/>
      <c r="I353" s="1632"/>
      <c r="J353" s="1632"/>
      <c r="K353" s="1632"/>
      <c r="L353" s="1632"/>
      <c r="M353" s="1632"/>
      <c r="N353" s="1632"/>
      <c r="O353" s="1632"/>
      <c r="P353" s="1632"/>
      <c r="Q353" s="1632"/>
      <c r="R353" s="1632"/>
      <c r="S353" s="1632"/>
      <c r="T353" s="1632"/>
      <c r="U353" s="1632"/>
      <c r="V353" s="1632"/>
      <c r="W353" s="1632"/>
      <c r="X353" s="1632"/>
      <c r="Y353" s="1632"/>
      <c r="Z353" s="1632"/>
      <c r="AA353" s="1632"/>
      <c r="AB353" s="1632"/>
      <c r="AC353" s="921"/>
      <c r="AD353" s="921"/>
      <c r="AE353" s="1017"/>
      <c r="AF353" s="1017"/>
      <c r="AG353" s="1017"/>
      <c r="AH353" s="1017"/>
      <c r="AI353" s="1017"/>
      <c r="AJ353" s="1017"/>
      <c r="AK353" s="1017"/>
      <c r="AL353" s="1017"/>
      <c r="AM353" s="1020"/>
      <c r="AN353" s="994"/>
    </row>
    <row r="354" spans="1:53" s="937" customFormat="1" ht="12.75" customHeight="1">
      <c r="A354" s="1054"/>
      <c r="B354" s="1017"/>
      <c r="C354" s="1633"/>
      <c r="D354" s="1100"/>
      <c r="E354" s="1630" t="s">
        <v>2200</v>
      </c>
      <c r="F354" s="1632"/>
      <c r="G354" s="1632"/>
      <c r="H354" s="1632"/>
      <c r="I354" s="1632"/>
      <c r="J354" s="1632"/>
      <c r="K354" s="1632"/>
      <c r="L354" s="1632"/>
      <c r="M354" s="1632"/>
      <c r="N354" s="1632"/>
      <c r="O354" s="1632"/>
      <c r="P354" s="1632"/>
      <c r="Q354" s="1632"/>
      <c r="R354" s="1632"/>
      <c r="S354" s="1632"/>
      <c r="T354" s="1632"/>
      <c r="U354" s="1632"/>
      <c r="V354" s="1632"/>
      <c r="W354" s="1632"/>
      <c r="X354" s="1632"/>
      <c r="Y354" s="1632"/>
      <c r="Z354" s="1632"/>
      <c r="AA354" s="1632"/>
      <c r="AB354" s="1632"/>
      <c r="AC354" s="921"/>
      <c r="AD354" s="921"/>
      <c r="AE354" s="1017"/>
      <c r="AF354" s="1017"/>
      <c r="AG354" s="1017"/>
      <c r="AH354" s="1017"/>
      <c r="AI354" s="1017"/>
      <c r="AJ354" s="1017"/>
      <c r="AK354" s="1017"/>
      <c r="AL354" s="1017"/>
      <c r="AM354" s="1020"/>
      <c r="AN354" s="994"/>
    </row>
    <row r="355" spans="1:53" s="937" customFormat="1" ht="12.75" customHeight="1">
      <c r="A355" s="1054"/>
      <c r="B355" s="1017"/>
      <c r="C355" s="1633"/>
      <c r="D355" s="1100"/>
      <c r="E355" s="1630" t="s">
        <v>2202</v>
      </c>
      <c r="F355" s="1632"/>
      <c r="G355" s="1632"/>
      <c r="H355" s="1632"/>
      <c r="I355" s="1632"/>
      <c r="J355" s="1632"/>
      <c r="K355" s="1632"/>
      <c r="L355" s="1632"/>
      <c r="M355" s="1632"/>
      <c r="N355" s="1632"/>
      <c r="O355" s="1632"/>
      <c r="P355" s="1632"/>
      <c r="Q355" s="1632"/>
      <c r="R355" s="1632"/>
      <c r="S355" s="1632"/>
      <c r="T355" s="1632"/>
      <c r="U355" s="1632"/>
      <c r="V355" s="1632"/>
      <c r="W355" s="1632"/>
      <c r="X355" s="1632"/>
      <c r="Y355" s="1632"/>
      <c r="Z355" s="1632"/>
      <c r="AA355" s="1632"/>
      <c r="AB355" s="1632"/>
      <c r="AC355" s="921"/>
      <c r="AD355" s="921"/>
      <c r="AE355" s="1017"/>
      <c r="AF355" s="1017"/>
      <c r="AG355" s="1017"/>
      <c r="AH355" s="1017"/>
      <c r="AI355" s="1017"/>
      <c r="AJ355" s="1017"/>
      <c r="AK355" s="1017"/>
      <c r="AL355" s="1017"/>
      <c r="AM355" s="1020"/>
      <c r="AN355" s="994"/>
    </row>
    <row r="356" spans="1:53" s="937" customFormat="1" ht="12.75" customHeight="1">
      <c r="A356" s="1054"/>
      <c r="B356" s="1017"/>
      <c r="C356" s="1633"/>
      <c r="D356" s="1100"/>
      <c r="E356" s="1630" t="s">
        <v>2201</v>
      </c>
      <c r="F356" s="1632"/>
      <c r="G356" s="1632"/>
      <c r="H356" s="1632"/>
      <c r="I356" s="1632"/>
      <c r="J356" s="1632"/>
      <c r="K356" s="1632"/>
      <c r="L356" s="1632"/>
      <c r="M356" s="1632"/>
      <c r="N356" s="1632"/>
      <c r="O356" s="1632"/>
      <c r="P356" s="1632"/>
      <c r="Q356" s="1632"/>
      <c r="R356" s="1632"/>
      <c r="S356" s="1632"/>
      <c r="T356" s="1632"/>
      <c r="U356" s="1632"/>
      <c r="V356" s="1632"/>
      <c r="W356" s="1632"/>
      <c r="X356" s="1632"/>
      <c r="Y356" s="1632"/>
      <c r="Z356" s="1632"/>
      <c r="AA356" s="1632"/>
      <c r="AB356" s="1632"/>
      <c r="AC356" s="921"/>
      <c r="AD356" s="921"/>
      <c r="AE356" s="1017"/>
      <c r="AF356" s="1017"/>
      <c r="AG356" s="1017"/>
      <c r="AH356" s="1017"/>
      <c r="AI356" s="1017"/>
      <c r="AJ356" s="1017"/>
      <c r="AK356" s="1017"/>
      <c r="AL356" s="1017"/>
      <c r="AM356" s="1020"/>
      <c r="AN356" s="994"/>
    </row>
    <row r="357" spans="1:53" s="937" customFormat="1" ht="12.75" customHeight="1">
      <c r="A357" s="51"/>
      <c r="B357" s="51"/>
      <c r="C357" s="1056"/>
      <c r="D357" s="1100"/>
      <c r="E357" s="1115"/>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1"/>
      <c r="AD357" s="921"/>
      <c r="AE357" s="51"/>
      <c r="AF357" s="921"/>
      <c r="AG357" s="921"/>
      <c r="AH357" s="921"/>
      <c r="AI357" s="921"/>
      <c r="AJ357" s="921"/>
      <c r="AK357" s="921"/>
      <c r="AL357" s="921"/>
      <c r="AM357" s="51"/>
      <c r="AN357" s="994"/>
    </row>
    <row r="358" spans="1:53" s="937" customFormat="1" ht="12.75" customHeight="1">
      <c r="A358" s="1054"/>
      <c r="B358" s="1000"/>
      <c r="C358" s="1631"/>
      <c r="D358" s="1100" t="s">
        <v>1674</v>
      </c>
      <c r="E358" s="1630" t="s">
        <v>2204</v>
      </c>
      <c r="F358" s="1632"/>
      <c r="G358" s="1632"/>
      <c r="H358" s="1632"/>
      <c r="I358" s="1632"/>
      <c r="J358" s="1632"/>
      <c r="K358" s="1632"/>
      <c r="L358" s="1632"/>
      <c r="M358" s="1632"/>
      <c r="N358" s="1632"/>
      <c r="O358" s="1632"/>
      <c r="P358" s="1632"/>
      <c r="Q358" s="1632"/>
      <c r="R358" s="1632"/>
      <c r="S358" s="1632"/>
      <c r="T358" s="1632"/>
      <c r="U358" s="1632"/>
      <c r="V358" s="1632"/>
      <c r="W358" s="1632"/>
      <c r="X358" s="1632"/>
      <c r="Y358" s="1632"/>
      <c r="Z358" s="1632"/>
      <c r="AA358" s="1632"/>
      <c r="AB358" s="1632"/>
      <c r="AC358" s="921"/>
      <c r="AD358" s="921"/>
      <c r="AE358" s="921"/>
      <c r="AF358" s="3217" t="s">
        <v>1676</v>
      </c>
      <c r="AG358" s="3217"/>
      <c r="AH358" s="3217"/>
      <c r="AI358" s="3217"/>
      <c r="AJ358" s="3217"/>
      <c r="AK358" s="3217"/>
      <c r="AL358" s="3217"/>
      <c r="AM358" s="1020"/>
      <c r="AN358" s="994"/>
      <c r="AO358" s="937" t="str">
        <f>X395</f>
        <v>N/A</v>
      </c>
    </row>
    <row r="359" spans="1:53" s="937" customFormat="1" ht="12.75" customHeight="1">
      <c r="A359" s="1054"/>
      <c r="B359" s="1017"/>
      <c r="C359" s="1633"/>
      <c r="D359" s="1100"/>
      <c r="E359" s="1630" t="s">
        <v>2205</v>
      </c>
      <c r="F359" s="1632"/>
      <c r="G359" s="1632"/>
      <c r="H359" s="1632"/>
      <c r="I359" s="1632"/>
      <c r="J359" s="1632"/>
      <c r="K359" s="1632"/>
      <c r="L359" s="1632"/>
      <c r="M359" s="1632"/>
      <c r="N359" s="1632"/>
      <c r="O359" s="1632"/>
      <c r="P359" s="1632"/>
      <c r="Q359" s="1632"/>
      <c r="R359" s="1632"/>
      <c r="S359" s="1632"/>
      <c r="T359" s="1632"/>
      <c r="U359" s="1632"/>
      <c r="V359" s="1632"/>
      <c r="W359" s="1632"/>
      <c r="X359" s="1632"/>
      <c r="Y359" s="1632"/>
      <c r="Z359" s="1632"/>
      <c r="AA359" s="1632"/>
      <c r="AB359" s="1632"/>
      <c r="AC359" s="51"/>
      <c r="AD359" s="51"/>
      <c r="AE359" s="1017"/>
      <c r="AF359" s="1017"/>
      <c r="AG359" s="1017"/>
      <c r="AH359" s="1017"/>
      <c r="AI359" s="1017"/>
      <c r="AJ359" s="1017"/>
      <c r="AK359" s="1017"/>
      <c r="AL359" s="1017"/>
      <c r="AM359" s="1020"/>
      <c r="AN359" s="994"/>
      <c r="AU359" s="984"/>
      <c r="AV359" s="984"/>
      <c r="AW359" s="984"/>
      <c r="AX359" s="984"/>
      <c r="AY359" s="984"/>
      <c r="AZ359" s="984"/>
      <c r="BA359" s="984"/>
    </row>
    <row r="360" spans="1:53" s="937" customFormat="1" ht="12.75" customHeight="1">
      <c r="A360" s="1054"/>
      <c r="B360" s="1018"/>
      <c r="C360" s="1634"/>
      <c r="D360" s="1100"/>
      <c r="E360" s="1630" t="s">
        <v>2206</v>
      </c>
      <c r="F360" s="1632"/>
      <c r="G360" s="1632"/>
      <c r="H360" s="1632"/>
      <c r="I360" s="1632"/>
      <c r="J360" s="1632"/>
      <c r="K360" s="1632"/>
      <c r="L360" s="1632"/>
      <c r="M360" s="1632"/>
      <c r="N360" s="1632"/>
      <c r="O360" s="1632"/>
      <c r="P360" s="1632"/>
      <c r="Q360" s="1632"/>
      <c r="R360" s="1632"/>
      <c r="S360" s="1632"/>
      <c r="T360" s="1632"/>
      <c r="U360" s="1632"/>
      <c r="V360" s="1632"/>
      <c r="W360" s="1632"/>
      <c r="X360" s="1632"/>
      <c r="Y360" s="1632"/>
      <c r="Z360" s="1632"/>
      <c r="AA360" s="1632"/>
      <c r="AB360" s="1632"/>
      <c r="AC360" s="921"/>
      <c r="AD360" s="921"/>
      <c r="AE360" s="1017"/>
      <c r="AF360" s="1017"/>
      <c r="AG360" s="1017"/>
      <c r="AH360" s="1017"/>
      <c r="AI360" s="1017"/>
      <c r="AJ360" s="1017"/>
      <c r="AK360" s="1017"/>
      <c r="AL360" s="1017"/>
      <c r="AM360" s="1020"/>
      <c r="AN360" s="994"/>
    </row>
    <row r="361" spans="1:53" s="937" customFormat="1" ht="12.75" customHeight="1">
      <c r="A361" s="1054"/>
      <c r="B361" s="1018"/>
      <c r="C361" s="1634"/>
      <c r="D361" s="1100"/>
      <c r="E361" s="1630"/>
      <c r="F361" s="1632"/>
      <c r="G361" s="1632"/>
      <c r="H361" s="1632"/>
      <c r="I361" s="1632"/>
      <c r="J361" s="1632"/>
      <c r="K361" s="1632"/>
      <c r="L361" s="1632"/>
      <c r="M361" s="1632"/>
      <c r="N361" s="1632"/>
      <c r="O361" s="1632"/>
      <c r="P361" s="1632"/>
      <c r="Q361" s="1632"/>
      <c r="R361" s="1632"/>
      <c r="S361" s="1632"/>
      <c r="T361" s="1632"/>
      <c r="U361" s="1632"/>
      <c r="V361" s="1632"/>
      <c r="W361" s="1632"/>
      <c r="X361" s="1632"/>
      <c r="Y361" s="1632"/>
      <c r="Z361" s="1632"/>
      <c r="AA361" s="1632"/>
      <c r="AB361" s="1632"/>
      <c r="AC361" s="921"/>
      <c r="AD361" s="921"/>
      <c r="AE361" s="1017"/>
      <c r="AF361" s="1017"/>
      <c r="AG361" s="1017"/>
      <c r="AH361" s="1017"/>
      <c r="AI361" s="1017"/>
      <c r="AJ361" s="1017"/>
      <c r="AK361" s="1017"/>
      <c r="AL361" s="1017"/>
      <c r="AM361" s="1020"/>
      <c r="AN361" s="994"/>
    </row>
    <row r="362" spans="1:53" s="937" customFormat="1" ht="12.75" customHeight="1">
      <c r="A362" s="1054"/>
      <c r="B362" s="1018"/>
      <c r="C362" s="1634"/>
      <c r="D362" s="1100"/>
      <c r="E362" s="921" t="s">
        <v>2391</v>
      </c>
      <c r="O362" s="3225" t="s">
        <v>1382</v>
      </c>
      <c r="P362" s="3225"/>
      <c r="Q362" s="3225"/>
      <c r="R362" s="3225"/>
      <c r="S362" s="3225"/>
      <c r="T362" s="3225"/>
      <c r="U362" s="3225"/>
      <c r="V362" s="3225"/>
      <c r="W362" s="3225"/>
      <c r="X362" s="3225"/>
      <c r="Y362" s="3225"/>
      <c r="Z362" s="3225"/>
      <c r="AA362" s="3225"/>
      <c r="AB362" s="3225"/>
      <c r="AH362" s="1017"/>
      <c r="AI362" s="1017"/>
      <c r="AJ362" s="1017"/>
      <c r="AK362" s="1017"/>
      <c r="AL362" s="1017"/>
      <c r="AM362" s="1020"/>
      <c r="AN362" s="994"/>
    </row>
    <row r="363" spans="1:53" s="937" customFormat="1" ht="12.75" customHeight="1">
      <c r="A363" s="1054"/>
      <c r="B363" s="1018"/>
      <c r="C363" s="1634"/>
      <c r="D363" s="1100"/>
      <c r="E363" s="1630"/>
      <c r="F363" s="1632"/>
      <c r="G363" s="1632"/>
      <c r="H363" s="1632"/>
      <c r="I363" s="1632"/>
      <c r="J363" s="1632"/>
      <c r="K363" s="1632"/>
      <c r="L363" s="1632"/>
      <c r="M363" s="1632"/>
      <c r="N363" s="1632"/>
      <c r="O363" s="1632"/>
      <c r="P363" s="1632"/>
      <c r="Q363" s="1632"/>
      <c r="R363" s="1632"/>
      <c r="S363" s="1632"/>
      <c r="T363" s="1632"/>
      <c r="U363" s="1632"/>
      <c r="V363" s="1632"/>
      <c r="W363" s="1632"/>
      <c r="X363" s="1632"/>
      <c r="Y363" s="1632"/>
      <c r="Z363" s="1632"/>
      <c r="AA363" s="1632"/>
      <c r="AB363" s="1632"/>
      <c r="AC363" s="921"/>
      <c r="AD363" s="921"/>
      <c r="AE363" s="1017"/>
      <c r="AF363" s="1017"/>
      <c r="AG363" s="1017"/>
      <c r="AH363" s="1017"/>
      <c r="AI363" s="1017"/>
      <c r="AJ363" s="1017"/>
      <c r="AK363" s="1017"/>
      <c r="AL363" s="1017"/>
      <c r="AM363" s="1020"/>
      <c r="AN363" s="994"/>
    </row>
    <row r="364" spans="1:53" s="996" customFormat="1" ht="12.75" customHeight="1">
      <c r="A364" s="1054"/>
      <c r="B364" s="1000"/>
      <c r="C364" s="1631"/>
      <c r="D364" s="1100" t="s">
        <v>1675</v>
      </c>
      <c r="E364" s="1630" t="s">
        <v>2208</v>
      </c>
      <c r="F364" s="1632"/>
      <c r="G364" s="1632"/>
      <c r="H364" s="1632"/>
      <c r="I364" s="1632"/>
      <c r="J364" s="1632"/>
      <c r="K364" s="1632"/>
      <c r="L364" s="1632"/>
      <c r="M364" s="1632"/>
      <c r="N364" s="1632"/>
      <c r="O364" s="1632"/>
      <c r="P364" s="1632"/>
      <c r="Q364" s="1632"/>
      <c r="R364" s="1632"/>
      <c r="S364" s="1632"/>
      <c r="T364" s="1632"/>
      <c r="U364" s="1632"/>
      <c r="V364" s="1632"/>
      <c r="W364" s="1632"/>
      <c r="X364" s="1632"/>
      <c r="Y364" s="1632"/>
      <c r="Z364" s="1632"/>
      <c r="AA364" s="1632"/>
      <c r="AB364" s="1632"/>
      <c r="AC364" s="921"/>
      <c r="AD364" s="921"/>
      <c r="AE364" s="924"/>
      <c r="AF364" s="3217" t="s">
        <v>1621</v>
      </c>
      <c r="AG364" s="3217"/>
      <c r="AH364" s="3217"/>
      <c r="AI364" s="3217"/>
      <c r="AJ364" s="3217"/>
      <c r="AK364" s="3217"/>
      <c r="AL364" s="3217"/>
      <c r="AM364" s="1020"/>
      <c r="AN364" s="995"/>
    </row>
    <row r="365" spans="1:53" s="937" customFormat="1" ht="12.75" customHeight="1">
      <c r="A365" s="1054"/>
      <c r="B365" s="1000"/>
      <c r="C365" s="1631"/>
      <c r="D365" s="1100"/>
      <c r="E365" s="1630" t="s">
        <v>2207</v>
      </c>
      <c r="F365" s="1632"/>
      <c r="G365" s="1632"/>
      <c r="H365" s="1632"/>
      <c r="I365" s="1632"/>
      <c r="J365" s="1632"/>
      <c r="K365" s="1632"/>
      <c r="L365" s="1632"/>
      <c r="M365" s="1632"/>
      <c r="N365" s="1632"/>
      <c r="O365" s="1632"/>
      <c r="P365" s="1632"/>
      <c r="Q365" s="1632"/>
      <c r="R365" s="1632"/>
      <c r="S365" s="1632"/>
      <c r="T365" s="1632"/>
      <c r="U365" s="1632"/>
      <c r="V365" s="1632"/>
      <c r="W365" s="1632"/>
      <c r="X365" s="1632"/>
      <c r="Y365" s="1632"/>
      <c r="Z365" s="1632"/>
      <c r="AA365" s="1632"/>
      <c r="AB365" s="1632"/>
      <c r="AC365" s="921"/>
      <c r="AD365" s="921"/>
      <c r="AE365" s="1590"/>
      <c r="AF365" s="921"/>
      <c r="AG365" s="921"/>
      <c r="AH365" s="921"/>
      <c r="AI365" s="921"/>
      <c r="AJ365" s="921"/>
      <c r="AK365" s="921"/>
      <c r="AL365" s="921"/>
      <c r="AM365" s="1020"/>
      <c r="AN365" s="994"/>
    </row>
    <row r="366" spans="1:53" s="937" customFormat="1" ht="12.75" customHeight="1">
      <c r="A366" s="1054"/>
      <c r="B366" s="1017"/>
      <c r="C366" s="1633"/>
      <c r="D366" s="1017"/>
      <c r="E366" s="1029"/>
      <c r="F366" s="1637"/>
      <c r="G366" s="1637"/>
      <c r="H366" s="1637"/>
      <c r="I366" s="1637"/>
      <c r="J366" s="1637"/>
      <c r="K366" s="1637"/>
      <c r="L366" s="1637"/>
      <c r="M366" s="1637"/>
      <c r="N366" s="1637"/>
      <c r="O366" s="1637"/>
      <c r="P366" s="1637"/>
      <c r="Q366" s="1637"/>
      <c r="R366" s="1637"/>
      <c r="S366" s="1637"/>
      <c r="T366" s="1637"/>
      <c r="U366" s="1637"/>
      <c r="V366" s="1637"/>
      <c r="W366" s="1637"/>
      <c r="X366" s="1637"/>
      <c r="Y366" s="1637"/>
      <c r="Z366" s="1637"/>
      <c r="AA366" s="1637"/>
      <c r="AB366" s="1637"/>
      <c r="AC366" s="1017"/>
      <c r="AD366" s="1017"/>
      <c r="AE366" s="1017"/>
      <c r="AF366" s="1017"/>
      <c r="AG366" s="1017"/>
      <c r="AH366" s="1017"/>
      <c r="AI366" s="1017"/>
      <c r="AJ366" s="921"/>
      <c r="AK366" s="1000"/>
      <c r="AL366" s="1000"/>
      <c r="AM366" s="1020"/>
      <c r="AN366" s="994"/>
      <c r="AO366" s="937" t="s">
        <v>626</v>
      </c>
      <c r="AP366" s="1114">
        <v>0</v>
      </c>
      <c r="AT366" s="937" t="s">
        <v>626</v>
      </c>
      <c r="AU366" s="1114">
        <v>0</v>
      </c>
    </row>
    <row r="367" spans="1:53" s="937" customFormat="1" ht="12.75" customHeight="1">
      <c r="A367" s="1054"/>
      <c r="B367" s="1017"/>
      <c r="C367" s="1633"/>
      <c r="D367" s="1017" t="s">
        <v>1677</v>
      </c>
      <c r="E367" s="1637"/>
      <c r="F367" s="1637"/>
      <c r="G367" s="1637"/>
      <c r="H367" s="3117" t="s">
        <v>725</v>
      </c>
      <c r="I367" s="3117"/>
      <c r="J367" s="1637"/>
      <c r="K367" s="1637"/>
      <c r="L367" s="1637"/>
      <c r="M367" s="1637"/>
      <c r="N367" s="921"/>
      <c r="O367" s="921"/>
      <c r="P367" s="921"/>
      <c r="Q367" s="921"/>
      <c r="R367" s="921"/>
      <c r="S367" s="921"/>
      <c r="T367" s="921"/>
      <c r="U367" s="921"/>
      <c r="V367" s="921"/>
      <c r="W367" s="921"/>
      <c r="X367" s="921"/>
      <c r="Y367" s="921"/>
      <c r="Z367" s="921"/>
      <c r="AA367" s="921"/>
      <c r="AB367" s="921"/>
      <c r="AC367" s="921"/>
      <c r="AD367" s="921"/>
      <c r="AE367" s="921"/>
      <c r="AF367" s="921"/>
      <c r="AG367" s="921"/>
      <c r="AH367" s="921"/>
      <c r="AI367" s="921"/>
      <c r="AJ367" s="921"/>
      <c r="AK367" s="921"/>
      <c r="AL367" s="921"/>
      <c r="AN367" s="994"/>
      <c r="AO367" s="1112" t="s">
        <v>725</v>
      </c>
      <c r="AP367" s="937">
        <v>3</v>
      </c>
      <c r="AT367" s="1112" t="s">
        <v>725</v>
      </c>
      <c r="AU367" s="937">
        <v>3</v>
      </c>
    </row>
    <row r="368" spans="1:53" s="937" customFormat="1" ht="12.75" customHeight="1">
      <c r="A368" s="1054"/>
      <c r="B368" s="1017"/>
      <c r="C368" s="1633"/>
      <c r="D368" s="1017"/>
      <c r="E368" s="1637"/>
      <c r="F368" s="1637"/>
      <c r="G368" s="1637"/>
      <c r="H368" s="1637"/>
      <c r="I368" s="1637"/>
      <c r="J368" s="1637"/>
      <c r="K368" s="1637"/>
      <c r="L368" s="1637"/>
      <c r="M368" s="1637"/>
      <c r="N368" s="921"/>
      <c r="O368" s="921"/>
      <c r="P368" s="921"/>
      <c r="Q368" s="921"/>
      <c r="R368" s="921"/>
      <c r="S368" s="921"/>
      <c r="T368" s="921"/>
      <c r="U368" s="921"/>
      <c r="V368" s="921"/>
      <c r="W368" s="921"/>
      <c r="X368" s="921"/>
      <c r="Y368" s="921"/>
      <c r="Z368" s="921"/>
      <c r="AA368" s="921"/>
      <c r="AB368" s="921"/>
      <c r="AC368" s="921"/>
      <c r="AD368" s="921"/>
      <c r="AE368" s="921"/>
      <c r="AF368" s="921"/>
      <c r="AG368" s="921"/>
      <c r="AH368" s="921"/>
      <c r="AI368" s="921"/>
      <c r="AJ368" s="921"/>
      <c r="AK368" s="921"/>
      <c r="AL368" s="921"/>
      <c r="AN368" s="994"/>
      <c r="AO368" s="1112" t="s">
        <v>542</v>
      </c>
      <c r="AP368" s="937">
        <v>2</v>
      </c>
      <c r="AT368" s="1112" t="s">
        <v>542</v>
      </c>
      <c r="AU368" s="937">
        <v>2</v>
      </c>
    </row>
    <row r="369" spans="1:46" s="937" customFormat="1" ht="12.75" customHeight="1">
      <c r="A369" s="1054"/>
      <c r="B369" s="1017"/>
      <c r="C369" s="1633"/>
      <c r="D369" s="1017"/>
      <c r="E369" s="1637"/>
      <c r="F369" s="1637"/>
      <c r="G369" s="1637"/>
      <c r="H369" s="1637"/>
      <c r="I369" s="1637"/>
      <c r="J369" s="1637"/>
      <c r="K369" s="1637"/>
      <c r="L369" s="1637"/>
      <c r="M369" s="1637"/>
      <c r="N369" s="921"/>
      <c r="O369" s="921"/>
      <c r="P369" s="921"/>
      <c r="Q369" s="921"/>
      <c r="R369" s="921"/>
      <c r="S369" s="921"/>
      <c r="T369" s="921"/>
      <c r="U369" s="921"/>
      <c r="V369" s="921"/>
      <c r="W369" s="921"/>
      <c r="X369" s="921"/>
      <c r="Y369" s="921"/>
      <c r="Z369" s="921"/>
      <c r="AA369" s="921"/>
      <c r="AB369" s="921"/>
      <c r="AC369" s="921"/>
      <c r="AD369" s="921"/>
      <c r="AE369" s="921"/>
      <c r="AF369" s="921"/>
      <c r="AG369" s="921"/>
      <c r="AH369" s="921"/>
      <c r="AI369" s="921"/>
      <c r="AJ369" s="921"/>
      <c r="AK369" s="921"/>
      <c r="AL369" s="921"/>
      <c r="AN369" s="994"/>
      <c r="AO369" s="1112"/>
      <c r="AT369" s="1112"/>
    </row>
    <row r="370" spans="1:46" s="937" customFormat="1" ht="12.75" customHeight="1">
      <c r="A370" s="1054"/>
      <c r="B370" s="1017"/>
      <c r="C370" s="1633"/>
      <c r="D370" s="1017" t="s">
        <v>2209</v>
      </c>
      <c r="E370" s="1637"/>
      <c r="F370" s="1637"/>
      <c r="G370" s="1637"/>
      <c r="H370" s="1637"/>
      <c r="I370" s="1637"/>
      <c r="J370" s="1637"/>
      <c r="K370" s="1637"/>
      <c r="L370" s="1637"/>
      <c r="M370" s="1637"/>
      <c r="N370" s="921"/>
      <c r="O370" s="921"/>
      <c r="P370" s="921"/>
      <c r="Q370" s="921"/>
      <c r="R370" s="921"/>
      <c r="S370" s="921"/>
      <c r="T370" s="921"/>
      <c r="U370" s="921"/>
      <c r="V370" s="921"/>
      <c r="W370" s="921"/>
      <c r="X370" s="921"/>
      <c r="Y370" s="921"/>
      <c r="Z370" s="921"/>
      <c r="AA370" s="921"/>
      <c r="AB370" s="921"/>
      <c r="AC370" s="921"/>
      <c r="AD370" s="921"/>
      <c r="AE370" s="921"/>
      <c r="AF370" s="921"/>
      <c r="AG370" s="921"/>
      <c r="AH370" s="921"/>
      <c r="AI370" s="921"/>
      <c r="AJ370" s="921"/>
      <c r="AK370" s="921"/>
      <c r="AL370" s="921"/>
      <c r="AN370" s="994"/>
    </row>
    <row r="371" spans="1:46" s="937" customFormat="1" ht="12.75" customHeight="1">
      <c r="A371" s="1054"/>
      <c r="B371" s="1017"/>
      <c r="C371" s="1633"/>
      <c r="D371" s="1017" t="s">
        <v>2210</v>
      </c>
      <c r="E371" s="1637"/>
      <c r="F371" s="1637"/>
      <c r="G371" s="1637"/>
      <c r="H371" s="1637"/>
      <c r="I371" s="1637"/>
      <c r="J371" s="1637"/>
      <c r="K371" s="1637"/>
      <c r="L371" s="1637"/>
      <c r="M371" s="1637"/>
      <c r="N371" s="921"/>
      <c r="O371" s="921"/>
      <c r="P371" s="921"/>
      <c r="Q371" s="921"/>
      <c r="R371" s="921"/>
      <c r="S371" s="921"/>
      <c r="T371" s="921"/>
      <c r="U371" s="921"/>
      <c r="V371" s="921"/>
      <c r="W371" s="921"/>
      <c r="X371" s="921"/>
      <c r="Y371" s="921"/>
      <c r="Z371" s="921"/>
      <c r="AA371" s="921"/>
      <c r="AB371" s="921"/>
      <c r="AC371" s="921"/>
      <c r="AD371" s="921"/>
      <c r="AE371" s="921"/>
      <c r="AF371" s="921"/>
      <c r="AG371" s="921"/>
      <c r="AH371" s="921"/>
      <c r="AI371" s="921"/>
      <c r="AJ371" s="921"/>
      <c r="AK371" s="921"/>
      <c r="AL371" s="921"/>
      <c r="AN371" s="994"/>
    </row>
    <row r="372" spans="1:46" s="937" customFormat="1" ht="12.75" customHeight="1">
      <c r="A372" s="1054"/>
      <c r="B372" s="1017"/>
      <c r="C372" s="1633"/>
      <c r="D372" s="1017" t="s">
        <v>2211</v>
      </c>
      <c r="E372" s="1637"/>
      <c r="F372" s="1637"/>
      <c r="G372" s="1637"/>
      <c r="H372" s="1637"/>
      <c r="I372" s="1637"/>
      <c r="J372" s="1637"/>
      <c r="K372" s="1637"/>
      <c r="L372" s="1637"/>
      <c r="M372" s="1637"/>
      <c r="N372" s="921"/>
      <c r="O372" s="921"/>
      <c r="P372" s="921"/>
      <c r="Q372" s="921"/>
      <c r="R372" s="921"/>
      <c r="S372" s="921"/>
      <c r="T372" s="921"/>
      <c r="U372" s="921"/>
      <c r="V372" s="921"/>
      <c r="W372" s="921"/>
      <c r="X372" s="921"/>
      <c r="Y372" s="921"/>
      <c r="Z372" s="921"/>
      <c r="AA372" s="921"/>
      <c r="AB372" s="921"/>
      <c r="AC372" s="921"/>
      <c r="AD372" s="921"/>
      <c r="AE372" s="921"/>
      <c r="AF372" s="921"/>
      <c r="AG372" s="921"/>
      <c r="AH372" s="921"/>
      <c r="AI372" s="921"/>
      <c r="AJ372" s="921"/>
      <c r="AK372" s="921"/>
      <c r="AL372" s="921"/>
      <c r="AN372" s="994"/>
    </row>
    <row r="373" spans="1:46" s="937" customFormat="1" ht="12.75" customHeight="1">
      <c r="A373" s="1054"/>
      <c r="B373" s="1017"/>
      <c r="C373" s="1633"/>
      <c r="D373" s="1010" t="s">
        <v>2212</v>
      </c>
      <c r="E373" s="1637"/>
      <c r="F373" s="1637"/>
      <c r="G373" s="1637"/>
      <c r="H373" s="1637"/>
      <c r="I373" s="1637"/>
      <c r="J373" s="1637"/>
      <c r="K373" s="1637"/>
      <c r="L373" s="1637"/>
      <c r="M373" s="1637"/>
      <c r="N373" s="921"/>
      <c r="O373" s="921"/>
      <c r="P373" s="921"/>
      <c r="Q373" s="921"/>
      <c r="R373" s="921"/>
      <c r="S373" s="921"/>
      <c r="T373" s="921"/>
      <c r="U373" s="921"/>
      <c r="V373" s="921"/>
      <c r="W373" s="921"/>
      <c r="X373" s="921"/>
      <c r="Y373" s="921"/>
      <c r="Z373" s="921"/>
      <c r="AA373" s="921"/>
      <c r="AB373" s="921"/>
      <c r="AC373" s="921"/>
      <c r="AD373" s="921"/>
      <c r="AE373" s="921"/>
      <c r="AF373" s="921"/>
      <c r="AG373" s="921"/>
      <c r="AH373" s="921"/>
      <c r="AI373" s="921"/>
      <c r="AJ373" s="921"/>
      <c r="AK373" s="921"/>
      <c r="AL373" s="921"/>
      <c r="AN373" s="994"/>
    </row>
    <row r="374" spans="1:46" s="937" customFormat="1" ht="12.75" customHeight="1">
      <c r="A374" s="1054"/>
      <c r="B374" s="1017"/>
      <c r="C374" s="1633"/>
      <c r="D374" s="1017"/>
      <c r="E374" s="1017"/>
      <c r="F374" s="921"/>
      <c r="G374" s="921"/>
      <c r="H374" s="921"/>
      <c r="I374" s="921"/>
      <c r="J374" s="921"/>
      <c r="K374" s="921"/>
      <c r="L374" s="921"/>
      <c r="M374" s="921"/>
      <c r="N374" s="921"/>
      <c r="O374" s="921"/>
      <c r="P374" s="921"/>
      <c r="Q374" s="921"/>
      <c r="R374" s="921"/>
      <c r="S374" s="921"/>
      <c r="T374" s="921"/>
      <c r="U374" s="921"/>
      <c r="V374" s="921"/>
      <c r="W374" s="921"/>
      <c r="X374" s="921"/>
      <c r="Y374" s="921"/>
      <c r="Z374" s="921"/>
      <c r="AA374" s="921"/>
      <c r="AB374" s="921"/>
      <c r="AC374" s="921"/>
      <c r="AD374" s="921"/>
      <c r="AE374" s="921"/>
      <c r="AF374" s="921"/>
      <c r="AG374" s="921"/>
      <c r="AH374" s="921"/>
      <c r="AI374" s="921"/>
      <c r="AJ374" s="921"/>
      <c r="AK374" s="921"/>
      <c r="AL374" s="921"/>
      <c r="AN374" s="994"/>
      <c r="AO374" s="937" t="s">
        <v>626</v>
      </c>
      <c r="AP374" s="1114">
        <v>0</v>
      </c>
    </row>
    <row r="375" spans="1:46" s="937" customFormat="1" ht="12.75" customHeight="1">
      <c r="A375" s="1054"/>
      <c r="B375" s="1017"/>
      <c r="C375" s="1633"/>
      <c r="D375" s="1017"/>
      <c r="E375" s="1017" t="s">
        <v>1677</v>
      </c>
      <c r="F375" s="1637"/>
      <c r="G375" s="1637"/>
      <c r="I375" s="3224" t="s">
        <v>626</v>
      </c>
      <c r="J375" s="3224"/>
      <c r="K375" s="3224"/>
      <c r="L375" s="3224"/>
      <c r="M375" s="3224"/>
      <c r="N375" s="3224"/>
      <c r="O375" s="3224"/>
      <c r="P375" s="3224"/>
      <c r="Q375" s="3224"/>
      <c r="R375" s="3224"/>
      <c r="S375" s="3224"/>
      <c r="T375" s="3224"/>
      <c r="U375" s="3224"/>
      <c r="V375" s="3224"/>
      <c r="W375" s="3224"/>
      <c r="X375" s="3224"/>
      <c r="Y375" s="3224"/>
      <c r="Z375" s="3224"/>
      <c r="AA375" s="3224"/>
      <c r="AB375" s="3224"/>
      <c r="AC375" s="3224"/>
      <c r="AD375" s="3224"/>
      <c r="AE375" s="3224"/>
      <c r="AF375" s="921"/>
      <c r="AG375" s="921"/>
      <c r="AH375" s="921"/>
      <c r="AI375" s="921"/>
      <c r="AJ375" s="921"/>
      <c r="AK375" s="921"/>
      <c r="AL375" s="921"/>
      <c r="AN375" s="994"/>
      <c r="AO375" s="937" t="s">
        <v>1678</v>
      </c>
      <c r="AP375" s="937">
        <v>3</v>
      </c>
    </row>
    <row r="376" spans="1:46" s="996" customFormat="1" ht="12.75" customHeight="1">
      <c r="A376" s="1054"/>
      <c r="B376" s="924"/>
      <c r="C376" s="924"/>
      <c r="D376" s="1017"/>
      <c r="E376" s="924"/>
      <c r="F376" s="1072"/>
      <c r="G376" s="1072"/>
      <c r="H376" s="1072"/>
      <c r="I376" s="1072"/>
      <c r="J376" s="1072"/>
      <c r="K376" s="1072"/>
      <c r="L376" s="1072"/>
      <c r="M376" s="1072"/>
      <c r="N376" s="1072"/>
      <c r="O376" s="1072"/>
      <c r="P376" s="1072"/>
      <c r="Q376" s="1072"/>
      <c r="R376" s="1072"/>
      <c r="S376" s="1072"/>
      <c r="T376" s="1072"/>
      <c r="U376" s="1072"/>
      <c r="V376" s="1072"/>
      <c r="W376" s="1072"/>
      <c r="X376" s="1072"/>
      <c r="Y376" s="1072"/>
      <c r="Z376" s="1072"/>
      <c r="AA376" s="1072"/>
      <c r="AB376" s="1072"/>
      <c r="AC376" s="1072"/>
      <c r="AD376" s="1072"/>
      <c r="AE376" s="1072"/>
      <c r="AF376" s="1638"/>
      <c r="AG376" s="1638"/>
      <c r="AH376" s="1638"/>
      <c r="AI376" s="1638"/>
      <c r="AJ376" s="1638"/>
      <c r="AK376" s="1638"/>
      <c r="AL376" s="1638"/>
      <c r="AM376" s="937"/>
      <c r="AN376" s="995"/>
      <c r="AO376" s="937" t="s">
        <v>1679</v>
      </c>
      <c r="AP376" s="937">
        <v>2</v>
      </c>
    </row>
    <row r="377" spans="1:46" s="937" customFormat="1" ht="12.75" customHeight="1">
      <c r="A377" s="1054"/>
      <c r="B377" s="3222" t="s">
        <v>626</v>
      </c>
      <c r="C377" s="3222"/>
      <c r="D377" s="1638"/>
      <c r="E377" s="3118" t="s">
        <v>1680</v>
      </c>
      <c r="F377" s="3118"/>
      <c r="G377" s="3118"/>
      <c r="H377" s="3118"/>
      <c r="I377" s="3118"/>
      <c r="J377" s="3118"/>
      <c r="K377" s="3118"/>
      <c r="L377" s="3118"/>
      <c r="M377" s="3118"/>
      <c r="N377" s="3118"/>
      <c r="O377" s="3118"/>
      <c r="P377" s="3118"/>
      <c r="Q377" s="3118"/>
      <c r="R377" s="3118"/>
      <c r="S377" s="3118"/>
      <c r="T377" s="3118"/>
      <c r="U377" s="3118"/>
      <c r="V377" s="3118"/>
      <c r="W377" s="3118"/>
      <c r="X377" s="3118"/>
      <c r="Y377" s="3118"/>
      <c r="Z377" s="3118"/>
      <c r="AA377" s="3118"/>
      <c r="AB377" s="3118"/>
      <c r="AC377" s="3118"/>
      <c r="AD377" s="3118"/>
      <c r="AE377" s="3118"/>
      <c r="AF377" s="3118"/>
      <c r="AG377" s="3118"/>
      <c r="AH377" s="1638"/>
      <c r="AI377" s="1638"/>
      <c r="AJ377" s="1638"/>
      <c r="AK377" s="1638"/>
      <c r="AL377" s="1638"/>
      <c r="AN377" s="994"/>
    </row>
    <row r="378" spans="1:46" s="937" customFormat="1" ht="12.75" customHeight="1">
      <c r="A378" s="1054"/>
      <c r="B378" s="1017"/>
      <c r="C378" s="1633"/>
      <c r="D378" s="1638"/>
      <c r="E378" s="3118"/>
      <c r="F378" s="3118"/>
      <c r="G378" s="3118"/>
      <c r="H378" s="3118"/>
      <c r="I378" s="3118"/>
      <c r="J378" s="3118"/>
      <c r="K378" s="3118"/>
      <c r="L378" s="3118"/>
      <c r="M378" s="3118"/>
      <c r="N378" s="3118"/>
      <c r="O378" s="3118"/>
      <c r="P378" s="3118"/>
      <c r="Q378" s="3118"/>
      <c r="R378" s="3118"/>
      <c r="S378" s="3118"/>
      <c r="T378" s="3118"/>
      <c r="U378" s="3118"/>
      <c r="V378" s="3118"/>
      <c r="W378" s="3118"/>
      <c r="X378" s="3118"/>
      <c r="Y378" s="3118"/>
      <c r="Z378" s="3118"/>
      <c r="AA378" s="3118"/>
      <c r="AB378" s="3118"/>
      <c r="AC378" s="3118"/>
      <c r="AD378" s="3118"/>
      <c r="AE378" s="3118"/>
      <c r="AF378" s="3118"/>
      <c r="AG378" s="3118"/>
      <c r="AH378" s="1638"/>
      <c r="AI378" s="1638"/>
      <c r="AJ378" s="1638"/>
      <c r="AK378" s="1638"/>
      <c r="AL378" s="1638"/>
      <c r="AN378" s="994"/>
    </row>
    <row r="379" spans="1:46" s="937" customFormat="1" ht="12.75" customHeight="1">
      <c r="A379" s="1054"/>
      <c r="B379" s="1017"/>
      <c r="C379" s="1633"/>
      <c r="D379" s="1638"/>
      <c r="E379" s="3118"/>
      <c r="F379" s="3118"/>
      <c r="G379" s="3118"/>
      <c r="H379" s="3118"/>
      <c r="I379" s="3118"/>
      <c r="J379" s="3118"/>
      <c r="K379" s="3118"/>
      <c r="L379" s="3118"/>
      <c r="M379" s="3118"/>
      <c r="N379" s="3118"/>
      <c r="O379" s="3118"/>
      <c r="P379" s="3118"/>
      <c r="Q379" s="3118"/>
      <c r="R379" s="3118"/>
      <c r="S379" s="3118"/>
      <c r="T379" s="3118"/>
      <c r="U379" s="3118"/>
      <c r="V379" s="3118"/>
      <c r="W379" s="3118"/>
      <c r="X379" s="3118"/>
      <c r="Y379" s="3118"/>
      <c r="Z379" s="3118"/>
      <c r="AA379" s="3118"/>
      <c r="AB379" s="3118"/>
      <c r="AC379" s="3118"/>
      <c r="AD379" s="3118"/>
      <c r="AE379" s="3118"/>
      <c r="AF379" s="3118"/>
      <c r="AG379" s="3118"/>
      <c r="AH379" s="1638"/>
      <c r="AI379" s="1638"/>
      <c r="AJ379" s="1638"/>
      <c r="AK379" s="1638"/>
      <c r="AL379" s="1638"/>
      <c r="AN379" s="994"/>
    </row>
    <row r="380" spans="1:46" s="937" customFormat="1" ht="12.75" customHeight="1">
      <c r="A380" s="1054"/>
      <c r="B380" s="1017"/>
      <c r="C380" s="1633"/>
      <c r="D380" s="1640"/>
      <c r="E380" s="3118"/>
      <c r="F380" s="3118"/>
      <c r="G380" s="3118"/>
      <c r="H380" s="3118"/>
      <c r="I380" s="3118"/>
      <c r="J380" s="3118"/>
      <c r="K380" s="3118"/>
      <c r="L380" s="3118"/>
      <c r="M380" s="3118"/>
      <c r="N380" s="3118"/>
      <c r="O380" s="3118"/>
      <c r="P380" s="3118"/>
      <c r="Q380" s="3118"/>
      <c r="R380" s="3118"/>
      <c r="S380" s="3118"/>
      <c r="T380" s="3118"/>
      <c r="U380" s="3118"/>
      <c r="V380" s="3118"/>
      <c r="W380" s="3118"/>
      <c r="X380" s="3118"/>
      <c r="Y380" s="3118"/>
      <c r="Z380" s="3118"/>
      <c r="AA380" s="3118"/>
      <c r="AB380" s="3118"/>
      <c r="AC380" s="3118"/>
      <c r="AD380" s="3118"/>
      <c r="AE380" s="3118"/>
      <c r="AF380" s="3118"/>
      <c r="AG380" s="3118"/>
      <c r="AH380" s="1640"/>
      <c r="AI380" s="1640"/>
      <c r="AJ380" s="1640"/>
      <c r="AK380" s="1640"/>
      <c r="AL380" s="1640"/>
      <c r="AN380" s="994"/>
    </row>
    <row r="381" spans="1:46" s="937" customFormat="1" ht="12.75" customHeight="1">
      <c r="A381" s="1054"/>
      <c r="B381" s="1017"/>
      <c r="C381" s="1633"/>
      <c r="D381" s="1639"/>
      <c r="E381" s="1663"/>
      <c r="F381" s="1663"/>
      <c r="G381" s="1663"/>
      <c r="H381" s="1663"/>
      <c r="I381" s="1663"/>
      <c r="J381" s="1663"/>
      <c r="K381" s="1663"/>
      <c r="L381" s="1663"/>
      <c r="M381" s="1663"/>
      <c r="N381" s="1663"/>
      <c r="O381" s="1663"/>
      <c r="P381" s="1663"/>
      <c r="Q381" s="1663"/>
      <c r="R381" s="1663"/>
      <c r="S381" s="1663"/>
      <c r="T381" s="1663"/>
      <c r="U381" s="1663"/>
      <c r="V381" s="1663"/>
      <c r="W381" s="1663"/>
      <c r="X381" s="1663"/>
      <c r="Y381" s="1663"/>
      <c r="Z381" s="1663"/>
      <c r="AA381" s="1663"/>
      <c r="AB381" s="1663"/>
      <c r="AC381" s="1663"/>
      <c r="AD381" s="1663"/>
      <c r="AE381" s="1663"/>
      <c r="AF381" s="1663"/>
      <c r="AG381" s="1663"/>
      <c r="AH381" s="1639"/>
      <c r="AI381" s="1639"/>
      <c r="AJ381" s="1639"/>
      <c r="AK381" s="1639"/>
      <c r="AL381" s="1640"/>
      <c r="AN381" s="994"/>
    </row>
    <row r="382" spans="1:46" s="937" customFormat="1" ht="12.75" customHeight="1">
      <c r="A382" s="1065"/>
      <c r="B382" s="1013"/>
      <c r="C382" s="1641"/>
      <c r="D382" s="1013"/>
      <c r="E382" s="1642"/>
      <c r="F382" s="1642"/>
      <c r="G382" s="1642"/>
      <c r="H382" s="1642"/>
      <c r="I382" s="1642"/>
      <c r="J382" s="1642"/>
      <c r="K382" s="1642"/>
      <c r="L382" s="1642"/>
      <c r="M382" s="1642"/>
      <c r="N382" s="1642"/>
      <c r="O382" s="1642"/>
      <c r="P382" s="1642"/>
      <c r="Q382" s="1642"/>
      <c r="R382" s="1642"/>
      <c r="S382" s="1642"/>
      <c r="T382" s="1642"/>
      <c r="U382" s="1642"/>
      <c r="V382" s="1642"/>
      <c r="W382" s="1642"/>
      <c r="X382" s="1642"/>
      <c r="Y382" s="1642"/>
      <c r="Z382" s="1642"/>
      <c r="AA382" s="1642"/>
      <c r="AB382" s="1013"/>
      <c r="AC382" s="1013"/>
      <c r="AD382" s="1013"/>
      <c r="AE382" s="1013"/>
      <c r="AF382" s="1013"/>
      <c r="AG382" s="1013"/>
      <c r="AH382" s="1013"/>
      <c r="AI382" s="953" t="s">
        <v>1681</v>
      </c>
      <c r="AJ382" s="3100">
        <f>VLOOKUP($H$367,$AO$347:$AP$352,2,FALSE)+VLOOKUP($I$375,$AO$374:$AP$376,2,FALSE)</f>
        <v>7</v>
      </c>
      <c r="AK382" s="3102"/>
      <c r="AL382" s="999"/>
      <c r="AM382" s="1116"/>
      <c r="AN382" s="994"/>
    </row>
    <row r="383" spans="1:46" s="937" customFormat="1" ht="12.75" customHeight="1">
      <c r="A383" s="1054"/>
      <c r="B383" s="1017"/>
      <c r="C383" s="1633"/>
      <c r="D383" s="1017"/>
      <c r="E383" s="1637"/>
      <c r="F383" s="1637"/>
      <c r="G383" s="1637"/>
      <c r="H383" s="1637"/>
      <c r="I383" s="1637"/>
      <c r="J383" s="1637"/>
      <c r="K383" s="1637"/>
      <c r="L383" s="1637"/>
      <c r="M383" s="1637"/>
      <c r="N383" s="1637"/>
      <c r="O383" s="1637"/>
      <c r="P383" s="1637"/>
      <c r="Q383" s="1637"/>
      <c r="R383" s="1637"/>
      <c r="S383" s="1637"/>
      <c r="T383" s="1637"/>
      <c r="U383" s="1637"/>
      <c r="V383" s="1637"/>
      <c r="W383" s="1637"/>
      <c r="X383" s="1637"/>
      <c r="Y383" s="1637"/>
      <c r="Z383" s="1637"/>
      <c r="AA383" s="1637"/>
      <c r="AB383" s="1637"/>
      <c r="AC383" s="1017"/>
      <c r="AD383" s="1017"/>
      <c r="AE383" s="1637"/>
      <c r="AF383" s="1637"/>
      <c r="AG383" s="1637"/>
      <c r="AH383" s="1637"/>
      <c r="AI383" s="1637"/>
      <c r="AJ383" s="1637"/>
      <c r="AK383" s="1637"/>
      <c r="AL383" s="1637"/>
      <c r="AM383" s="1116"/>
      <c r="AN383" s="994"/>
    </row>
    <row r="384" spans="1:46" s="937" customFormat="1" ht="12.75" customHeight="1">
      <c r="A384" s="1054"/>
      <c r="B384" s="1017"/>
      <c r="C384" s="980" t="s">
        <v>1682</v>
      </c>
      <c r="D384" s="1006"/>
      <c r="E384" s="1637"/>
      <c r="F384" s="1637"/>
      <c r="G384" s="1637"/>
      <c r="H384" s="1637"/>
      <c r="I384" s="1637"/>
      <c r="J384" s="1637"/>
      <c r="K384" s="1637"/>
      <c r="L384" s="1637"/>
      <c r="M384" s="1637"/>
      <c r="N384" s="1637"/>
      <c r="O384" s="1637"/>
      <c r="P384" s="1637"/>
      <c r="Q384" s="1637"/>
      <c r="R384" s="1637"/>
      <c r="S384" s="1637"/>
      <c r="T384" s="1637"/>
      <c r="U384" s="1637"/>
      <c r="V384" s="1637"/>
      <c r="W384" s="1637"/>
      <c r="X384" s="1637"/>
      <c r="Y384" s="1637"/>
      <c r="Z384" s="1637"/>
      <c r="AA384" s="1637"/>
      <c r="AB384" s="1637"/>
      <c r="AC384" s="1017"/>
      <c r="AD384" s="1017"/>
      <c r="AE384" s="1017"/>
      <c r="AF384" s="1017"/>
      <c r="AG384" s="1017"/>
      <c r="AH384" s="985"/>
      <c r="AI384" s="1017"/>
      <c r="AJ384" s="1017"/>
      <c r="AK384" s="1017"/>
      <c r="AL384" s="1017"/>
      <c r="AM384" s="1054"/>
      <c r="AN384" s="994"/>
    </row>
    <row r="385" spans="1:42" s="937" customFormat="1" ht="12.75" customHeight="1">
      <c r="A385" s="1054"/>
      <c r="B385" s="1018"/>
      <c r="C385" s="921"/>
      <c r="D385" s="1636"/>
      <c r="E385" s="1637"/>
      <c r="F385" s="1637"/>
      <c r="G385" s="1637"/>
      <c r="H385" s="1637"/>
      <c r="I385" s="1637"/>
      <c r="J385" s="1637"/>
      <c r="K385" s="1637"/>
      <c r="L385" s="1637"/>
      <c r="M385" s="1637"/>
      <c r="N385" s="1637"/>
      <c r="O385" s="1637"/>
      <c r="P385" s="1637"/>
      <c r="Q385" s="1637"/>
      <c r="R385" s="1637"/>
      <c r="S385" s="1637"/>
      <c r="T385" s="1637"/>
      <c r="U385" s="1637"/>
      <c r="V385" s="1637"/>
      <c r="W385" s="1637"/>
      <c r="X385" s="1637"/>
      <c r="Y385" s="1637"/>
      <c r="Z385" s="1637"/>
      <c r="AA385" s="1637"/>
      <c r="AB385" s="1637"/>
      <c r="AC385" s="1017"/>
      <c r="AD385" s="1017"/>
      <c r="AE385" s="921"/>
      <c r="AF385" s="921"/>
      <c r="AG385" s="921"/>
      <c r="AH385" s="921"/>
      <c r="AI385" s="921"/>
      <c r="AJ385" s="921"/>
      <c r="AK385" s="921"/>
      <c r="AL385" s="921"/>
      <c r="AM385" s="1020"/>
      <c r="AN385" s="994"/>
    </row>
    <row r="386" spans="1:42" s="987" customFormat="1" ht="12.75" customHeight="1">
      <c r="A386" s="1054"/>
      <c r="B386" s="921"/>
      <c r="C386" s="921"/>
      <c r="D386" s="1100" t="s">
        <v>725</v>
      </c>
      <c r="E386" s="3223" t="s">
        <v>2188</v>
      </c>
      <c r="F386" s="3223"/>
      <c r="G386" s="3223"/>
      <c r="H386" s="3223"/>
      <c r="I386" s="3223"/>
      <c r="J386" s="3223"/>
      <c r="K386" s="3223"/>
      <c r="L386" s="3223"/>
      <c r="M386" s="3223"/>
      <c r="N386" s="3223"/>
      <c r="O386" s="3223"/>
      <c r="P386" s="3223"/>
      <c r="Q386" s="3223"/>
      <c r="R386" s="3223"/>
      <c r="S386" s="3223"/>
      <c r="T386" s="3223"/>
      <c r="U386" s="3223"/>
      <c r="V386" s="3223"/>
      <c r="W386" s="3223"/>
      <c r="X386" s="3223"/>
      <c r="Y386" s="3223"/>
      <c r="Z386" s="3223"/>
      <c r="AA386" s="3223"/>
      <c r="AB386" s="3223"/>
      <c r="AC386" s="3223"/>
      <c r="AD386" s="3223"/>
      <c r="AE386" s="926"/>
      <c r="AF386" s="3217" t="s">
        <v>1621</v>
      </c>
      <c r="AG386" s="3217"/>
      <c r="AH386" s="3217"/>
      <c r="AI386" s="3217"/>
      <c r="AJ386" s="3217"/>
      <c r="AK386" s="3217"/>
      <c r="AL386" s="3217"/>
      <c r="AM386" s="1020"/>
      <c r="AN386" s="1119"/>
    </row>
    <row r="387" spans="1:42" s="937" customFormat="1" ht="12.75" customHeight="1">
      <c r="A387" s="1120"/>
      <c r="B387" s="1017"/>
      <c r="C387" s="1633"/>
      <c r="D387" s="1100"/>
      <c r="E387" s="3223"/>
      <c r="F387" s="3223"/>
      <c r="G387" s="3223"/>
      <c r="H387" s="3223"/>
      <c r="I387" s="3223"/>
      <c r="J387" s="3223"/>
      <c r="K387" s="3223"/>
      <c r="L387" s="3223"/>
      <c r="M387" s="3223"/>
      <c r="N387" s="3223"/>
      <c r="O387" s="3223"/>
      <c r="P387" s="3223"/>
      <c r="Q387" s="3223"/>
      <c r="R387" s="3223"/>
      <c r="S387" s="3223"/>
      <c r="T387" s="3223"/>
      <c r="U387" s="3223"/>
      <c r="V387" s="3223"/>
      <c r="W387" s="3223"/>
      <c r="X387" s="3223"/>
      <c r="Y387" s="3223"/>
      <c r="Z387" s="3223"/>
      <c r="AA387" s="3223"/>
      <c r="AB387" s="3223"/>
      <c r="AC387" s="3223"/>
      <c r="AD387" s="3223"/>
      <c r="AE387" s="1000"/>
      <c r="AF387" s="1000"/>
      <c r="AG387" s="1000"/>
      <c r="AH387" s="1000"/>
      <c r="AI387" s="1000"/>
      <c r="AJ387" s="1000"/>
      <c r="AK387" s="1000"/>
      <c r="AL387" s="1000"/>
      <c r="AM387" s="1020"/>
      <c r="AN387" s="994"/>
    </row>
    <row r="388" spans="1:42" s="937" customFormat="1" ht="12.75" customHeight="1">
      <c r="A388" s="1054"/>
      <c r="B388" s="1017"/>
      <c r="C388" s="1634"/>
      <c r="D388" s="1100"/>
      <c r="E388" s="3223"/>
      <c r="F388" s="3223"/>
      <c r="G388" s="3223"/>
      <c r="H388" s="3223"/>
      <c r="I388" s="3223"/>
      <c r="J388" s="3223"/>
      <c r="K388" s="3223"/>
      <c r="L388" s="3223"/>
      <c r="M388" s="3223"/>
      <c r="N388" s="3223"/>
      <c r="O388" s="3223"/>
      <c r="P388" s="3223"/>
      <c r="Q388" s="3223"/>
      <c r="R388" s="3223"/>
      <c r="S388" s="3223"/>
      <c r="T388" s="3223"/>
      <c r="U388" s="3223"/>
      <c r="V388" s="3223"/>
      <c r="W388" s="3223"/>
      <c r="X388" s="3223"/>
      <c r="Y388" s="3223"/>
      <c r="Z388" s="3223"/>
      <c r="AA388" s="3223"/>
      <c r="AB388" s="3223"/>
      <c r="AC388" s="3223"/>
      <c r="AD388" s="3223"/>
      <c r="AE388" s="1000"/>
      <c r="AF388" s="1000"/>
      <c r="AG388" s="1000"/>
      <c r="AH388" s="1000"/>
      <c r="AI388" s="1000"/>
      <c r="AJ388" s="1000"/>
      <c r="AK388" s="1000"/>
      <c r="AL388" s="1000"/>
      <c r="AM388" s="1020"/>
      <c r="AN388" s="994"/>
    </row>
    <row r="389" spans="1:42" s="937" customFormat="1" ht="12.75" customHeight="1">
      <c r="A389" s="1054"/>
      <c r="B389" s="1017"/>
      <c r="C389" s="1634"/>
      <c r="D389" s="1100"/>
      <c r="E389" s="3223"/>
      <c r="F389" s="3223"/>
      <c r="G389" s="3223"/>
      <c r="H389" s="3223"/>
      <c r="I389" s="3223"/>
      <c r="J389" s="3223"/>
      <c r="K389" s="3223"/>
      <c r="L389" s="3223"/>
      <c r="M389" s="3223"/>
      <c r="N389" s="3223"/>
      <c r="O389" s="3223"/>
      <c r="P389" s="3223"/>
      <c r="Q389" s="3223"/>
      <c r="R389" s="3223"/>
      <c r="S389" s="3223"/>
      <c r="T389" s="3223"/>
      <c r="U389" s="3223"/>
      <c r="V389" s="3223"/>
      <c r="W389" s="3223"/>
      <c r="X389" s="3223"/>
      <c r="Y389" s="3223"/>
      <c r="Z389" s="3223"/>
      <c r="AA389" s="3223"/>
      <c r="AB389" s="3223"/>
      <c r="AC389" s="3223"/>
      <c r="AD389" s="3223"/>
      <c r="AE389" s="1000"/>
      <c r="AF389" s="1000"/>
      <c r="AG389" s="1000"/>
      <c r="AH389" s="1000"/>
      <c r="AI389" s="1000"/>
      <c r="AJ389" s="1000"/>
      <c r="AK389" s="1000"/>
      <c r="AL389" s="1000"/>
      <c r="AM389" s="1020"/>
      <c r="AN389" s="994"/>
    </row>
    <row r="390" spans="1:42" s="937" customFormat="1" ht="12.75" customHeight="1">
      <c r="A390" s="1054"/>
      <c r="B390" s="1017"/>
      <c r="C390" s="1634"/>
      <c r="D390" s="1100"/>
      <c r="E390" s="3223"/>
      <c r="F390" s="3223"/>
      <c r="G390" s="3223"/>
      <c r="H390" s="3223"/>
      <c r="I390" s="3223"/>
      <c r="J390" s="3223"/>
      <c r="K390" s="3223"/>
      <c r="L390" s="3223"/>
      <c r="M390" s="3223"/>
      <c r="N390" s="3223"/>
      <c r="O390" s="3223"/>
      <c r="P390" s="3223"/>
      <c r="Q390" s="3223"/>
      <c r="R390" s="3223"/>
      <c r="S390" s="3223"/>
      <c r="T390" s="3223"/>
      <c r="U390" s="3223"/>
      <c r="V390" s="3223"/>
      <c r="W390" s="3223"/>
      <c r="X390" s="3223"/>
      <c r="Y390" s="3223"/>
      <c r="Z390" s="3223"/>
      <c r="AA390" s="3223"/>
      <c r="AB390" s="3223"/>
      <c r="AC390" s="3223"/>
      <c r="AD390" s="3223"/>
      <c r="AE390" s="1000"/>
      <c r="AF390" s="1000"/>
      <c r="AG390" s="1000"/>
      <c r="AH390" s="1000"/>
      <c r="AI390" s="1000"/>
      <c r="AJ390" s="1000"/>
      <c r="AK390" s="1000"/>
      <c r="AL390" s="1000"/>
      <c r="AM390" s="1020"/>
      <c r="AN390" s="994"/>
    </row>
    <row r="391" spans="1:42" s="937" customFormat="1" ht="12.75" customHeight="1">
      <c r="A391" s="1054"/>
      <c r="B391" s="1017"/>
      <c r="C391" s="1634"/>
      <c r="D391" s="1100"/>
      <c r="E391" s="3223"/>
      <c r="F391" s="3223"/>
      <c r="G391" s="3223"/>
      <c r="H391" s="3223"/>
      <c r="I391" s="3223"/>
      <c r="J391" s="3223"/>
      <c r="K391" s="3223"/>
      <c r="L391" s="3223"/>
      <c r="M391" s="3223"/>
      <c r="N391" s="3223"/>
      <c r="O391" s="3223"/>
      <c r="P391" s="3223"/>
      <c r="Q391" s="3223"/>
      <c r="R391" s="3223"/>
      <c r="S391" s="3223"/>
      <c r="T391" s="3223"/>
      <c r="U391" s="3223"/>
      <c r="V391" s="3223"/>
      <c r="W391" s="3223"/>
      <c r="X391" s="3223"/>
      <c r="Y391" s="3223"/>
      <c r="Z391" s="3223"/>
      <c r="AA391" s="3223"/>
      <c r="AB391" s="3223"/>
      <c r="AC391" s="3223"/>
      <c r="AD391" s="3223"/>
      <c r="AE391" s="1000"/>
      <c r="AF391" s="1000"/>
      <c r="AG391" s="1000"/>
      <c r="AH391" s="1000"/>
      <c r="AI391" s="1000"/>
      <c r="AJ391" s="1000"/>
      <c r="AK391" s="1000"/>
      <c r="AL391" s="1000"/>
      <c r="AM391" s="1020"/>
      <c r="AN391" s="994"/>
    </row>
    <row r="392" spans="1:42" s="937" customFormat="1" ht="12.75" customHeight="1">
      <c r="A392" s="1113"/>
      <c r="B392" s="1029"/>
      <c r="C392" s="1643"/>
      <c r="D392" s="1100"/>
      <c r="E392" s="3223"/>
      <c r="F392" s="3223"/>
      <c r="G392" s="3223"/>
      <c r="H392" s="3223"/>
      <c r="I392" s="3223"/>
      <c r="J392" s="3223"/>
      <c r="K392" s="3223"/>
      <c r="L392" s="3223"/>
      <c r="M392" s="3223"/>
      <c r="N392" s="3223"/>
      <c r="O392" s="3223"/>
      <c r="P392" s="3223"/>
      <c r="Q392" s="3223"/>
      <c r="R392" s="3223"/>
      <c r="S392" s="3223"/>
      <c r="T392" s="3223"/>
      <c r="U392" s="3223"/>
      <c r="V392" s="3223"/>
      <c r="W392" s="3223"/>
      <c r="X392" s="3223"/>
      <c r="Y392" s="3223"/>
      <c r="Z392" s="3223"/>
      <c r="AA392" s="3223"/>
      <c r="AB392" s="3223"/>
      <c r="AC392" s="3223"/>
      <c r="AD392" s="3223"/>
      <c r="AE392" s="1029"/>
      <c r="AF392" s="1029"/>
      <c r="AG392" s="1029"/>
      <c r="AH392" s="1029"/>
      <c r="AI392" s="1029"/>
      <c r="AJ392" s="1029"/>
      <c r="AK392" s="1000"/>
      <c r="AL392" s="1000"/>
      <c r="AM392" s="1020"/>
      <c r="AN392" s="994"/>
    </row>
    <row r="393" spans="1:42" s="937" customFormat="1" ht="12.75" customHeight="1">
      <c r="A393" s="1054"/>
      <c r="B393" s="1029"/>
      <c r="C393" s="1643"/>
      <c r="D393" s="1100"/>
      <c r="E393" s="3223"/>
      <c r="F393" s="3223"/>
      <c r="G393" s="3223"/>
      <c r="H393" s="3223"/>
      <c r="I393" s="3223"/>
      <c r="J393" s="3223"/>
      <c r="K393" s="3223"/>
      <c r="L393" s="3223"/>
      <c r="M393" s="3223"/>
      <c r="N393" s="3223"/>
      <c r="O393" s="3223"/>
      <c r="P393" s="3223"/>
      <c r="Q393" s="3223"/>
      <c r="R393" s="3223"/>
      <c r="S393" s="3223"/>
      <c r="T393" s="3223"/>
      <c r="U393" s="3223"/>
      <c r="V393" s="3223"/>
      <c r="W393" s="3223"/>
      <c r="X393" s="3223"/>
      <c r="Y393" s="3223"/>
      <c r="Z393" s="3223"/>
      <c r="AA393" s="3223"/>
      <c r="AB393" s="3223"/>
      <c r="AC393" s="3223"/>
      <c r="AD393" s="3223"/>
      <c r="AE393" s="1029"/>
      <c r="AF393" s="1029"/>
      <c r="AG393" s="1029"/>
      <c r="AH393" s="1029"/>
      <c r="AI393" s="1029"/>
      <c r="AJ393" s="1029"/>
      <c r="AK393" s="1000"/>
      <c r="AL393" s="1000"/>
      <c r="AM393" s="1020"/>
      <c r="AN393" s="994"/>
    </row>
    <row r="394" spans="1:42" s="937" customFormat="1" ht="12" customHeight="1">
      <c r="A394" s="1054"/>
      <c r="B394" s="1029"/>
      <c r="C394" s="1643"/>
      <c r="D394" s="1100"/>
      <c r="E394" s="1662"/>
      <c r="F394" s="1662"/>
      <c r="G394" s="1662"/>
      <c r="H394" s="1662"/>
      <c r="I394" s="1662"/>
      <c r="J394" s="1662"/>
      <c r="K394" s="1662"/>
      <c r="L394" s="1662"/>
      <c r="M394" s="1662"/>
      <c r="N394" s="1662"/>
      <c r="O394" s="1662"/>
      <c r="P394" s="1662"/>
      <c r="Q394" s="1662"/>
      <c r="R394" s="1662"/>
      <c r="S394" s="1662"/>
      <c r="T394" s="1662"/>
      <c r="U394" s="1662"/>
      <c r="V394" s="1662"/>
      <c r="W394" s="1662"/>
      <c r="X394" s="1662"/>
      <c r="Y394" s="1662"/>
      <c r="Z394" s="1662"/>
      <c r="AA394" s="1662"/>
      <c r="AB394" s="1662"/>
      <c r="AC394" s="1662"/>
      <c r="AD394" s="1662"/>
      <c r="AE394" s="1029"/>
      <c r="AF394" s="1029"/>
      <c r="AG394" s="1029"/>
      <c r="AH394" s="1029"/>
      <c r="AI394" s="1029"/>
      <c r="AJ394" s="1029"/>
      <c r="AK394" s="1000"/>
      <c r="AL394" s="1000"/>
      <c r="AM394" s="1020"/>
      <c r="AN394" s="994"/>
      <c r="AO394" s="996" t="s">
        <v>626</v>
      </c>
      <c r="AP394" s="1121">
        <v>0</v>
      </c>
    </row>
    <row r="395" spans="1:42" s="937" customFormat="1" ht="12.75" customHeight="1">
      <c r="A395" s="1054"/>
      <c r="B395" s="1029"/>
      <c r="C395" s="1631"/>
      <c r="D395" s="1100"/>
      <c r="E395" s="1029" t="s">
        <v>1683</v>
      </c>
      <c r="F395" s="1644"/>
      <c r="G395" s="1644"/>
      <c r="H395" s="1644"/>
      <c r="I395" s="1644"/>
      <c r="J395" s="1644"/>
      <c r="K395" s="1644"/>
      <c r="L395" s="1644"/>
      <c r="M395" s="1644"/>
      <c r="N395" s="1644"/>
      <c r="O395" s="1644"/>
      <c r="P395" s="1644"/>
      <c r="Q395" s="1644"/>
      <c r="R395" s="1644"/>
      <c r="U395" s="1644"/>
      <c r="V395" s="1644"/>
      <c r="W395" s="1644"/>
      <c r="X395" s="3222" t="s">
        <v>626</v>
      </c>
      <c r="Y395" s="3222"/>
      <c r="Z395" s="1644"/>
      <c r="AA395" s="1644"/>
      <c r="AB395" s="1644"/>
      <c r="AC395" s="1644"/>
      <c r="AD395" s="1644"/>
      <c r="AE395" s="921"/>
      <c r="AF395" s="1029"/>
      <c r="AG395" s="1029"/>
      <c r="AH395" s="1029"/>
      <c r="AI395" s="1029"/>
      <c r="AJ395" s="1029"/>
      <c r="AK395" s="1000"/>
      <c r="AL395" s="1000"/>
      <c r="AM395" s="1020"/>
      <c r="AN395" s="994"/>
      <c r="AO395" s="1112" t="s">
        <v>725</v>
      </c>
      <c r="AP395" s="937">
        <v>5</v>
      </c>
    </row>
    <row r="396" spans="1:42" s="937" customFormat="1" ht="12.75" customHeight="1">
      <c r="A396" s="1054"/>
      <c r="B396" s="1029"/>
      <c r="C396" s="1643"/>
      <c r="D396" s="921"/>
      <c r="E396" s="921"/>
      <c r="F396" s="921"/>
      <c r="G396" s="921"/>
      <c r="H396" s="921"/>
      <c r="I396" s="921"/>
      <c r="J396" s="921"/>
      <c r="K396" s="921"/>
      <c r="L396" s="921"/>
      <c r="M396" s="921"/>
      <c r="N396" s="921"/>
      <c r="O396" s="921"/>
      <c r="P396" s="921"/>
      <c r="Q396" s="921"/>
      <c r="R396" s="921"/>
      <c r="S396" s="921"/>
      <c r="T396" s="921"/>
      <c r="U396" s="921"/>
      <c r="V396" s="921"/>
      <c r="W396" s="1029"/>
      <c r="X396" s="1029"/>
      <c r="Y396" s="1029"/>
      <c r="Z396" s="1029"/>
      <c r="AA396" s="1029"/>
      <c r="AB396" s="1029"/>
      <c r="AC396" s="921"/>
      <c r="AD396" s="921"/>
      <c r="AE396" s="921"/>
      <c r="AF396" s="921"/>
      <c r="AG396" s="921"/>
      <c r="AH396" s="921"/>
      <c r="AI396" s="921"/>
      <c r="AJ396" s="921"/>
      <c r="AK396" s="921"/>
      <c r="AL396" s="921"/>
      <c r="AM396" s="1020"/>
      <c r="AN396" s="994"/>
      <c r="AO396" s="1112" t="s">
        <v>542</v>
      </c>
      <c r="AP396" s="1122">
        <v>4</v>
      </c>
    </row>
    <row r="397" spans="1:42" s="937" customFormat="1" ht="12.75" customHeight="1">
      <c r="A397" s="1054"/>
      <c r="B397" s="1000"/>
      <c r="C397" s="1631"/>
      <c r="D397" s="1100" t="s">
        <v>542</v>
      </c>
      <c r="E397" s="942" t="s">
        <v>1684</v>
      </c>
      <c r="F397" s="1645"/>
      <c r="G397" s="1645"/>
      <c r="H397" s="1645"/>
      <c r="I397" s="1645"/>
      <c r="J397" s="1645"/>
      <c r="K397" s="1645"/>
      <c r="L397" s="1645"/>
      <c r="M397" s="1645"/>
      <c r="N397" s="1645"/>
      <c r="O397" s="1645"/>
      <c r="P397" s="1645"/>
      <c r="Q397" s="1645"/>
      <c r="R397" s="1645"/>
      <c r="S397" s="1645"/>
      <c r="T397" s="1645"/>
      <c r="U397" s="921"/>
      <c r="V397" s="921"/>
      <c r="W397" s="1645"/>
      <c r="X397" s="1645"/>
      <c r="Y397" s="1645"/>
      <c r="Z397" s="1645"/>
      <c r="AA397" s="1645"/>
      <c r="AB397" s="1645"/>
      <c r="AC397" s="921"/>
      <c r="AD397" s="921"/>
      <c r="AE397" s="921"/>
      <c r="AF397" s="3217" t="s">
        <v>1685</v>
      </c>
      <c r="AG397" s="3217"/>
      <c r="AH397" s="3217"/>
      <c r="AI397" s="3217"/>
      <c r="AJ397" s="3217"/>
      <c r="AK397" s="3217"/>
      <c r="AL397" s="3217"/>
      <c r="AM397" s="1020"/>
      <c r="AN397" s="994"/>
      <c r="AO397" s="1112" t="s">
        <v>284</v>
      </c>
      <c r="AP397" s="937">
        <v>3</v>
      </c>
    </row>
    <row r="398" spans="1:42" s="996" customFormat="1" ht="12.75" customHeight="1">
      <c r="A398" s="1054"/>
      <c r="B398" s="1000"/>
      <c r="C398" s="1631"/>
      <c r="D398" s="1017"/>
      <c r="E398" s="924"/>
      <c r="F398" s="1645"/>
      <c r="G398" s="1645"/>
      <c r="H398" s="1645"/>
      <c r="I398" s="1645"/>
      <c r="J398" s="1645"/>
      <c r="K398" s="1645"/>
      <c r="L398" s="1645"/>
      <c r="M398" s="1645"/>
      <c r="N398" s="1645"/>
      <c r="O398" s="1645"/>
      <c r="P398" s="1645"/>
      <c r="Q398" s="1645"/>
      <c r="R398" s="1645"/>
      <c r="S398" s="1645"/>
      <c r="T398" s="1645"/>
      <c r="U398" s="921"/>
      <c r="V398" s="924"/>
      <c r="W398" s="924"/>
      <c r="X398" s="1645"/>
      <c r="Y398" s="1645"/>
      <c r="Z398" s="1645"/>
      <c r="AA398" s="1645"/>
      <c r="AB398" s="1645"/>
      <c r="AC398" s="921"/>
      <c r="AD398" s="921"/>
      <c r="AE398" s="921"/>
      <c r="AF398" s="921"/>
      <c r="AG398" s="921"/>
      <c r="AH398" s="921"/>
      <c r="AI398" s="921"/>
      <c r="AJ398" s="921"/>
      <c r="AK398" s="1000"/>
      <c r="AL398" s="1000"/>
      <c r="AM398" s="1020"/>
      <c r="AN398" s="995"/>
      <c r="AO398" s="1112" t="s">
        <v>1674</v>
      </c>
      <c r="AP398" s="1122">
        <v>4</v>
      </c>
    </row>
    <row r="399" spans="1:42" s="937" customFormat="1" ht="12.75" customHeight="1">
      <c r="A399" s="1054"/>
      <c r="B399" s="1000"/>
      <c r="C399" s="1631"/>
      <c r="D399" s="1017" t="s">
        <v>1677</v>
      </c>
      <c r="E399" s="1637"/>
      <c r="F399" s="1637"/>
      <c r="G399" s="1637"/>
      <c r="H399" s="3117" t="s">
        <v>725</v>
      </c>
      <c r="I399" s="3117"/>
      <c r="J399" s="1645"/>
      <c r="K399" s="1645"/>
      <c r="L399" s="1645"/>
      <c r="M399" s="1645"/>
      <c r="N399" s="1645"/>
      <c r="O399" s="1645"/>
      <c r="P399" s="1645"/>
      <c r="Q399" s="1645"/>
      <c r="R399" s="1645"/>
      <c r="S399" s="1645"/>
      <c r="T399" s="1645"/>
      <c r="U399" s="1637"/>
      <c r="V399" s="1637"/>
      <c r="W399" s="1637"/>
      <c r="X399" s="921"/>
      <c r="Y399" s="921"/>
      <c r="Z399" s="921"/>
      <c r="AA399" s="921"/>
      <c r="AB399" s="921"/>
      <c r="AC399" s="921"/>
      <c r="AD399" s="921"/>
      <c r="AE399" s="921"/>
      <c r="AF399" s="921"/>
      <c r="AG399" s="921"/>
      <c r="AH399" s="921"/>
      <c r="AI399" s="921"/>
      <c r="AJ399" s="921"/>
      <c r="AK399" s="921"/>
      <c r="AL399" s="921"/>
      <c r="AN399" s="994"/>
      <c r="AO399" s="1112" t="s">
        <v>1675</v>
      </c>
      <c r="AP399" s="937">
        <v>3</v>
      </c>
    </row>
    <row r="400" spans="1:42" s="937" customFormat="1" ht="12.75" customHeight="1">
      <c r="A400" s="1054"/>
      <c r="B400" s="1000"/>
      <c r="C400" s="1631"/>
      <c r="D400" s="921"/>
      <c r="E400" s="1637"/>
      <c r="F400" s="1645"/>
      <c r="G400" s="1645"/>
      <c r="H400" s="1645"/>
      <c r="I400" s="1646"/>
      <c r="J400" s="1645"/>
      <c r="K400" s="1645"/>
      <c r="L400" s="1645"/>
      <c r="M400" s="1645"/>
      <c r="N400" s="1645"/>
      <c r="O400" s="1645"/>
      <c r="P400" s="1645"/>
      <c r="Q400" s="1645"/>
      <c r="R400" s="921"/>
      <c r="S400" s="921"/>
      <c r="T400" s="1645"/>
      <c r="U400" s="1637"/>
      <c r="V400" s="1637"/>
      <c r="W400" s="1637"/>
      <c r="X400" s="1637"/>
      <c r="Y400" s="1637"/>
      <c r="Z400" s="1637"/>
      <c r="AA400" s="1637"/>
      <c r="AB400" s="1637"/>
      <c r="AC400" s="1017"/>
      <c r="AD400" s="1017"/>
      <c r="AE400" s="1017"/>
      <c r="AF400" s="1017"/>
      <c r="AG400" s="1017"/>
      <c r="AH400" s="1017"/>
      <c r="AI400" s="1645"/>
      <c r="AJ400" s="1645"/>
      <c r="AK400" s="1645"/>
      <c r="AL400" s="1645"/>
      <c r="AM400" s="1123"/>
      <c r="AN400" s="994"/>
      <c r="AO400" s="1112" t="s">
        <v>1686</v>
      </c>
      <c r="AP400" s="937">
        <v>2</v>
      </c>
    </row>
    <row r="401" spans="1:42" s="937" customFormat="1" ht="12.75" customHeight="1">
      <c r="A401" s="1065"/>
      <c r="B401" s="1003"/>
      <c r="C401" s="1647"/>
      <c r="D401" s="1013"/>
      <c r="E401" s="1642"/>
      <c r="F401" s="1642"/>
      <c r="G401" s="1648"/>
      <c r="H401" s="1648"/>
      <c r="I401" s="1648"/>
      <c r="J401" s="1648"/>
      <c r="K401" s="1648"/>
      <c r="L401" s="1648"/>
      <c r="M401" s="1648"/>
      <c r="N401" s="1648"/>
      <c r="O401" s="1648"/>
      <c r="P401" s="1648"/>
      <c r="Q401" s="1648"/>
      <c r="R401" s="1648"/>
      <c r="S401" s="1648"/>
      <c r="T401" s="1642"/>
      <c r="U401" s="1642"/>
      <c r="V401" s="1642"/>
      <c r="W401" s="1642"/>
      <c r="X401" s="1642"/>
      <c r="Y401" s="1642"/>
      <c r="Z401" s="1642"/>
      <c r="AA401" s="1642"/>
      <c r="AB401" s="1013"/>
      <c r="AC401" s="1013"/>
      <c r="AD401" s="1013"/>
      <c r="AE401" s="1013"/>
      <c r="AF401" s="1013"/>
      <c r="AG401" s="1013"/>
      <c r="AH401" s="1013"/>
      <c r="AI401" s="953" t="s">
        <v>1687</v>
      </c>
      <c r="AJ401" s="3100">
        <f>VLOOKUP($H$399,$AO$366:$AP$368,2,FALSE)</f>
        <v>3</v>
      </c>
      <c r="AK401" s="3102"/>
      <c r="AL401" s="999"/>
      <c r="AM401" s="996"/>
      <c r="AN401" s="994"/>
      <c r="AO401" s="1112" t="s">
        <v>1688</v>
      </c>
      <c r="AP401" s="937">
        <v>1</v>
      </c>
    </row>
    <row r="402" spans="1:42" s="937" customFormat="1" ht="12.75" customHeight="1">
      <c r="A402" s="1054"/>
      <c r="B402" s="1000"/>
      <c r="C402" s="1631"/>
      <c r="D402" s="1017"/>
      <c r="E402" s="1637"/>
      <c r="F402" s="1637"/>
      <c r="G402" s="1637"/>
      <c r="H402" s="1017"/>
      <c r="I402" s="1017"/>
      <c r="J402" s="1645"/>
      <c r="K402" s="1645"/>
      <c r="L402" s="1645"/>
      <c r="M402" s="1645"/>
      <c r="N402" s="1645"/>
      <c r="O402" s="1645"/>
      <c r="P402" s="1645"/>
      <c r="Q402" s="1645"/>
      <c r="R402" s="1645"/>
      <c r="S402" s="1645"/>
      <c r="T402" s="1645"/>
      <c r="U402" s="1637"/>
      <c r="V402" s="1637"/>
      <c r="W402" s="1637"/>
      <c r="X402" s="1637"/>
      <c r="Y402" s="1637"/>
      <c r="Z402" s="1637"/>
      <c r="AA402" s="1637"/>
      <c r="AB402" s="1637"/>
      <c r="AC402" s="1017"/>
      <c r="AD402" s="1017"/>
      <c r="AE402" s="1017"/>
      <c r="AF402" s="1017"/>
      <c r="AG402" s="1017"/>
      <c r="AH402" s="1017"/>
      <c r="AI402" s="1017"/>
      <c r="AJ402" s="1588"/>
      <c r="AK402" s="1017"/>
      <c r="AL402" s="1017"/>
      <c r="AM402" s="1054"/>
      <c r="AN402" s="994"/>
    </row>
    <row r="403" spans="1:42" s="937" customFormat="1" ht="12.75" customHeight="1">
      <c r="A403" s="1054"/>
      <c r="B403" s="1000"/>
      <c r="C403" s="980" t="s">
        <v>1689</v>
      </c>
      <c r="D403" s="1017"/>
      <c r="E403" s="1637"/>
      <c r="F403" s="1645"/>
      <c r="G403" s="1645"/>
      <c r="H403" s="1645"/>
      <c r="I403" s="1645"/>
      <c r="J403" s="1645"/>
      <c r="K403" s="1645"/>
      <c r="L403" s="1645"/>
      <c r="M403" s="1645"/>
      <c r="N403" s="1645"/>
      <c r="O403" s="1645"/>
      <c r="P403" s="1645"/>
      <c r="Q403" s="1645"/>
      <c r="R403" s="1645"/>
      <c r="S403" s="1645"/>
      <c r="T403" s="1645"/>
      <c r="U403" s="985"/>
      <c r="V403" s="985"/>
      <c r="W403" s="1645"/>
      <c r="X403" s="1645"/>
      <c r="Y403" s="1645"/>
      <c r="Z403" s="1645"/>
      <c r="AA403" s="1645"/>
      <c r="AB403" s="1645"/>
      <c r="AC403" s="1590"/>
      <c r="AD403" s="1590"/>
      <c r="AE403" s="1590"/>
      <c r="AF403" s="1590"/>
      <c r="AG403" s="1590"/>
      <c r="AH403" s="1590"/>
      <c r="AI403" s="1590"/>
      <c r="AJ403" s="985"/>
      <c r="AK403" s="1000"/>
      <c r="AL403" s="1000"/>
      <c r="AM403" s="1020"/>
      <c r="AN403" s="994"/>
    </row>
    <row r="404" spans="1:42" s="937" customFormat="1" ht="12.75" customHeight="1">
      <c r="A404" s="1113"/>
      <c r="B404" s="1017"/>
      <c r="C404" s="1633"/>
      <c r="D404" s="1017"/>
      <c r="E404" s="1645"/>
      <c r="F404" s="1645"/>
      <c r="G404" s="1645"/>
      <c r="H404" s="1645"/>
      <c r="I404" s="1645"/>
      <c r="J404" s="1645"/>
      <c r="K404" s="1645"/>
      <c r="L404" s="1645"/>
      <c r="M404" s="1645"/>
      <c r="N404" s="1645"/>
      <c r="O404" s="1645"/>
      <c r="P404" s="1645"/>
      <c r="Q404" s="1645"/>
      <c r="R404" s="1645"/>
      <c r="S404" s="1645"/>
      <c r="T404" s="1645"/>
      <c r="U404" s="1645"/>
      <c r="V404" s="1645"/>
      <c r="W404" s="1645"/>
      <c r="X404" s="1645"/>
      <c r="Y404" s="1645"/>
      <c r="Z404" s="1645"/>
      <c r="AA404" s="1645"/>
      <c r="AB404" s="1645"/>
      <c r="AC404" s="1017"/>
      <c r="AD404" s="1017"/>
      <c r="AE404" s="921"/>
      <c r="AF404" s="921"/>
      <c r="AG404" s="921"/>
      <c r="AH404" s="921"/>
      <c r="AI404" s="921"/>
      <c r="AJ404" s="921"/>
      <c r="AK404" s="921"/>
      <c r="AL404" s="1000"/>
      <c r="AM404" s="1020"/>
      <c r="AN404" s="994"/>
    </row>
    <row r="405" spans="1:42" s="937" customFormat="1" ht="12.75" customHeight="1">
      <c r="A405" s="1054"/>
      <c r="B405" s="921"/>
      <c r="C405" s="921"/>
      <c r="D405" s="1100" t="s">
        <v>725</v>
      </c>
      <c r="E405" s="1029" t="s">
        <v>1690</v>
      </c>
      <c r="F405" s="1645"/>
      <c r="G405" s="1645"/>
      <c r="H405" s="1645"/>
      <c r="I405" s="1645"/>
      <c r="J405" s="1645"/>
      <c r="K405" s="1645"/>
      <c r="L405" s="1645"/>
      <c r="M405" s="1645"/>
      <c r="N405" s="1645"/>
      <c r="O405" s="1645"/>
      <c r="P405" s="1645"/>
      <c r="Q405" s="1645"/>
      <c r="R405" s="1645"/>
      <c r="S405" s="1645"/>
      <c r="T405" s="1645"/>
      <c r="U405" s="1645"/>
      <c r="V405" s="1645"/>
      <c r="W405" s="1645"/>
      <c r="X405" s="1645"/>
      <c r="Y405" s="1645"/>
      <c r="Z405" s="1645"/>
      <c r="AA405" s="1645"/>
      <c r="AB405" s="1645"/>
      <c r="AC405" s="921"/>
      <c r="AD405" s="921"/>
      <c r="AE405" s="921"/>
      <c r="AF405" s="3217" t="s">
        <v>1621</v>
      </c>
      <c r="AG405" s="3217"/>
      <c r="AH405" s="3217"/>
      <c r="AI405" s="3217"/>
      <c r="AJ405" s="3217"/>
      <c r="AK405" s="3217"/>
      <c r="AL405" s="3217"/>
      <c r="AM405" s="1020"/>
      <c r="AN405" s="994"/>
    </row>
    <row r="406" spans="1:42" s="937" customFormat="1" ht="12.75" customHeight="1">
      <c r="A406" s="1054"/>
      <c r="B406" s="921"/>
      <c r="C406" s="921"/>
      <c r="D406" s="1100"/>
      <c r="E406" s="1029" t="s">
        <v>1691</v>
      </c>
      <c r="F406" s="1645"/>
      <c r="G406" s="1645"/>
      <c r="H406" s="1645"/>
      <c r="I406" s="1645"/>
      <c r="J406" s="1645"/>
      <c r="K406" s="1645"/>
      <c r="L406" s="1645"/>
      <c r="M406" s="1645"/>
      <c r="N406" s="1645"/>
      <c r="O406" s="1645"/>
      <c r="P406" s="1645"/>
      <c r="Q406" s="1645"/>
      <c r="R406" s="1645"/>
      <c r="S406" s="1645"/>
      <c r="T406" s="1645"/>
      <c r="U406" s="1645"/>
      <c r="V406" s="1645"/>
      <c r="W406" s="1645"/>
      <c r="X406" s="1645"/>
      <c r="Y406" s="1645"/>
      <c r="Z406" s="1645"/>
      <c r="AA406" s="1645"/>
      <c r="AB406" s="1645"/>
      <c r="AC406" s="921"/>
      <c r="AD406" s="921"/>
      <c r="AE406" s="1590"/>
      <c r="AF406" s="1590"/>
      <c r="AG406" s="1590"/>
      <c r="AH406" s="1590"/>
      <c r="AI406" s="1590"/>
      <c r="AJ406" s="1590"/>
      <c r="AK406" s="1590"/>
      <c r="AL406" s="1590"/>
      <c r="AM406" s="1020"/>
      <c r="AN406" s="994"/>
    </row>
    <row r="407" spans="1:42" s="937" customFormat="1" ht="12.75" customHeight="1">
      <c r="A407" s="1054"/>
      <c r="B407" s="1029"/>
      <c r="C407" s="1643"/>
      <c r="D407" s="1100"/>
      <c r="E407" s="1029"/>
      <c r="F407" s="1029"/>
      <c r="G407" s="1029"/>
      <c r="H407" s="1029"/>
      <c r="I407" s="1029"/>
      <c r="J407" s="1029"/>
      <c r="K407" s="1029"/>
      <c r="L407" s="1029"/>
      <c r="M407" s="1029"/>
      <c r="N407" s="1029"/>
      <c r="O407" s="1029"/>
      <c r="P407" s="1029"/>
      <c r="Q407" s="1029"/>
      <c r="R407" s="1029"/>
      <c r="S407" s="1029"/>
      <c r="T407" s="1029"/>
      <c r="U407" s="1029"/>
      <c r="V407" s="1029"/>
      <c r="W407" s="1029"/>
      <c r="X407" s="1029"/>
      <c r="Y407" s="1029"/>
      <c r="Z407" s="1029"/>
      <c r="AA407" s="1029"/>
      <c r="AB407" s="1029"/>
      <c r="AC407" s="921"/>
      <c r="AD407" s="921"/>
      <c r="AE407" s="1029"/>
      <c r="AF407" s="921"/>
      <c r="AG407" s="921"/>
      <c r="AH407" s="921"/>
      <c r="AI407" s="921"/>
      <c r="AJ407" s="921"/>
      <c r="AK407" s="921"/>
      <c r="AL407" s="921"/>
      <c r="AM407" s="1020"/>
      <c r="AN407" s="994"/>
    </row>
    <row r="408" spans="1:42" s="937" customFormat="1" ht="12.75" customHeight="1">
      <c r="A408" s="1054"/>
      <c r="B408" s="1000"/>
      <c r="C408" s="1631"/>
      <c r="D408" s="1100" t="s">
        <v>542</v>
      </c>
      <c r="E408" s="1029" t="s">
        <v>1692</v>
      </c>
      <c r="F408" s="1029"/>
      <c r="G408" s="1029"/>
      <c r="H408" s="1029"/>
      <c r="I408" s="1029"/>
      <c r="J408" s="1029"/>
      <c r="K408" s="1029"/>
      <c r="L408" s="1029"/>
      <c r="M408" s="1029"/>
      <c r="N408" s="1029"/>
      <c r="O408" s="1029"/>
      <c r="P408" s="1029"/>
      <c r="Q408" s="1029"/>
      <c r="R408" s="1029"/>
      <c r="S408" s="1029"/>
      <c r="T408" s="1029"/>
      <c r="U408" s="1029"/>
      <c r="V408" s="1029"/>
      <c r="W408" s="1029"/>
      <c r="X408" s="1029"/>
      <c r="Y408" s="1029"/>
      <c r="Z408" s="1029"/>
      <c r="AA408" s="1029"/>
      <c r="AB408" s="1029"/>
      <c r="AC408" s="921"/>
      <c r="AD408" s="921"/>
      <c r="AE408" s="921"/>
      <c r="AF408" s="3217" t="s">
        <v>1685</v>
      </c>
      <c r="AG408" s="3217"/>
      <c r="AH408" s="3217"/>
      <c r="AI408" s="3217"/>
      <c r="AJ408" s="3217"/>
      <c r="AK408" s="3217"/>
      <c r="AL408" s="3217"/>
      <c r="AM408" s="1020"/>
      <c r="AN408" s="994"/>
    </row>
    <row r="409" spans="1:42" s="937" customFormat="1" ht="12.75" customHeight="1">
      <c r="A409" s="1054"/>
      <c r="B409" s="1000"/>
      <c r="C409" s="1631"/>
      <c r="D409" s="1100"/>
      <c r="E409" s="1029" t="s">
        <v>1693</v>
      </c>
      <c r="F409" s="1029"/>
      <c r="G409" s="1029"/>
      <c r="H409" s="1029"/>
      <c r="I409" s="1029"/>
      <c r="J409" s="1029"/>
      <c r="K409" s="1029"/>
      <c r="L409" s="1029"/>
      <c r="M409" s="1029"/>
      <c r="N409" s="1029"/>
      <c r="O409" s="1029"/>
      <c r="P409" s="1029"/>
      <c r="Q409" s="1029"/>
      <c r="R409" s="1029"/>
      <c r="S409" s="1029"/>
      <c r="T409" s="1029"/>
      <c r="U409" s="1029"/>
      <c r="V409" s="1029"/>
      <c r="W409" s="1029"/>
      <c r="X409" s="1029"/>
      <c r="Y409" s="1029"/>
      <c r="Z409" s="1029"/>
      <c r="AA409" s="1029"/>
      <c r="AB409" s="1029"/>
      <c r="AC409" s="921"/>
      <c r="AD409" s="921"/>
      <c r="AE409" s="1590"/>
      <c r="AF409" s="1590"/>
      <c r="AG409" s="1590"/>
      <c r="AH409" s="1590"/>
      <c r="AI409" s="1590"/>
      <c r="AJ409" s="1590"/>
      <c r="AK409" s="1590"/>
      <c r="AL409" s="1590"/>
      <c r="AM409" s="1020"/>
      <c r="AN409" s="994"/>
    </row>
    <row r="410" spans="1:42" s="996" customFormat="1" ht="12.75" customHeight="1">
      <c r="A410" s="1054"/>
      <c r="B410" s="1000"/>
      <c r="C410" s="1631"/>
      <c r="D410" s="1017"/>
      <c r="E410" s="1029"/>
      <c r="F410" s="1029"/>
      <c r="G410" s="1029"/>
      <c r="H410" s="1029"/>
      <c r="I410" s="1029"/>
      <c r="J410" s="1029"/>
      <c r="K410" s="1029"/>
      <c r="L410" s="1029"/>
      <c r="M410" s="1029"/>
      <c r="N410" s="1029"/>
      <c r="O410" s="1029"/>
      <c r="P410" s="1029"/>
      <c r="Q410" s="1029"/>
      <c r="R410" s="1029"/>
      <c r="S410" s="1029"/>
      <c r="T410" s="1029"/>
      <c r="U410" s="1029"/>
      <c r="V410" s="1029"/>
      <c r="W410" s="1029"/>
      <c r="X410" s="1029"/>
      <c r="Y410" s="1029"/>
      <c r="Z410" s="1029"/>
      <c r="AA410" s="1029"/>
      <c r="AB410" s="1029"/>
      <c r="AC410" s="921"/>
      <c r="AD410" s="921"/>
      <c r="AE410" s="921"/>
      <c r="AF410" s="921"/>
      <c r="AG410" s="921"/>
      <c r="AH410" s="921"/>
      <c r="AI410" s="921"/>
      <c r="AJ410" s="921"/>
      <c r="AK410" s="1000"/>
      <c r="AL410" s="1000"/>
      <c r="AM410" s="1020"/>
      <c r="AN410" s="995"/>
      <c r="AP410" s="1122"/>
    </row>
    <row r="411" spans="1:42" s="937" customFormat="1" ht="12.75" customHeight="1">
      <c r="A411" s="1054"/>
      <c r="B411" s="1000"/>
      <c r="C411" s="1631"/>
      <c r="D411" s="1017" t="s">
        <v>1677</v>
      </c>
      <c r="E411" s="1637"/>
      <c r="F411" s="1637"/>
      <c r="G411" s="1637"/>
      <c r="H411" s="3117" t="s">
        <v>725</v>
      </c>
      <c r="I411" s="3117"/>
      <c r="J411" s="1029"/>
      <c r="K411" s="1029"/>
      <c r="L411" s="1029"/>
      <c r="M411" s="1029"/>
      <c r="N411" s="1029"/>
      <c r="O411" s="1029"/>
      <c r="P411" s="1029"/>
      <c r="Q411" s="1029"/>
      <c r="R411" s="1029"/>
      <c r="S411" s="1029"/>
      <c r="T411" s="1029"/>
      <c r="U411" s="1029"/>
      <c r="V411" s="1029"/>
      <c r="W411" s="921"/>
      <c r="X411" s="921"/>
      <c r="Y411" s="921"/>
      <c r="Z411" s="921"/>
      <c r="AA411" s="921"/>
      <c r="AB411" s="921"/>
      <c r="AC411" s="921"/>
      <c r="AD411" s="921"/>
      <c r="AE411" s="921"/>
      <c r="AF411" s="921"/>
      <c r="AG411" s="921"/>
      <c r="AH411" s="921"/>
      <c r="AI411" s="921"/>
      <c r="AJ411" s="921"/>
      <c r="AK411" s="921"/>
      <c r="AL411" s="921"/>
      <c r="AN411" s="994"/>
    </row>
    <row r="412" spans="1:42" s="937" customFormat="1" ht="12.75" customHeight="1">
      <c r="A412" s="1054"/>
      <c r="B412" s="1000"/>
      <c r="C412" s="1631"/>
      <c r="D412" s="1017"/>
      <c r="E412" s="1637"/>
      <c r="F412" s="1637"/>
      <c r="G412" s="1029"/>
      <c r="H412" s="1029"/>
      <c r="I412" s="1029"/>
      <c r="J412" s="1029"/>
      <c r="K412" s="1029"/>
      <c r="L412" s="1029"/>
      <c r="M412" s="1029"/>
      <c r="N412" s="1029"/>
      <c r="O412" s="1029"/>
      <c r="P412" s="1029"/>
      <c r="Q412" s="1029"/>
      <c r="R412" s="1029"/>
      <c r="S412" s="1029"/>
      <c r="T412" s="1029"/>
      <c r="U412" s="1029"/>
      <c r="V412" s="1029"/>
      <c r="W412" s="1029"/>
      <c r="X412" s="1029"/>
      <c r="Y412" s="1029"/>
      <c r="Z412" s="1637"/>
      <c r="AA412" s="1637"/>
      <c r="AB412" s="1637"/>
      <c r="AC412" s="921"/>
      <c r="AD412" s="921"/>
      <c r="AE412" s="921"/>
      <c r="AF412" s="921"/>
      <c r="AG412" s="921"/>
      <c r="AH412" s="921"/>
      <c r="AI412" s="921"/>
      <c r="AJ412" s="1029"/>
      <c r="AK412" s="1029"/>
      <c r="AL412" s="1029"/>
      <c r="AM412" s="938"/>
      <c r="AN412" s="994"/>
    </row>
    <row r="413" spans="1:42" s="996" customFormat="1" ht="12.75" customHeight="1">
      <c r="A413" s="1065"/>
      <c r="B413" s="1003"/>
      <c r="C413" s="1647"/>
      <c r="D413" s="1013"/>
      <c r="E413" s="1642"/>
      <c r="F413" s="1642"/>
      <c r="G413" s="1102"/>
      <c r="H413" s="1102"/>
      <c r="I413" s="1102"/>
      <c r="J413" s="1102"/>
      <c r="K413" s="1102"/>
      <c r="L413" s="1102"/>
      <c r="M413" s="1102"/>
      <c r="N413" s="1102"/>
      <c r="O413" s="1102"/>
      <c r="P413" s="1102"/>
      <c r="Q413" s="1102"/>
      <c r="R413" s="1102"/>
      <c r="S413" s="1102"/>
      <c r="T413" s="1102"/>
      <c r="U413" s="1102"/>
      <c r="V413" s="1102"/>
      <c r="W413" s="1102"/>
      <c r="X413" s="1102"/>
      <c r="Y413" s="1642"/>
      <c r="Z413" s="1642"/>
      <c r="AA413" s="1642"/>
      <c r="AB413" s="1013"/>
      <c r="AC413" s="1013"/>
      <c r="AD413" s="1013"/>
      <c r="AE413" s="1013"/>
      <c r="AF413" s="1013"/>
      <c r="AG413" s="1013"/>
      <c r="AH413" s="1013"/>
      <c r="AI413" s="953" t="s">
        <v>1694</v>
      </c>
      <c r="AJ413" s="3100">
        <f>VLOOKUP(H411,AT366:AU368,2,FALSE)</f>
        <v>3</v>
      </c>
      <c r="AK413" s="3102"/>
      <c r="AL413" s="999"/>
      <c r="AN413" s="995"/>
      <c r="AO413" s="996" t="s">
        <v>626</v>
      </c>
      <c r="AP413" s="1121">
        <v>0</v>
      </c>
    </row>
    <row r="414" spans="1:42" s="937" customFormat="1" ht="12.75" customHeight="1">
      <c r="A414" s="1054"/>
      <c r="B414" s="1000"/>
      <c r="C414" s="1631"/>
      <c r="D414" s="921"/>
      <c r="E414" s="921"/>
      <c r="F414" s="921"/>
      <c r="G414" s="921"/>
      <c r="H414" s="921"/>
      <c r="I414" s="921"/>
      <c r="J414" s="921"/>
      <c r="K414" s="921"/>
      <c r="L414" s="921"/>
      <c r="M414" s="921"/>
      <c r="N414" s="921"/>
      <c r="O414" s="921"/>
      <c r="P414" s="921"/>
      <c r="Q414" s="921"/>
      <c r="R414" s="921"/>
      <c r="S414" s="921"/>
      <c r="T414" s="921"/>
      <c r="U414" s="921"/>
      <c r="V414" s="921"/>
      <c r="W414" s="921"/>
      <c r="X414" s="921"/>
      <c r="Y414" s="921"/>
      <c r="Z414" s="921"/>
      <c r="AA414" s="921"/>
      <c r="AB414" s="921"/>
      <c r="AC414" s="921"/>
      <c r="AD414" s="921"/>
      <c r="AE414" s="921"/>
      <c r="AF414" s="921"/>
      <c r="AG414" s="921"/>
      <c r="AH414" s="921"/>
      <c r="AI414" s="921"/>
      <c r="AJ414" s="921"/>
      <c r="AK414" s="921"/>
      <c r="AL414" s="921"/>
      <c r="AN414" s="994"/>
      <c r="AO414" s="1112" t="s">
        <v>725</v>
      </c>
      <c r="AP414" s="937">
        <v>3</v>
      </c>
    </row>
    <row r="415" spans="1:42" s="937" customFormat="1" ht="12.75" customHeight="1">
      <c r="B415" s="921"/>
      <c r="C415" s="980" t="s">
        <v>1695</v>
      </c>
      <c r="D415" s="921"/>
      <c r="E415" s="921"/>
      <c r="F415" s="921"/>
      <c r="G415" s="921"/>
      <c r="H415" s="921"/>
      <c r="I415" s="921"/>
      <c r="J415" s="921"/>
      <c r="K415" s="921"/>
      <c r="L415" s="921"/>
      <c r="M415" s="921"/>
      <c r="N415" s="921"/>
      <c r="O415" s="921"/>
      <c r="P415" s="921"/>
      <c r="Q415" s="921"/>
      <c r="R415" s="921"/>
      <c r="S415" s="921"/>
      <c r="T415" s="921"/>
      <c r="U415" s="921"/>
      <c r="V415" s="921"/>
      <c r="W415" s="921"/>
      <c r="X415" s="921"/>
      <c r="Y415" s="921"/>
      <c r="Z415" s="921"/>
      <c r="AA415" s="921"/>
      <c r="AB415" s="921"/>
      <c r="AC415" s="921"/>
      <c r="AD415" s="921"/>
      <c r="AE415" s="921"/>
      <c r="AF415" s="921"/>
      <c r="AG415" s="921"/>
      <c r="AH415" s="921"/>
      <c r="AI415" s="921"/>
      <c r="AJ415" s="921"/>
      <c r="AK415" s="921"/>
      <c r="AL415" s="921"/>
      <c r="AN415" s="994"/>
      <c r="AO415" s="1112" t="s">
        <v>542</v>
      </c>
      <c r="AP415" s="937">
        <v>2</v>
      </c>
    </row>
    <row r="416" spans="1:42" s="937" customFormat="1" ht="12.75" customHeight="1">
      <c r="B416" s="921"/>
      <c r="C416" s="980"/>
      <c r="D416" s="1124" t="s">
        <v>1696</v>
      </c>
      <c r="E416" s="921"/>
      <c r="F416" s="921"/>
      <c r="G416" s="921"/>
      <c r="H416" s="921"/>
      <c r="I416" s="921"/>
      <c r="J416" s="921"/>
      <c r="K416" s="921"/>
      <c r="L416" s="921"/>
      <c r="M416" s="921"/>
      <c r="N416" s="921"/>
      <c r="O416" s="921"/>
      <c r="P416" s="921"/>
      <c r="Q416" s="921"/>
      <c r="R416" s="921"/>
      <c r="S416" s="921"/>
      <c r="T416" s="921"/>
      <c r="U416" s="921"/>
      <c r="V416" s="921"/>
      <c r="W416" s="921"/>
      <c r="X416" s="921"/>
      <c r="Y416" s="921"/>
      <c r="Z416" s="921"/>
      <c r="AA416" s="921"/>
      <c r="AB416" s="921"/>
      <c r="AC416" s="921"/>
      <c r="AD416" s="921"/>
      <c r="AE416" s="921"/>
      <c r="AF416" s="921"/>
      <c r="AG416" s="921"/>
      <c r="AH416" s="921"/>
      <c r="AI416" s="921"/>
      <c r="AJ416" s="921"/>
      <c r="AK416" s="921"/>
      <c r="AL416" s="921"/>
      <c r="AN416" s="994"/>
    </row>
    <row r="417" spans="1:42" s="937" customFormat="1" ht="12.75" customHeight="1">
      <c r="B417" s="921"/>
      <c r="C417" s="980"/>
      <c r="D417" s="921"/>
      <c r="E417" s="921"/>
      <c r="F417" s="921"/>
      <c r="G417" s="921"/>
      <c r="H417" s="921"/>
      <c r="I417" s="921"/>
      <c r="J417" s="921"/>
      <c r="K417" s="921"/>
      <c r="L417" s="921"/>
      <c r="M417" s="921"/>
      <c r="N417" s="921"/>
      <c r="O417" s="921"/>
      <c r="P417" s="921"/>
      <c r="Q417" s="921"/>
      <c r="R417" s="921"/>
      <c r="S417" s="921"/>
      <c r="T417" s="921"/>
      <c r="U417" s="921"/>
      <c r="V417" s="921"/>
      <c r="W417" s="921"/>
      <c r="X417" s="921"/>
      <c r="Y417" s="921"/>
      <c r="Z417" s="921"/>
      <c r="AA417" s="921"/>
      <c r="AB417" s="921"/>
      <c r="AC417" s="921"/>
      <c r="AD417" s="921"/>
      <c r="AE417" s="921"/>
      <c r="AF417" s="921"/>
      <c r="AG417" s="921"/>
      <c r="AH417" s="921"/>
      <c r="AI417" s="921"/>
      <c r="AJ417" s="921"/>
      <c r="AK417" s="921"/>
      <c r="AL417" s="921"/>
      <c r="AN417" s="994"/>
    </row>
    <row r="418" spans="1:42" s="937" customFormat="1" ht="12.75" customHeight="1">
      <c r="B418" s="921"/>
      <c r="C418" s="980"/>
      <c r="D418" s="1100" t="s">
        <v>725</v>
      </c>
      <c r="E418" s="3118" t="s">
        <v>1697</v>
      </c>
      <c r="F418" s="3118"/>
      <c r="G418" s="3118"/>
      <c r="H418" s="3118"/>
      <c r="I418" s="3118"/>
      <c r="J418" s="3118"/>
      <c r="K418" s="3118"/>
      <c r="L418" s="3118"/>
      <c r="M418" s="3118"/>
      <c r="N418" s="3118"/>
      <c r="O418" s="3118"/>
      <c r="P418" s="3118"/>
      <c r="Q418" s="3118"/>
      <c r="R418" s="3118"/>
      <c r="S418" s="3118"/>
      <c r="T418" s="3118"/>
      <c r="U418" s="3118"/>
      <c r="V418" s="3118"/>
      <c r="W418" s="3118"/>
      <c r="X418" s="3118"/>
      <c r="Y418" s="3118"/>
      <c r="Z418" s="3118"/>
      <c r="AA418" s="3118"/>
      <c r="AB418" s="3118"/>
      <c r="AC418" s="3118"/>
      <c r="AD418" s="921"/>
      <c r="AE418" s="921"/>
      <c r="AF418" s="3217" t="s">
        <v>1647</v>
      </c>
      <c r="AG418" s="3217"/>
      <c r="AH418" s="3217"/>
      <c r="AI418" s="3217"/>
      <c r="AJ418" s="3217"/>
      <c r="AK418" s="3217"/>
      <c r="AL418" s="3217"/>
      <c r="AN418" s="994"/>
    </row>
    <row r="419" spans="1:42" s="937" customFormat="1" ht="12.75" customHeight="1">
      <c r="B419" s="921"/>
      <c r="C419" s="980"/>
      <c r="D419" s="921"/>
      <c r="E419" s="3118"/>
      <c r="F419" s="3118"/>
      <c r="G419" s="3118"/>
      <c r="H419" s="3118"/>
      <c r="I419" s="3118"/>
      <c r="J419" s="3118"/>
      <c r="K419" s="3118"/>
      <c r="L419" s="3118"/>
      <c r="M419" s="3118"/>
      <c r="N419" s="3118"/>
      <c r="O419" s="3118"/>
      <c r="P419" s="3118"/>
      <c r="Q419" s="3118"/>
      <c r="R419" s="3118"/>
      <c r="S419" s="3118"/>
      <c r="T419" s="3118"/>
      <c r="U419" s="3118"/>
      <c r="V419" s="3118"/>
      <c r="W419" s="3118"/>
      <c r="X419" s="3118"/>
      <c r="Y419" s="3118"/>
      <c r="Z419" s="3118"/>
      <c r="AA419" s="3118"/>
      <c r="AB419" s="3118"/>
      <c r="AC419" s="3118"/>
      <c r="AD419" s="921"/>
      <c r="AE419" s="921"/>
      <c r="AF419" s="921"/>
      <c r="AG419" s="921"/>
      <c r="AH419" s="921"/>
      <c r="AI419" s="921"/>
      <c r="AJ419" s="921"/>
      <c r="AK419" s="921"/>
      <c r="AL419" s="921"/>
      <c r="AN419" s="994"/>
    </row>
    <row r="420" spans="1:42" s="937" customFormat="1" ht="12.75" customHeight="1">
      <c r="B420" s="921"/>
      <c r="C420" s="980"/>
      <c r="D420" s="1100"/>
      <c r="E420" s="3118"/>
      <c r="F420" s="3118"/>
      <c r="G420" s="3118"/>
      <c r="H420" s="3118"/>
      <c r="I420" s="3118"/>
      <c r="J420" s="3118"/>
      <c r="K420" s="3118"/>
      <c r="L420" s="3118"/>
      <c r="M420" s="3118"/>
      <c r="N420" s="3118"/>
      <c r="O420" s="3118"/>
      <c r="P420" s="3118"/>
      <c r="Q420" s="3118"/>
      <c r="R420" s="3118"/>
      <c r="S420" s="3118"/>
      <c r="T420" s="3118"/>
      <c r="U420" s="3118"/>
      <c r="V420" s="3118"/>
      <c r="W420" s="3118"/>
      <c r="X420" s="3118"/>
      <c r="Y420" s="3118"/>
      <c r="Z420" s="3118"/>
      <c r="AA420" s="3118"/>
      <c r="AB420" s="3118"/>
      <c r="AC420" s="3118"/>
      <c r="AD420" s="921"/>
      <c r="AE420" s="921"/>
      <c r="AF420" s="921"/>
      <c r="AG420" s="921"/>
      <c r="AH420" s="921"/>
      <c r="AI420" s="921"/>
      <c r="AJ420" s="921"/>
      <c r="AK420" s="921"/>
      <c r="AL420" s="921"/>
      <c r="AN420" s="994"/>
    </row>
    <row r="421" spans="1:42" s="937" customFormat="1" ht="15" customHeight="1">
      <c r="B421" s="921"/>
      <c r="C421" s="980"/>
      <c r="D421" s="921"/>
      <c r="E421" s="1649"/>
      <c r="F421" s="1649"/>
      <c r="G421" s="1649"/>
      <c r="H421" s="1649"/>
      <c r="I421" s="1649"/>
      <c r="J421" s="1649"/>
      <c r="K421" s="1649"/>
      <c r="L421" s="1649"/>
      <c r="M421" s="1649"/>
      <c r="N421" s="1649"/>
      <c r="O421" s="1649"/>
      <c r="P421" s="1649"/>
      <c r="Q421" s="1649"/>
      <c r="R421" s="1649"/>
      <c r="S421" s="1649"/>
      <c r="T421" s="1649"/>
      <c r="U421" s="1649"/>
      <c r="V421" s="1649"/>
      <c r="W421" s="1649"/>
      <c r="X421" s="1649"/>
      <c r="Y421" s="1649"/>
      <c r="Z421" s="1649"/>
      <c r="AA421" s="1649"/>
      <c r="AB421" s="1649"/>
      <c r="AC421" s="921"/>
      <c r="AD421" s="921"/>
      <c r="AE421" s="921"/>
      <c r="AF421" s="921"/>
      <c r="AG421" s="921"/>
      <c r="AH421" s="921"/>
      <c r="AI421" s="921"/>
      <c r="AJ421" s="921"/>
      <c r="AK421" s="921"/>
      <c r="AL421" s="921"/>
      <c r="AN421" s="994"/>
    </row>
    <row r="422" spans="1:42" s="937" customFormat="1" ht="12.75" customHeight="1">
      <c r="B422" s="921"/>
      <c r="C422" s="980"/>
      <c r="D422" s="1100" t="s">
        <v>542</v>
      </c>
      <c r="E422" s="3118" t="s">
        <v>1698</v>
      </c>
      <c r="F422" s="3118"/>
      <c r="G422" s="3118"/>
      <c r="H422" s="3118"/>
      <c r="I422" s="3118"/>
      <c r="J422" s="3118"/>
      <c r="K422" s="3118"/>
      <c r="L422" s="3118"/>
      <c r="M422" s="3118"/>
      <c r="N422" s="3118"/>
      <c r="O422" s="3118"/>
      <c r="P422" s="3118"/>
      <c r="Q422" s="3118"/>
      <c r="R422" s="3118"/>
      <c r="S422" s="3118"/>
      <c r="T422" s="3118"/>
      <c r="U422" s="3118"/>
      <c r="V422" s="3118"/>
      <c r="W422" s="3118"/>
      <c r="X422" s="3118"/>
      <c r="Y422" s="3118"/>
      <c r="Z422" s="3118"/>
      <c r="AA422" s="3118"/>
      <c r="AB422" s="3118"/>
      <c r="AC422" s="3118"/>
      <c r="AD422" s="921"/>
      <c r="AE422" s="921"/>
      <c r="AF422" s="3217" t="s">
        <v>1676</v>
      </c>
      <c r="AG422" s="3217"/>
      <c r="AH422" s="3217"/>
      <c r="AI422" s="3217"/>
      <c r="AJ422" s="3217"/>
      <c r="AK422" s="3217"/>
      <c r="AL422" s="3217"/>
      <c r="AN422" s="994"/>
    </row>
    <row r="423" spans="1:42" s="937" customFormat="1" ht="12.75" customHeight="1">
      <c r="B423" s="921"/>
      <c r="C423" s="980"/>
      <c r="D423" s="921"/>
      <c r="E423" s="3118"/>
      <c r="F423" s="3118"/>
      <c r="G423" s="3118"/>
      <c r="H423" s="3118"/>
      <c r="I423" s="3118"/>
      <c r="J423" s="3118"/>
      <c r="K423" s="3118"/>
      <c r="L423" s="3118"/>
      <c r="M423" s="3118"/>
      <c r="N423" s="3118"/>
      <c r="O423" s="3118"/>
      <c r="P423" s="3118"/>
      <c r="Q423" s="3118"/>
      <c r="R423" s="3118"/>
      <c r="S423" s="3118"/>
      <c r="T423" s="3118"/>
      <c r="U423" s="3118"/>
      <c r="V423" s="3118"/>
      <c r="W423" s="3118"/>
      <c r="X423" s="3118"/>
      <c r="Y423" s="3118"/>
      <c r="Z423" s="3118"/>
      <c r="AA423" s="3118"/>
      <c r="AB423" s="3118"/>
      <c r="AC423" s="3118"/>
      <c r="AD423" s="921"/>
      <c r="AE423" s="921"/>
      <c r="AF423" s="921"/>
      <c r="AG423" s="921"/>
      <c r="AH423" s="921"/>
      <c r="AI423" s="921"/>
      <c r="AJ423" s="921"/>
      <c r="AK423" s="921"/>
      <c r="AL423" s="921"/>
      <c r="AN423" s="994"/>
    </row>
    <row r="424" spans="1:42" s="937" customFormat="1" ht="15" customHeight="1">
      <c r="B424" s="921"/>
      <c r="C424" s="980"/>
      <c r="D424" s="1100"/>
      <c r="E424" s="3118"/>
      <c r="F424" s="3118"/>
      <c r="G424" s="3118"/>
      <c r="H424" s="3118"/>
      <c r="I424" s="3118"/>
      <c r="J424" s="3118"/>
      <c r="K424" s="3118"/>
      <c r="L424" s="3118"/>
      <c r="M424" s="3118"/>
      <c r="N424" s="3118"/>
      <c r="O424" s="3118"/>
      <c r="P424" s="3118"/>
      <c r="Q424" s="3118"/>
      <c r="R424" s="3118"/>
      <c r="S424" s="3118"/>
      <c r="T424" s="3118"/>
      <c r="U424" s="3118"/>
      <c r="V424" s="3118"/>
      <c r="W424" s="3118"/>
      <c r="X424" s="3118"/>
      <c r="Y424" s="3118"/>
      <c r="Z424" s="3118"/>
      <c r="AA424" s="3118"/>
      <c r="AB424" s="3118"/>
      <c r="AC424" s="3118"/>
      <c r="AD424" s="921"/>
      <c r="AE424" s="921"/>
      <c r="AF424" s="921"/>
      <c r="AG424" s="921"/>
      <c r="AH424" s="921"/>
      <c r="AI424" s="921"/>
      <c r="AJ424" s="921"/>
      <c r="AK424" s="921"/>
      <c r="AL424" s="921"/>
      <c r="AN424" s="994"/>
    </row>
    <row r="425" spans="1:42" s="996" customFormat="1" ht="12.75" customHeight="1">
      <c r="A425" s="937"/>
      <c r="B425" s="921"/>
      <c r="C425" s="980"/>
      <c r="D425" s="921"/>
      <c r="E425" s="1649"/>
      <c r="F425" s="1649"/>
      <c r="G425" s="1649"/>
      <c r="H425" s="1649"/>
      <c r="I425" s="1649"/>
      <c r="J425" s="1649"/>
      <c r="K425" s="1649"/>
      <c r="L425" s="1649"/>
      <c r="M425" s="1649"/>
      <c r="N425" s="1649"/>
      <c r="O425" s="1649"/>
      <c r="P425" s="1649"/>
      <c r="Q425" s="1649"/>
      <c r="R425" s="1649"/>
      <c r="S425" s="1649"/>
      <c r="T425" s="1649"/>
      <c r="U425" s="1649"/>
      <c r="V425" s="1649"/>
      <c r="W425" s="1649"/>
      <c r="X425" s="1649"/>
      <c r="Y425" s="1649"/>
      <c r="Z425" s="1649"/>
      <c r="AA425" s="1649"/>
      <c r="AB425" s="1649"/>
      <c r="AC425" s="921"/>
      <c r="AD425" s="921"/>
      <c r="AE425" s="921"/>
      <c r="AF425" s="924"/>
      <c r="AG425" s="924"/>
      <c r="AH425" s="924"/>
      <c r="AI425" s="924"/>
      <c r="AJ425" s="924"/>
      <c r="AK425" s="924"/>
      <c r="AL425" s="924"/>
      <c r="AM425" s="937"/>
      <c r="AN425" s="995"/>
    </row>
    <row r="426" spans="1:42" s="937" customFormat="1" ht="12.75" customHeight="1">
      <c r="B426" s="921"/>
      <c r="C426" s="980"/>
      <c r="D426" s="1100" t="s">
        <v>284</v>
      </c>
      <c r="E426" s="3118" t="s">
        <v>1699</v>
      </c>
      <c r="F426" s="3118"/>
      <c r="G426" s="3118"/>
      <c r="H426" s="3118"/>
      <c r="I426" s="3118"/>
      <c r="J426" s="3118"/>
      <c r="K426" s="3118"/>
      <c r="L426" s="3118"/>
      <c r="M426" s="3118"/>
      <c r="N426" s="3118"/>
      <c r="O426" s="3118"/>
      <c r="P426" s="3118"/>
      <c r="Q426" s="3118"/>
      <c r="R426" s="3118"/>
      <c r="S426" s="3118"/>
      <c r="T426" s="3118"/>
      <c r="U426" s="3118"/>
      <c r="V426" s="3118"/>
      <c r="W426" s="3118"/>
      <c r="X426" s="3118"/>
      <c r="Y426" s="3118"/>
      <c r="Z426" s="3118"/>
      <c r="AA426" s="3118"/>
      <c r="AB426" s="3118"/>
      <c r="AC426" s="3118"/>
      <c r="AD426" s="921"/>
      <c r="AE426" s="921"/>
      <c r="AF426" s="3217" t="s">
        <v>1621</v>
      </c>
      <c r="AG426" s="3217"/>
      <c r="AH426" s="3217"/>
      <c r="AI426" s="3217"/>
      <c r="AJ426" s="3217"/>
      <c r="AK426" s="3217"/>
      <c r="AL426" s="3217"/>
      <c r="AN426" s="994"/>
    </row>
    <row r="427" spans="1:42" s="937" customFormat="1" ht="12.75" customHeight="1">
      <c r="A427" s="1054"/>
      <c r="B427" s="1017"/>
      <c r="C427" s="1634"/>
      <c r="D427" s="921"/>
      <c r="E427" s="3118"/>
      <c r="F427" s="3118"/>
      <c r="G427" s="3118"/>
      <c r="H427" s="3118"/>
      <c r="I427" s="3118"/>
      <c r="J427" s="3118"/>
      <c r="K427" s="3118"/>
      <c r="L427" s="3118"/>
      <c r="M427" s="3118"/>
      <c r="N427" s="3118"/>
      <c r="O427" s="3118"/>
      <c r="P427" s="3118"/>
      <c r="Q427" s="3118"/>
      <c r="R427" s="3118"/>
      <c r="S427" s="3118"/>
      <c r="T427" s="3118"/>
      <c r="U427" s="3118"/>
      <c r="V427" s="3118"/>
      <c r="W427" s="3118"/>
      <c r="X427" s="3118"/>
      <c r="Y427" s="3118"/>
      <c r="Z427" s="3118"/>
      <c r="AA427" s="3118"/>
      <c r="AB427" s="3118"/>
      <c r="AC427" s="3118"/>
      <c r="AD427" s="921"/>
      <c r="AE427" s="3217"/>
      <c r="AF427" s="3217"/>
      <c r="AG427" s="3217"/>
      <c r="AH427" s="3217"/>
      <c r="AI427" s="3217"/>
      <c r="AJ427" s="3217"/>
      <c r="AK427" s="3217"/>
      <c r="AL427" s="1590"/>
      <c r="AM427" s="1020"/>
      <c r="AN427" s="994"/>
      <c r="AO427" s="937" t="s">
        <v>626</v>
      </c>
      <c r="AP427" s="1114">
        <v>0</v>
      </c>
    </row>
    <row r="428" spans="1:42" s="937" customFormat="1" ht="12.75" customHeight="1">
      <c r="A428" s="1120"/>
      <c r="B428" s="921"/>
      <c r="C428" s="921"/>
      <c r="D428" s="1100"/>
      <c r="E428" s="3118"/>
      <c r="F428" s="3118"/>
      <c r="G428" s="3118"/>
      <c r="H428" s="3118"/>
      <c r="I428" s="3118"/>
      <c r="J428" s="3118"/>
      <c r="K428" s="3118"/>
      <c r="L428" s="3118"/>
      <c r="M428" s="3118"/>
      <c r="N428" s="3118"/>
      <c r="O428" s="3118"/>
      <c r="P428" s="3118"/>
      <c r="Q428" s="3118"/>
      <c r="R428" s="3118"/>
      <c r="S428" s="3118"/>
      <c r="T428" s="3118"/>
      <c r="U428" s="3118"/>
      <c r="V428" s="3118"/>
      <c r="W428" s="3118"/>
      <c r="X428" s="3118"/>
      <c r="Y428" s="3118"/>
      <c r="Z428" s="3118"/>
      <c r="AA428" s="3118"/>
      <c r="AB428" s="3118"/>
      <c r="AC428" s="3118"/>
      <c r="AD428" s="921"/>
      <c r="AE428" s="921"/>
      <c r="AF428" s="921"/>
      <c r="AG428" s="1000"/>
      <c r="AH428" s="1000"/>
      <c r="AI428" s="1000"/>
      <c r="AJ428" s="1000"/>
      <c r="AK428" s="1000"/>
      <c r="AL428" s="1000"/>
      <c r="AM428" s="1020"/>
      <c r="AN428" s="994"/>
      <c r="AO428" s="1112" t="s">
        <v>725</v>
      </c>
      <c r="AP428" s="937">
        <v>3</v>
      </c>
    </row>
    <row r="429" spans="1:42" s="937" customFormat="1" ht="12.75" customHeight="1">
      <c r="A429" s="1054"/>
      <c r="B429" s="1017"/>
      <c r="C429" s="1634"/>
      <c r="D429" s="1100"/>
      <c r="E429" s="963"/>
      <c r="F429" s="963"/>
      <c r="G429" s="963"/>
      <c r="H429" s="963"/>
      <c r="I429" s="963"/>
      <c r="J429" s="963"/>
      <c r="K429" s="963"/>
      <c r="L429" s="963"/>
      <c r="M429" s="963"/>
      <c r="N429" s="963"/>
      <c r="O429" s="963"/>
      <c r="P429" s="963"/>
      <c r="Q429" s="963"/>
      <c r="R429" s="963"/>
      <c r="S429" s="963"/>
      <c r="T429" s="963"/>
      <c r="U429" s="963"/>
      <c r="V429" s="963"/>
      <c r="W429" s="963"/>
      <c r="X429" s="963"/>
      <c r="Y429" s="963"/>
      <c r="Z429" s="963"/>
      <c r="AA429" s="963"/>
      <c r="AB429" s="963"/>
      <c r="AC429" s="921"/>
      <c r="AD429" s="921"/>
      <c r="AE429" s="1000"/>
      <c r="AF429" s="921"/>
      <c r="AG429" s="921"/>
      <c r="AH429" s="921"/>
      <c r="AI429" s="921"/>
      <c r="AJ429" s="921"/>
      <c r="AK429" s="921"/>
      <c r="AL429" s="921"/>
      <c r="AN429" s="994"/>
      <c r="AO429" s="1112" t="s">
        <v>542</v>
      </c>
      <c r="AP429" s="937">
        <v>2</v>
      </c>
    </row>
    <row r="430" spans="1:42" s="937" customFormat="1" ht="12.75" customHeight="1">
      <c r="A430" s="1109"/>
      <c r="B430" s="1017"/>
      <c r="C430" s="1650"/>
      <c r="D430" s="1100" t="s">
        <v>1674</v>
      </c>
      <c r="E430" s="3118" t="s">
        <v>1700</v>
      </c>
      <c r="F430" s="3118"/>
      <c r="G430" s="3118"/>
      <c r="H430" s="3118"/>
      <c r="I430" s="3118"/>
      <c r="J430" s="3118"/>
      <c r="K430" s="3118"/>
      <c r="L430" s="3118"/>
      <c r="M430" s="3118"/>
      <c r="N430" s="3118"/>
      <c r="O430" s="3118"/>
      <c r="P430" s="3118"/>
      <c r="Q430" s="3118"/>
      <c r="R430" s="3118"/>
      <c r="S430" s="3118"/>
      <c r="T430" s="3118"/>
      <c r="U430" s="3118"/>
      <c r="V430" s="3118"/>
      <c r="W430" s="3118"/>
      <c r="X430" s="3118"/>
      <c r="Y430" s="3118"/>
      <c r="Z430" s="3118"/>
      <c r="AA430" s="3118"/>
      <c r="AB430" s="3118"/>
      <c r="AC430" s="3118"/>
      <c r="AD430" s="921"/>
      <c r="AE430" s="921"/>
      <c r="AF430" s="3217" t="s">
        <v>1676</v>
      </c>
      <c r="AG430" s="3217"/>
      <c r="AH430" s="3217"/>
      <c r="AI430" s="3217"/>
      <c r="AJ430" s="3217"/>
      <c r="AK430" s="3217"/>
      <c r="AL430" s="3217"/>
      <c r="AN430" s="994"/>
    </row>
    <row r="431" spans="1:42" s="937" customFormat="1" ht="12.75" customHeight="1">
      <c r="A431" s="1109"/>
      <c r="B431" s="1017"/>
      <c r="C431" s="1650"/>
      <c r="D431" s="1100"/>
      <c r="E431" s="3118"/>
      <c r="F431" s="3118"/>
      <c r="G431" s="3118"/>
      <c r="H431" s="3118"/>
      <c r="I431" s="3118"/>
      <c r="J431" s="3118"/>
      <c r="K431" s="3118"/>
      <c r="L431" s="3118"/>
      <c r="M431" s="3118"/>
      <c r="N431" s="3118"/>
      <c r="O431" s="3118"/>
      <c r="P431" s="3118"/>
      <c r="Q431" s="3118"/>
      <c r="R431" s="3118"/>
      <c r="S431" s="3118"/>
      <c r="T431" s="3118"/>
      <c r="U431" s="3118"/>
      <c r="V431" s="3118"/>
      <c r="W431" s="3118"/>
      <c r="X431" s="3118"/>
      <c r="Y431" s="3118"/>
      <c r="Z431" s="3118"/>
      <c r="AA431" s="3118"/>
      <c r="AB431" s="3118"/>
      <c r="AC431" s="3118"/>
      <c r="AD431" s="921"/>
      <c r="AE431" s="1590"/>
      <c r="AF431" s="1590"/>
      <c r="AG431" s="1590"/>
      <c r="AH431" s="1590"/>
      <c r="AI431" s="1590"/>
      <c r="AJ431" s="1590"/>
      <c r="AK431" s="1590"/>
      <c r="AL431" s="1590"/>
      <c r="AM431" s="1059"/>
      <c r="AN431" s="994"/>
    </row>
    <row r="432" spans="1:42" s="937" customFormat="1" ht="12.75" customHeight="1">
      <c r="A432" s="1109"/>
      <c r="B432" s="1017"/>
      <c r="C432" s="1650"/>
      <c r="D432" s="1100"/>
      <c r="E432" s="3118"/>
      <c r="F432" s="3118"/>
      <c r="G432" s="3118"/>
      <c r="H432" s="3118"/>
      <c r="I432" s="3118"/>
      <c r="J432" s="3118"/>
      <c r="K432" s="3118"/>
      <c r="L432" s="3118"/>
      <c r="M432" s="3118"/>
      <c r="N432" s="3118"/>
      <c r="O432" s="3118"/>
      <c r="P432" s="3118"/>
      <c r="Q432" s="3118"/>
      <c r="R432" s="3118"/>
      <c r="S432" s="3118"/>
      <c r="T432" s="3118"/>
      <c r="U432" s="3118"/>
      <c r="V432" s="3118"/>
      <c r="W432" s="3118"/>
      <c r="X432" s="3118"/>
      <c r="Y432" s="3118"/>
      <c r="Z432" s="3118"/>
      <c r="AA432" s="3118"/>
      <c r="AB432" s="3118"/>
      <c r="AC432" s="3118"/>
      <c r="AD432" s="921"/>
      <c r="AE432" s="1590"/>
      <c r="AF432" s="1590"/>
      <c r="AG432" s="1590"/>
      <c r="AH432" s="1590"/>
      <c r="AI432" s="1590"/>
      <c r="AJ432" s="1590"/>
      <c r="AK432" s="1590"/>
      <c r="AL432" s="1590"/>
      <c r="AM432" s="1059"/>
      <c r="AN432" s="994"/>
    </row>
    <row r="433" spans="1:42" s="937" customFormat="1" ht="12.75" customHeight="1">
      <c r="A433" s="1054"/>
      <c r="B433" s="1000"/>
      <c r="C433" s="1631"/>
      <c r="D433" s="1100"/>
      <c r="E433" s="1072"/>
      <c r="F433" s="1072"/>
      <c r="G433" s="1072"/>
      <c r="H433" s="1072"/>
      <c r="I433" s="1072"/>
      <c r="J433" s="1072"/>
      <c r="K433" s="1072"/>
      <c r="L433" s="1072"/>
      <c r="M433" s="1072"/>
      <c r="N433" s="1072"/>
      <c r="O433" s="1072"/>
      <c r="P433" s="1072"/>
      <c r="Q433" s="1072"/>
      <c r="R433" s="1072"/>
      <c r="S433" s="1072"/>
      <c r="T433" s="1072"/>
      <c r="U433" s="1072"/>
      <c r="V433" s="1072"/>
      <c r="W433" s="1072"/>
      <c r="X433" s="1072"/>
      <c r="Y433" s="1072"/>
      <c r="Z433" s="1072"/>
      <c r="AA433" s="1072"/>
      <c r="AB433" s="1072"/>
      <c r="AC433" s="926"/>
      <c r="AD433" s="926"/>
      <c r="AE433" s="921"/>
      <c r="AF433" s="921"/>
      <c r="AG433" s="921"/>
      <c r="AH433" s="921"/>
      <c r="AI433" s="921"/>
      <c r="AJ433" s="921"/>
      <c r="AK433" s="921"/>
      <c r="AL433" s="1590"/>
      <c r="AM433" s="1059"/>
      <c r="AN433" s="994"/>
    </row>
    <row r="434" spans="1:42" s="937" customFormat="1" ht="12.75" customHeight="1">
      <c r="A434" s="1054"/>
      <c r="B434" s="1017"/>
      <c r="C434" s="1634"/>
      <c r="D434" s="1100" t="s">
        <v>1675</v>
      </c>
      <c r="E434" s="3118" t="s">
        <v>1701</v>
      </c>
      <c r="F434" s="3118"/>
      <c r="G434" s="3118"/>
      <c r="H434" s="3118"/>
      <c r="I434" s="3118"/>
      <c r="J434" s="3118"/>
      <c r="K434" s="3118"/>
      <c r="L434" s="3118"/>
      <c r="M434" s="3118"/>
      <c r="N434" s="3118"/>
      <c r="O434" s="3118"/>
      <c r="P434" s="3118"/>
      <c r="Q434" s="3118"/>
      <c r="R434" s="3118"/>
      <c r="S434" s="3118"/>
      <c r="T434" s="3118"/>
      <c r="U434" s="3118"/>
      <c r="V434" s="3118"/>
      <c r="W434" s="3118"/>
      <c r="X434" s="3118"/>
      <c r="Y434" s="3118"/>
      <c r="Z434" s="3118"/>
      <c r="AA434" s="3118"/>
      <c r="AB434" s="3118"/>
      <c r="AC434" s="3118"/>
      <c r="AD434" s="921"/>
      <c r="AE434" s="921"/>
      <c r="AF434" s="3217" t="s">
        <v>1621</v>
      </c>
      <c r="AG434" s="3217"/>
      <c r="AH434" s="3217"/>
      <c r="AI434" s="3217"/>
      <c r="AJ434" s="3217"/>
      <c r="AK434" s="3217"/>
      <c r="AL434" s="3217"/>
      <c r="AM434" s="1059"/>
      <c r="AN434" s="994"/>
    </row>
    <row r="435" spans="1:42" s="937" customFormat="1" ht="12.75" customHeight="1">
      <c r="A435" s="1054"/>
      <c r="B435" s="1017"/>
      <c r="C435" s="1634"/>
      <c r="D435" s="1100"/>
      <c r="E435" s="3118"/>
      <c r="F435" s="3118"/>
      <c r="G435" s="3118"/>
      <c r="H435" s="3118"/>
      <c r="I435" s="3118"/>
      <c r="J435" s="3118"/>
      <c r="K435" s="3118"/>
      <c r="L435" s="3118"/>
      <c r="M435" s="3118"/>
      <c r="N435" s="3118"/>
      <c r="O435" s="3118"/>
      <c r="P435" s="3118"/>
      <c r="Q435" s="3118"/>
      <c r="R435" s="3118"/>
      <c r="S435" s="3118"/>
      <c r="T435" s="3118"/>
      <c r="U435" s="3118"/>
      <c r="V435" s="3118"/>
      <c r="W435" s="3118"/>
      <c r="X435" s="3118"/>
      <c r="Y435" s="3118"/>
      <c r="Z435" s="3118"/>
      <c r="AA435" s="3118"/>
      <c r="AB435" s="3118"/>
      <c r="AC435" s="3118"/>
      <c r="AD435" s="921"/>
      <c r="AE435" s="1000"/>
      <c r="AF435" s="1000"/>
      <c r="AG435" s="921"/>
      <c r="AH435" s="1000"/>
      <c r="AI435" s="1000"/>
      <c r="AJ435" s="1000"/>
      <c r="AK435" s="1000"/>
      <c r="AL435" s="1000"/>
      <c r="AM435" s="1059"/>
      <c r="AN435" s="994"/>
    </row>
    <row r="436" spans="1:42" s="937" customFormat="1" ht="12.75" customHeight="1">
      <c r="A436" s="1054"/>
      <c r="B436" s="1017"/>
      <c r="C436" s="1634"/>
      <c r="D436" s="1100"/>
      <c r="E436" s="3118"/>
      <c r="F436" s="3118"/>
      <c r="G436" s="3118"/>
      <c r="H436" s="3118"/>
      <c r="I436" s="3118"/>
      <c r="J436" s="3118"/>
      <c r="K436" s="3118"/>
      <c r="L436" s="3118"/>
      <c r="M436" s="3118"/>
      <c r="N436" s="3118"/>
      <c r="O436" s="3118"/>
      <c r="P436" s="3118"/>
      <c r="Q436" s="3118"/>
      <c r="R436" s="3118"/>
      <c r="S436" s="3118"/>
      <c r="T436" s="3118"/>
      <c r="U436" s="3118"/>
      <c r="V436" s="3118"/>
      <c r="W436" s="3118"/>
      <c r="X436" s="3118"/>
      <c r="Y436" s="3118"/>
      <c r="Z436" s="3118"/>
      <c r="AA436" s="3118"/>
      <c r="AB436" s="3118"/>
      <c r="AC436" s="3118"/>
      <c r="AD436" s="921"/>
      <c r="AE436" s="1000"/>
      <c r="AF436" s="1000"/>
      <c r="AG436" s="921"/>
      <c r="AH436" s="1000"/>
      <c r="AI436" s="1000"/>
      <c r="AJ436" s="1000"/>
      <c r="AK436" s="1000"/>
      <c r="AL436" s="1000"/>
      <c r="AM436" s="1059"/>
      <c r="AN436" s="994"/>
    </row>
    <row r="437" spans="1:42" s="996" customFormat="1" ht="12.75" customHeight="1">
      <c r="A437" s="1054"/>
      <c r="B437" s="921"/>
      <c r="C437" s="1651"/>
      <c r="D437" s="1100"/>
      <c r="E437" s="921"/>
      <c r="F437" s="921"/>
      <c r="G437" s="921"/>
      <c r="H437" s="921"/>
      <c r="I437" s="921"/>
      <c r="J437" s="921"/>
      <c r="K437" s="921"/>
      <c r="L437" s="921"/>
      <c r="M437" s="921"/>
      <c r="N437" s="921"/>
      <c r="O437" s="921"/>
      <c r="P437" s="921"/>
      <c r="Q437" s="921"/>
      <c r="R437" s="921"/>
      <c r="S437" s="921"/>
      <c r="T437" s="921"/>
      <c r="U437" s="921"/>
      <c r="V437" s="921"/>
      <c r="W437" s="921"/>
      <c r="X437" s="921"/>
      <c r="Y437" s="921"/>
      <c r="Z437" s="921"/>
      <c r="AA437" s="921"/>
      <c r="AB437" s="921"/>
      <c r="AC437" s="921"/>
      <c r="AD437" s="921"/>
      <c r="AE437" s="921"/>
      <c r="AF437" s="924"/>
      <c r="AG437" s="924"/>
      <c r="AH437" s="924"/>
      <c r="AI437" s="924"/>
      <c r="AJ437" s="924"/>
      <c r="AK437" s="924"/>
      <c r="AL437" s="924"/>
      <c r="AM437" s="1059"/>
      <c r="AN437" s="995"/>
    </row>
    <row r="438" spans="1:42" s="937" customFormat="1" ht="12.75" customHeight="1">
      <c r="A438" s="1120"/>
      <c r="B438" s="1000"/>
      <c r="C438" s="1631"/>
      <c r="D438" s="1100" t="s">
        <v>1686</v>
      </c>
      <c r="E438" s="3118" t="s">
        <v>1702</v>
      </c>
      <c r="F438" s="3118"/>
      <c r="G438" s="3118"/>
      <c r="H438" s="3118"/>
      <c r="I438" s="3118"/>
      <c r="J438" s="3118"/>
      <c r="K438" s="3118"/>
      <c r="L438" s="3118"/>
      <c r="M438" s="3118"/>
      <c r="N438" s="3118"/>
      <c r="O438" s="3118"/>
      <c r="P438" s="3118"/>
      <c r="Q438" s="3118"/>
      <c r="R438" s="3118"/>
      <c r="S438" s="3118"/>
      <c r="T438" s="3118"/>
      <c r="U438" s="3118"/>
      <c r="V438" s="3118"/>
      <c r="W438" s="3118"/>
      <c r="X438" s="3118"/>
      <c r="Y438" s="3118"/>
      <c r="Z438" s="3118"/>
      <c r="AA438" s="3118"/>
      <c r="AB438" s="3118"/>
      <c r="AC438" s="3118"/>
      <c r="AD438" s="921"/>
      <c r="AE438" s="921"/>
      <c r="AF438" s="3217" t="s">
        <v>1685</v>
      </c>
      <c r="AG438" s="3217"/>
      <c r="AH438" s="3217"/>
      <c r="AI438" s="3217"/>
      <c r="AJ438" s="3217"/>
      <c r="AK438" s="3217"/>
      <c r="AL438" s="3217"/>
      <c r="AM438" s="1059"/>
      <c r="AN438" s="994"/>
    </row>
    <row r="439" spans="1:42" s="937" customFormat="1" ht="12.75" customHeight="1">
      <c r="A439" s="1593"/>
      <c r="B439" s="1000"/>
      <c r="C439" s="1631"/>
      <c r="D439" s="1100"/>
      <c r="E439" s="3118"/>
      <c r="F439" s="3118"/>
      <c r="G439" s="3118"/>
      <c r="H439" s="3118"/>
      <c r="I439" s="3118"/>
      <c r="J439" s="3118"/>
      <c r="K439" s="3118"/>
      <c r="L439" s="3118"/>
      <c r="M439" s="3118"/>
      <c r="N439" s="3118"/>
      <c r="O439" s="3118"/>
      <c r="P439" s="3118"/>
      <c r="Q439" s="3118"/>
      <c r="R439" s="3118"/>
      <c r="S439" s="3118"/>
      <c r="T439" s="3118"/>
      <c r="U439" s="3118"/>
      <c r="V439" s="3118"/>
      <c r="W439" s="3118"/>
      <c r="X439" s="3118"/>
      <c r="Y439" s="3118"/>
      <c r="Z439" s="3118"/>
      <c r="AA439" s="3118"/>
      <c r="AB439" s="3118"/>
      <c r="AC439" s="3118"/>
      <c r="AD439" s="921"/>
      <c r="AE439" s="921"/>
      <c r="AF439" s="1590"/>
      <c r="AG439" s="1590"/>
      <c r="AH439" s="1590"/>
      <c r="AI439" s="1590"/>
      <c r="AJ439" s="1590"/>
      <c r="AK439" s="1590"/>
      <c r="AL439" s="1590"/>
      <c r="AM439" s="1059"/>
      <c r="AN439" s="994"/>
    </row>
    <row r="440" spans="1:42" s="937" customFormat="1" ht="12.75" customHeight="1">
      <c r="A440" s="1120"/>
      <c r="B440" s="1000"/>
      <c r="C440" s="1631"/>
      <c r="D440" s="1100"/>
      <c r="E440" s="3118"/>
      <c r="F440" s="3118"/>
      <c r="G440" s="3118"/>
      <c r="H440" s="3118"/>
      <c r="I440" s="3118"/>
      <c r="J440" s="3118"/>
      <c r="K440" s="3118"/>
      <c r="L440" s="3118"/>
      <c r="M440" s="3118"/>
      <c r="N440" s="3118"/>
      <c r="O440" s="3118"/>
      <c r="P440" s="3118"/>
      <c r="Q440" s="3118"/>
      <c r="R440" s="3118"/>
      <c r="S440" s="3118"/>
      <c r="T440" s="3118"/>
      <c r="U440" s="3118"/>
      <c r="V440" s="3118"/>
      <c r="W440" s="3118"/>
      <c r="X440" s="3118"/>
      <c r="Y440" s="3118"/>
      <c r="Z440" s="3118"/>
      <c r="AA440" s="3118"/>
      <c r="AB440" s="3118"/>
      <c r="AC440" s="3118"/>
      <c r="AD440" s="921"/>
      <c r="AE440" s="1590"/>
      <c r="AF440" s="1590"/>
      <c r="AG440" s="1590"/>
      <c r="AH440" s="1590"/>
      <c r="AI440" s="1590"/>
      <c r="AJ440" s="1590"/>
      <c r="AK440" s="1590"/>
      <c r="AL440" s="1590"/>
      <c r="AM440" s="1059"/>
      <c r="AN440" s="994"/>
    </row>
    <row r="441" spans="1:42" s="937" customFormat="1" ht="12.75" customHeight="1">
      <c r="A441" s="1120"/>
      <c r="B441" s="1000"/>
      <c r="C441" s="1631"/>
      <c r="D441" s="1100"/>
      <c r="E441" s="1072"/>
      <c r="F441" s="1072"/>
      <c r="G441" s="1072"/>
      <c r="H441" s="1072"/>
      <c r="I441" s="1072"/>
      <c r="J441" s="1072"/>
      <c r="K441" s="1072"/>
      <c r="L441" s="1072"/>
      <c r="M441" s="1072"/>
      <c r="N441" s="1072"/>
      <c r="O441" s="1072"/>
      <c r="P441" s="1072"/>
      <c r="Q441" s="1072"/>
      <c r="R441" s="1072"/>
      <c r="S441" s="1072"/>
      <c r="T441" s="1072"/>
      <c r="U441" s="1072"/>
      <c r="V441" s="1072"/>
      <c r="W441" s="1072"/>
      <c r="X441" s="1072"/>
      <c r="Y441" s="1072"/>
      <c r="Z441" s="1072"/>
      <c r="AA441" s="1072"/>
      <c r="AB441" s="1072"/>
      <c r="AC441" s="1072"/>
      <c r="AD441" s="921"/>
      <c r="AE441" s="1590"/>
      <c r="AF441" s="921"/>
      <c r="AG441" s="921"/>
      <c r="AH441" s="921"/>
      <c r="AI441" s="921"/>
      <c r="AJ441" s="921"/>
      <c r="AK441" s="921"/>
      <c r="AL441" s="921"/>
      <c r="AM441" s="1059"/>
      <c r="AN441" s="994"/>
      <c r="AO441" s="937" t="s">
        <v>626</v>
      </c>
      <c r="AP441" s="1125">
        <v>0</v>
      </c>
    </row>
    <row r="442" spans="1:42" s="937" customFormat="1" ht="12.75" customHeight="1">
      <c r="A442" s="1120"/>
      <c r="B442" s="1000"/>
      <c r="C442" s="1631"/>
      <c r="D442" s="1100" t="s">
        <v>1688</v>
      </c>
      <c r="E442" s="3118" t="s">
        <v>1703</v>
      </c>
      <c r="F442" s="3118"/>
      <c r="G442" s="3118"/>
      <c r="H442" s="3118"/>
      <c r="I442" s="3118"/>
      <c r="J442" s="3118"/>
      <c r="K442" s="3118"/>
      <c r="L442" s="3118"/>
      <c r="M442" s="3118"/>
      <c r="N442" s="3118"/>
      <c r="O442" s="3118"/>
      <c r="P442" s="3118"/>
      <c r="Q442" s="3118"/>
      <c r="R442" s="3118"/>
      <c r="S442" s="3118"/>
      <c r="T442" s="3118"/>
      <c r="U442" s="3118"/>
      <c r="V442" s="3118"/>
      <c r="W442" s="3118"/>
      <c r="X442" s="3118"/>
      <c r="Y442" s="3118"/>
      <c r="Z442" s="3118"/>
      <c r="AA442" s="3118"/>
      <c r="AB442" s="3118"/>
      <c r="AC442" s="3118"/>
      <c r="AD442" s="921"/>
      <c r="AE442" s="921"/>
      <c r="AF442" s="3217" t="s">
        <v>1704</v>
      </c>
      <c r="AG442" s="3217"/>
      <c r="AH442" s="3217"/>
      <c r="AI442" s="3217"/>
      <c r="AJ442" s="3217"/>
      <c r="AK442" s="3217"/>
      <c r="AL442" s="3217"/>
      <c r="AM442" s="1059"/>
      <c r="AN442" s="994"/>
      <c r="AO442" s="1112" t="s">
        <v>725</v>
      </c>
      <c r="AP442" s="937">
        <v>3</v>
      </c>
    </row>
    <row r="443" spans="1:42" s="937" customFormat="1" ht="12.75" customHeight="1">
      <c r="A443" s="1593"/>
      <c r="B443" s="1000"/>
      <c r="C443" s="1631"/>
      <c r="D443" s="1100"/>
      <c r="E443" s="3118"/>
      <c r="F443" s="3118"/>
      <c r="G443" s="3118"/>
      <c r="H443" s="3118"/>
      <c r="I443" s="3118"/>
      <c r="J443" s="3118"/>
      <c r="K443" s="3118"/>
      <c r="L443" s="3118"/>
      <c r="M443" s="3118"/>
      <c r="N443" s="3118"/>
      <c r="O443" s="3118"/>
      <c r="P443" s="3118"/>
      <c r="Q443" s="3118"/>
      <c r="R443" s="3118"/>
      <c r="S443" s="3118"/>
      <c r="T443" s="3118"/>
      <c r="U443" s="3118"/>
      <c r="V443" s="3118"/>
      <c r="W443" s="3118"/>
      <c r="X443" s="3118"/>
      <c r="Y443" s="3118"/>
      <c r="Z443" s="3118"/>
      <c r="AA443" s="3118"/>
      <c r="AB443" s="3118"/>
      <c r="AC443" s="3118"/>
      <c r="AD443" s="921"/>
      <c r="AE443" s="921"/>
      <c r="AF443" s="1590"/>
      <c r="AG443" s="1590"/>
      <c r="AH443" s="1590"/>
      <c r="AI443" s="1590"/>
      <c r="AJ443" s="1590"/>
      <c r="AK443" s="1590"/>
      <c r="AL443" s="1590"/>
      <c r="AM443" s="1059"/>
      <c r="AN443" s="994"/>
      <c r="AO443" s="1112" t="s">
        <v>542</v>
      </c>
      <c r="AP443" s="937">
        <v>2</v>
      </c>
    </row>
    <row r="444" spans="1:42" s="937" customFormat="1" ht="12.75" customHeight="1">
      <c r="A444" s="1120"/>
      <c r="B444" s="1000"/>
      <c r="C444" s="1631"/>
      <c r="D444" s="1100"/>
      <c r="E444" s="3118"/>
      <c r="F444" s="3118"/>
      <c r="G444" s="3118"/>
      <c r="H444" s="3118"/>
      <c r="I444" s="3118"/>
      <c r="J444" s="3118"/>
      <c r="K444" s="3118"/>
      <c r="L444" s="3118"/>
      <c r="M444" s="3118"/>
      <c r="N444" s="3118"/>
      <c r="O444" s="3118"/>
      <c r="P444" s="3118"/>
      <c r="Q444" s="3118"/>
      <c r="R444" s="3118"/>
      <c r="S444" s="3118"/>
      <c r="T444" s="3118"/>
      <c r="U444" s="3118"/>
      <c r="V444" s="3118"/>
      <c r="W444" s="3118"/>
      <c r="X444" s="3118"/>
      <c r="Y444" s="3118"/>
      <c r="Z444" s="3118"/>
      <c r="AA444" s="3118"/>
      <c r="AB444" s="3118"/>
      <c r="AC444" s="3118"/>
      <c r="AD444" s="921"/>
      <c r="AE444" s="1590"/>
      <c r="AF444" s="1590"/>
      <c r="AG444" s="1590"/>
      <c r="AH444" s="1590"/>
      <c r="AI444" s="1590"/>
      <c r="AJ444" s="1590"/>
      <c r="AK444" s="1590"/>
      <c r="AL444" s="1590"/>
      <c r="AM444" s="1059"/>
      <c r="AN444" s="994"/>
    </row>
    <row r="445" spans="1:42" s="937" customFormat="1" ht="12.75" customHeight="1">
      <c r="A445" s="1109"/>
      <c r="B445" s="1017"/>
      <c r="C445" s="1650"/>
      <c r="D445" s="1100"/>
      <c r="E445" s="1591"/>
      <c r="F445" s="1591"/>
      <c r="G445" s="1591"/>
      <c r="H445" s="1591"/>
      <c r="I445" s="1591"/>
      <c r="J445" s="1591"/>
      <c r="K445" s="1591"/>
      <c r="L445" s="1591"/>
      <c r="M445" s="1591"/>
      <c r="N445" s="1591"/>
      <c r="O445" s="1591"/>
      <c r="P445" s="1591"/>
      <c r="Q445" s="1591"/>
      <c r="R445" s="1591"/>
      <c r="S445" s="1591"/>
      <c r="T445" s="1591"/>
      <c r="U445" s="1591"/>
      <c r="V445" s="1591"/>
      <c r="W445" s="1591"/>
      <c r="X445" s="1591"/>
      <c r="Y445" s="1591"/>
      <c r="Z445" s="1591"/>
      <c r="AA445" s="1591"/>
      <c r="AB445" s="1591"/>
      <c r="AC445" s="1591"/>
      <c r="AD445" s="921"/>
      <c r="AE445" s="1590"/>
      <c r="AF445" s="1590"/>
      <c r="AG445" s="1590"/>
      <c r="AH445" s="1590"/>
      <c r="AI445" s="1590"/>
      <c r="AJ445" s="1590"/>
      <c r="AK445" s="1590"/>
      <c r="AL445" s="1590"/>
      <c r="AM445" s="1059"/>
      <c r="AN445" s="994"/>
    </row>
    <row r="446" spans="1:42" s="937" customFormat="1" ht="12.75" customHeight="1">
      <c r="A446" s="1120"/>
      <c r="B446" s="1000"/>
      <c r="C446" s="1631"/>
      <c r="D446" s="1017" t="s">
        <v>1677</v>
      </c>
      <c r="E446" s="1637"/>
      <c r="F446" s="1637"/>
      <c r="G446" s="1637"/>
      <c r="H446" s="3117" t="s">
        <v>725</v>
      </c>
      <c r="I446" s="3117"/>
      <c r="J446" s="1029"/>
      <c r="K446" s="1029"/>
      <c r="L446" s="921"/>
      <c r="M446" s="921"/>
      <c r="N446" s="921"/>
      <c r="O446" s="921"/>
      <c r="P446" s="921"/>
      <c r="Q446" s="921"/>
      <c r="R446" s="921"/>
      <c r="S446" s="921"/>
      <c r="T446" s="921"/>
      <c r="U446" s="921"/>
      <c r="V446" s="921"/>
      <c r="W446" s="921"/>
      <c r="X446" s="921"/>
      <c r="Y446" s="921"/>
      <c r="Z446" s="921"/>
      <c r="AA446" s="921"/>
      <c r="AB446" s="921"/>
      <c r="AC446" s="921"/>
      <c r="AD446" s="921"/>
      <c r="AE446" s="921"/>
      <c r="AF446" s="921"/>
      <c r="AG446" s="921"/>
      <c r="AH446" s="921"/>
      <c r="AI446" s="921"/>
      <c r="AJ446" s="921"/>
      <c r="AK446" s="921"/>
      <c r="AL446" s="921"/>
      <c r="AN446" s="994"/>
    </row>
    <row r="447" spans="1:42" s="937" customFormat="1" ht="12.75" customHeight="1">
      <c r="A447" s="1120"/>
      <c r="B447" s="1000"/>
      <c r="C447" s="1631"/>
      <c r="D447" s="1017"/>
      <c r="E447" s="1637"/>
      <c r="F447" s="1637"/>
      <c r="G447" s="1029"/>
      <c r="H447" s="1029"/>
      <c r="I447" s="1029"/>
      <c r="J447" s="1029"/>
      <c r="K447" s="1029"/>
      <c r="L447" s="1029"/>
      <c r="M447" s="1029"/>
      <c r="N447" s="1029"/>
      <c r="O447" s="1029"/>
      <c r="P447" s="1029"/>
      <c r="Q447" s="1029"/>
      <c r="R447" s="1029"/>
      <c r="S447" s="1029"/>
      <c r="T447" s="1029"/>
      <c r="U447" s="1029"/>
      <c r="V447" s="1029"/>
      <c r="W447" s="1029"/>
      <c r="X447" s="1029"/>
      <c r="Y447" s="1029"/>
      <c r="Z447" s="1637"/>
      <c r="AA447" s="1637"/>
      <c r="AB447" s="1637"/>
      <c r="AC447" s="1017"/>
      <c r="AD447" s="1017"/>
      <c r="AE447" s="1017"/>
      <c r="AF447" s="1017"/>
      <c r="AG447" s="1029"/>
      <c r="AH447" s="1029"/>
      <c r="AI447" s="1029"/>
      <c r="AJ447" s="1029"/>
      <c r="AK447" s="1029"/>
      <c r="AL447" s="1029"/>
      <c r="AM447" s="938"/>
      <c r="AN447" s="994"/>
    </row>
    <row r="448" spans="1:42" s="937" customFormat="1" ht="12.75" customHeight="1">
      <c r="A448" s="1126"/>
      <c r="B448" s="1003"/>
      <c r="C448" s="1647"/>
      <c r="D448" s="1013"/>
      <c r="E448" s="1642"/>
      <c r="F448" s="1102"/>
      <c r="G448" s="1102"/>
      <c r="H448" s="1102"/>
      <c r="I448" s="1102"/>
      <c r="J448" s="1102"/>
      <c r="K448" s="1102"/>
      <c r="L448" s="1102"/>
      <c r="M448" s="1102"/>
      <c r="N448" s="1102"/>
      <c r="O448" s="1102"/>
      <c r="P448" s="1102"/>
      <c r="Q448" s="1102"/>
      <c r="R448" s="1102"/>
      <c r="S448" s="1102"/>
      <c r="T448" s="1102"/>
      <c r="U448" s="1102"/>
      <c r="V448" s="1102"/>
      <c r="W448" s="1102"/>
      <c r="X448" s="1102"/>
      <c r="Y448" s="1642"/>
      <c r="Z448" s="1642"/>
      <c r="AA448" s="1642"/>
      <c r="AB448" s="1013"/>
      <c r="AC448" s="1013"/>
      <c r="AD448" s="1013"/>
      <c r="AE448" s="1013"/>
      <c r="AF448" s="1013"/>
      <c r="AG448" s="1013"/>
      <c r="AH448" s="1013"/>
      <c r="AI448" s="953" t="s">
        <v>1705</v>
      </c>
      <c r="AJ448" s="3100">
        <f>VLOOKUP($H$446,$AO$394:$AP$401,2,FALSE)</f>
        <v>5</v>
      </c>
      <c r="AK448" s="3102"/>
      <c r="AL448" s="999"/>
      <c r="AM448" s="996"/>
      <c r="AN448" s="994"/>
    </row>
    <row r="449" spans="1:42" s="937" customFormat="1" ht="12.75" customHeight="1">
      <c r="A449" s="1120"/>
      <c r="B449" s="1000"/>
      <c r="C449" s="1631"/>
      <c r="D449" s="1017"/>
      <c r="E449" s="1029"/>
      <c r="F449" s="1029"/>
      <c r="G449" s="1029"/>
      <c r="H449" s="1029"/>
      <c r="I449" s="1029"/>
      <c r="J449" s="1029"/>
      <c r="K449" s="1029"/>
      <c r="L449" s="1029"/>
      <c r="M449" s="1029"/>
      <c r="N449" s="1029"/>
      <c r="O449" s="1029"/>
      <c r="P449" s="1029"/>
      <c r="Q449" s="1029"/>
      <c r="R449" s="1029"/>
      <c r="S449" s="1029"/>
      <c r="T449" s="1029"/>
      <c r="U449" s="1029"/>
      <c r="V449" s="1029"/>
      <c r="W449" s="1029"/>
      <c r="X449" s="1029"/>
      <c r="Y449" s="1029"/>
      <c r="Z449" s="1029"/>
      <c r="AA449" s="1029"/>
      <c r="AB449" s="1029"/>
      <c r="AC449" s="1029"/>
      <c r="AD449" s="1592"/>
      <c r="AE449" s="1000"/>
      <c r="AF449" s="1000"/>
      <c r="AG449" s="1000"/>
      <c r="AH449" s="1000"/>
      <c r="AI449" s="1000"/>
      <c r="AJ449" s="985"/>
      <c r="AK449" s="1017"/>
      <c r="AL449" s="1017"/>
      <c r="AM449" s="1054"/>
      <c r="AN449" s="994"/>
    </row>
    <row r="450" spans="1:42" s="937" customFormat="1" ht="12.75" customHeight="1">
      <c r="A450" s="1120"/>
      <c r="B450" s="921"/>
      <c r="C450" s="980" t="s">
        <v>1706</v>
      </c>
      <c r="D450" s="1652"/>
      <c r="E450" s="1029"/>
      <c r="F450" s="1029"/>
      <c r="G450" s="1029"/>
      <c r="H450" s="1029"/>
      <c r="I450" s="1029"/>
      <c r="J450" s="1029"/>
      <c r="K450" s="1029"/>
      <c r="L450" s="1029"/>
      <c r="M450" s="1029"/>
      <c r="N450" s="1029"/>
      <c r="O450" s="1029"/>
      <c r="P450" s="1029"/>
      <c r="Q450" s="1029"/>
      <c r="R450" s="1029"/>
      <c r="S450" s="1029"/>
      <c r="T450" s="1029"/>
      <c r="U450" s="1029"/>
      <c r="V450" s="1029"/>
      <c r="W450" s="1029"/>
      <c r="X450" s="1029"/>
      <c r="Y450" s="1029"/>
      <c r="Z450" s="1029"/>
      <c r="AA450" s="1029"/>
      <c r="AB450" s="1029"/>
      <c r="AC450" s="1029"/>
      <c r="AD450" s="1592"/>
      <c r="AE450" s="1000"/>
      <c r="AF450" s="1000"/>
      <c r="AG450" s="1000"/>
      <c r="AH450" s="1000"/>
      <c r="AI450" s="1000"/>
      <c r="AJ450" s="985"/>
      <c r="AK450" s="1017"/>
      <c r="AL450" s="1017"/>
      <c r="AM450" s="1054"/>
      <c r="AN450" s="994"/>
    </row>
    <row r="451" spans="1:42" s="937" customFormat="1" ht="12.75" customHeight="1">
      <c r="A451" s="1120"/>
      <c r="B451" s="985"/>
      <c r="C451" s="1653"/>
      <c r="D451" s="1017"/>
      <c r="E451" s="1017"/>
      <c r="F451" s="1017"/>
      <c r="G451" s="1000"/>
      <c r="H451" s="1000"/>
      <c r="I451" s="1000"/>
      <c r="J451" s="1000"/>
      <c r="K451" s="1000"/>
      <c r="L451" s="1000"/>
      <c r="M451" s="1000"/>
      <c r="N451" s="1000"/>
      <c r="O451" s="1000"/>
      <c r="P451" s="1000"/>
      <c r="Q451" s="1000"/>
      <c r="R451" s="1000"/>
      <c r="S451" s="1000"/>
      <c r="T451" s="1000"/>
      <c r="U451" s="1000"/>
      <c r="V451" s="1000"/>
      <c r="W451" s="1000"/>
      <c r="X451" s="1000"/>
      <c r="Y451" s="1000"/>
      <c r="Z451" s="1000"/>
      <c r="AA451" s="1000"/>
      <c r="AB451" s="1000"/>
      <c r="AC451" s="1000"/>
      <c r="AD451" s="1000"/>
      <c r="AE451" s="1000"/>
      <c r="AF451" s="1000"/>
      <c r="AG451" s="1000"/>
      <c r="AH451" s="1000"/>
      <c r="AI451" s="1000"/>
      <c r="AJ451" s="921"/>
      <c r="AK451" s="1000"/>
      <c r="AL451" s="1000"/>
      <c r="AM451" s="1020"/>
      <c r="AN451" s="994"/>
    </row>
    <row r="452" spans="1:42" s="996" customFormat="1" ht="12.75" customHeight="1">
      <c r="A452" s="1054"/>
      <c r="B452" s="921"/>
      <c r="C452" s="1631"/>
      <c r="D452" s="1100" t="s">
        <v>725</v>
      </c>
      <c r="E452" s="3118" t="s">
        <v>2184</v>
      </c>
      <c r="F452" s="3118"/>
      <c r="G452" s="3118"/>
      <c r="H452" s="3118"/>
      <c r="I452" s="3118"/>
      <c r="J452" s="3118"/>
      <c r="K452" s="3118"/>
      <c r="L452" s="3118"/>
      <c r="M452" s="3118"/>
      <c r="N452" s="3118"/>
      <c r="O452" s="3118"/>
      <c r="P452" s="3118"/>
      <c r="Q452" s="3118"/>
      <c r="R452" s="3118"/>
      <c r="S452" s="3118"/>
      <c r="T452" s="3118"/>
      <c r="U452" s="3118"/>
      <c r="V452" s="3118"/>
      <c r="W452" s="3118"/>
      <c r="X452" s="3118"/>
      <c r="Y452" s="3118"/>
      <c r="Z452" s="3118"/>
      <c r="AA452" s="3118"/>
      <c r="AB452" s="3118"/>
      <c r="AC452" s="921"/>
      <c r="AD452" s="921"/>
      <c r="AE452" s="924"/>
      <c r="AF452" s="3217" t="s">
        <v>1621</v>
      </c>
      <c r="AG452" s="3217"/>
      <c r="AH452" s="3217"/>
      <c r="AI452" s="3217"/>
      <c r="AJ452" s="3217"/>
      <c r="AK452" s="3217"/>
      <c r="AL452" s="3217"/>
      <c r="AM452" s="1020"/>
      <c r="AN452" s="995"/>
    </row>
    <row r="453" spans="1:42" s="996" customFormat="1" ht="12.75" customHeight="1">
      <c r="A453" s="1054"/>
      <c r="B453" s="1017"/>
      <c r="C453" s="1643"/>
      <c r="D453" s="1100"/>
      <c r="E453" s="3118"/>
      <c r="F453" s="3118"/>
      <c r="G453" s="3118"/>
      <c r="H453" s="3118"/>
      <c r="I453" s="3118"/>
      <c r="J453" s="3118"/>
      <c r="K453" s="3118"/>
      <c r="L453" s="3118"/>
      <c r="M453" s="3118"/>
      <c r="N453" s="3118"/>
      <c r="O453" s="3118"/>
      <c r="P453" s="3118"/>
      <c r="Q453" s="3118"/>
      <c r="R453" s="3118"/>
      <c r="S453" s="3118"/>
      <c r="T453" s="3118"/>
      <c r="U453" s="3118"/>
      <c r="V453" s="3118"/>
      <c r="W453" s="3118"/>
      <c r="X453" s="3118"/>
      <c r="Y453" s="3118"/>
      <c r="Z453" s="3118"/>
      <c r="AA453" s="3118"/>
      <c r="AB453" s="3118"/>
      <c r="AC453" s="921"/>
      <c r="AD453" s="921"/>
      <c r="AE453" s="1029"/>
      <c r="AF453" s="924"/>
      <c r="AG453" s="924"/>
      <c r="AH453" s="924"/>
      <c r="AI453" s="924"/>
      <c r="AJ453" s="924"/>
      <c r="AK453" s="924"/>
      <c r="AL453" s="924"/>
      <c r="AM453" s="1020"/>
      <c r="AN453" s="995"/>
      <c r="AO453" s="3221"/>
      <c r="AP453" s="3221"/>
    </row>
    <row r="454" spans="1:42" s="996" customFormat="1" ht="12.75" customHeight="1">
      <c r="A454" s="1054"/>
      <c r="B454" s="1017"/>
      <c r="C454" s="1643"/>
      <c r="D454" s="1100"/>
      <c r="E454" s="3118"/>
      <c r="F454" s="3118"/>
      <c r="G454" s="3118"/>
      <c r="H454" s="3118"/>
      <c r="I454" s="3118"/>
      <c r="J454" s="3118"/>
      <c r="K454" s="3118"/>
      <c r="L454" s="3118"/>
      <c r="M454" s="3118"/>
      <c r="N454" s="3118"/>
      <c r="O454" s="3118"/>
      <c r="P454" s="3118"/>
      <c r="Q454" s="3118"/>
      <c r="R454" s="3118"/>
      <c r="S454" s="3118"/>
      <c r="T454" s="3118"/>
      <c r="U454" s="3118"/>
      <c r="V454" s="3118"/>
      <c r="W454" s="3118"/>
      <c r="X454" s="3118"/>
      <c r="Y454" s="3118"/>
      <c r="Z454" s="3118"/>
      <c r="AA454" s="3118"/>
      <c r="AB454" s="3118"/>
      <c r="AC454" s="921"/>
      <c r="AD454" s="921"/>
      <c r="AE454" s="1029"/>
      <c r="AF454" s="1029"/>
      <c r="AG454" s="1029"/>
      <c r="AH454" s="1029"/>
      <c r="AI454" s="1029"/>
      <c r="AJ454" s="1029"/>
      <c r="AK454" s="1029"/>
      <c r="AL454" s="1029"/>
      <c r="AM454" s="1020"/>
      <c r="AN454" s="995"/>
    </row>
    <row r="455" spans="1:42" s="937" customFormat="1" ht="12.75" customHeight="1">
      <c r="A455" s="1054"/>
      <c r="B455" s="1017"/>
      <c r="C455" s="1643"/>
      <c r="D455" s="1100"/>
      <c r="E455" s="3118"/>
      <c r="F455" s="3118"/>
      <c r="G455" s="3118"/>
      <c r="H455" s="3118"/>
      <c r="I455" s="3118"/>
      <c r="J455" s="3118"/>
      <c r="K455" s="3118"/>
      <c r="L455" s="3118"/>
      <c r="M455" s="3118"/>
      <c r="N455" s="3118"/>
      <c r="O455" s="3118"/>
      <c r="P455" s="3118"/>
      <c r="Q455" s="3118"/>
      <c r="R455" s="3118"/>
      <c r="S455" s="3118"/>
      <c r="T455" s="3118"/>
      <c r="U455" s="3118"/>
      <c r="V455" s="3118"/>
      <c r="W455" s="3118"/>
      <c r="X455" s="3118"/>
      <c r="Y455" s="3118"/>
      <c r="Z455" s="3118"/>
      <c r="AA455" s="3118"/>
      <c r="AB455" s="3118"/>
      <c r="AC455" s="921"/>
      <c r="AD455" s="921"/>
      <c r="AE455" s="1029"/>
      <c r="AF455" s="1029"/>
      <c r="AG455" s="1029"/>
      <c r="AH455" s="1029"/>
      <c r="AI455" s="1029"/>
      <c r="AJ455" s="1029"/>
      <c r="AK455" s="1029"/>
      <c r="AL455" s="1029"/>
      <c r="AM455" s="1020"/>
      <c r="AN455" s="994"/>
      <c r="AO455" s="937" t="s">
        <v>626</v>
      </c>
      <c r="AP455" s="1114">
        <v>0</v>
      </c>
    </row>
    <row r="456" spans="1:42" s="937" customFormat="1" ht="12.75" customHeight="1">
      <c r="A456" s="1054"/>
      <c r="B456" s="1017"/>
      <c r="C456" s="1643"/>
      <c r="D456" s="1100"/>
      <c r="E456" s="963"/>
      <c r="F456" s="963"/>
      <c r="G456" s="963"/>
      <c r="H456" s="963"/>
      <c r="I456" s="963"/>
      <c r="J456" s="963"/>
      <c r="K456" s="963"/>
      <c r="L456" s="963"/>
      <c r="M456" s="963"/>
      <c r="N456" s="963"/>
      <c r="O456" s="963"/>
      <c r="P456" s="963"/>
      <c r="Q456" s="963"/>
      <c r="R456" s="963"/>
      <c r="S456" s="963"/>
      <c r="T456" s="963"/>
      <c r="U456" s="963"/>
      <c r="V456" s="963"/>
      <c r="W456" s="963"/>
      <c r="X456" s="963"/>
      <c r="Y456" s="963"/>
      <c r="Z456" s="963"/>
      <c r="AA456" s="963"/>
      <c r="AB456" s="963"/>
      <c r="AC456" s="921"/>
      <c r="AD456" s="921"/>
      <c r="AE456" s="1029"/>
      <c r="AF456" s="1029"/>
      <c r="AG456" s="1029"/>
      <c r="AH456" s="1029"/>
      <c r="AI456" s="1029"/>
      <c r="AJ456" s="1029"/>
      <c r="AK456" s="1029"/>
      <c r="AL456" s="1029"/>
      <c r="AM456" s="1020"/>
      <c r="AN456" s="994"/>
      <c r="AO456" s="1112" t="s">
        <v>725</v>
      </c>
      <c r="AP456" s="937">
        <v>2</v>
      </c>
    </row>
    <row r="457" spans="1:42" s="937" customFormat="1" ht="12.75" customHeight="1">
      <c r="A457" s="1054"/>
      <c r="B457" s="1000"/>
      <c r="C457" s="1631"/>
      <c r="D457" s="1100" t="s">
        <v>542</v>
      </c>
      <c r="E457" s="3118" t="s">
        <v>2186</v>
      </c>
      <c r="F457" s="3118"/>
      <c r="G457" s="3118"/>
      <c r="H457" s="3118"/>
      <c r="I457" s="3118"/>
      <c r="J457" s="3118"/>
      <c r="K457" s="3118"/>
      <c r="L457" s="3118"/>
      <c r="M457" s="3118"/>
      <c r="N457" s="3118"/>
      <c r="O457" s="3118"/>
      <c r="P457" s="3118"/>
      <c r="Q457" s="3118"/>
      <c r="R457" s="3118"/>
      <c r="S457" s="3118"/>
      <c r="T457" s="3118"/>
      <c r="U457" s="3118"/>
      <c r="V457" s="3118"/>
      <c r="W457" s="3118"/>
      <c r="X457" s="3118"/>
      <c r="Y457" s="3118"/>
      <c r="Z457" s="3118"/>
      <c r="AA457" s="3118"/>
      <c r="AB457" s="3118"/>
      <c r="AC457" s="921"/>
      <c r="AD457" s="921"/>
      <c r="AE457" s="921"/>
      <c r="AF457" s="3217" t="s">
        <v>1685</v>
      </c>
      <c r="AG457" s="3217"/>
      <c r="AH457" s="3217"/>
      <c r="AI457" s="3217"/>
      <c r="AJ457" s="3217"/>
      <c r="AK457" s="3217"/>
      <c r="AL457" s="3217"/>
      <c r="AM457" s="1020"/>
      <c r="AN457" s="994"/>
      <c r="AO457" s="1112" t="s">
        <v>542</v>
      </c>
      <c r="AP457" s="937">
        <v>1</v>
      </c>
    </row>
    <row r="458" spans="1:42" s="937" customFormat="1" ht="12" customHeight="1">
      <c r="A458" s="1020"/>
      <c r="B458" s="921"/>
      <c r="C458" s="1651"/>
      <c r="D458" s="921"/>
      <c r="E458" s="3118"/>
      <c r="F458" s="3118"/>
      <c r="G458" s="3118"/>
      <c r="H458" s="3118"/>
      <c r="I458" s="3118"/>
      <c r="J458" s="3118"/>
      <c r="K458" s="3118"/>
      <c r="L458" s="3118"/>
      <c r="M458" s="3118"/>
      <c r="N458" s="3118"/>
      <c r="O458" s="3118"/>
      <c r="P458" s="3118"/>
      <c r="Q458" s="3118"/>
      <c r="R458" s="3118"/>
      <c r="S458" s="3118"/>
      <c r="T458" s="3118"/>
      <c r="U458" s="3118"/>
      <c r="V458" s="3118"/>
      <c r="W458" s="3118"/>
      <c r="X458" s="3118"/>
      <c r="Y458" s="3118"/>
      <c r="Z458" s="3118"/>
      <c r="AA458" s="3118"/>
      <c r="AB458" s="3118"/>
      <c r="AC458" s="921"/>
      <c r="AD458" s="921"/>
      <c r="AE458" s="1029"/>
      <c r="AF458" s="921"/>
      <c r="AG458" s="921"/>
      <c r="AH458" s="921"/>
      <c r="AI458" s="921"/>
      <c r="AJ458" s="921"/>
      <c r="AK458" s="921"/>
      <c r="AL458" s="921"/>
      <c r="AM458" s="1020"/>
      <c r="AN458" s="994"/>
    </row>
    <row r="459" spans="1:42" s="937" customFormat="1" ht="12" customHeight="1">
      <c r="A459" s="1020"/>
      <c r="B459" s="921"/>
      <c r="C459" s="1651"/>
      <c r="D459" s="921"/>
      <c r="E459" s="3118"/>
      <c r="F459" s="3118"/>
      <c r="G459" s="3118"/>
      <c r="H459" s="3118"/>
      <c r="I459" s="3118"/>
      <c r="J459" s="3118"/>
      <c r="K459" s="3118"/>
      <c r="L459" s="3118"/>
      <c r="M459" s="3118"/>
      <c r="N459" s="3118"/>
      <c r="O459" s="3118"/>
      <c r="P459" s="3118"/>
      <c r="Q459" s="3118"/>
      <c r="R459" s="3118"/>
      <c r="S459" s="3118"/>
      <c r="T459" s="3118"/>
      <c r="U459" s="3118"/>
      <c r="V459" s="3118"/>
      <c r="W459" s="3118"/>
      <c r="X459" s="3118"/>
      <c r="Y459" s="3118"/>
      <c r="Z459" s="3118"/>
      <c r="AA459" s="3118"/>
      <c r="AB459" s="3118"/>
      <c r="AC459" s="921"/>
      <c r="AD459" s="921"/>
      <c r="AE459" s="1029"/>
      <c r="AF459" s="921"/>
      <c r="AG459" s="921"/>
      <c r="AH459" s="921"/>
      <c r="AI459" s="921"/>
      <c r="AJ459" s="921"/>
      <c r="AK459" s="921"/>
      <c r="AL459" s="921"/>
      <c r="AM459" s="1020"/>
      <c r="AN459" s="994"/>
    </row>
    <row r="460" spans="1:42" s="1128" customFormat="1" ht="12" customHeight="1">
      <c r="A460" s="1020"/>
      <c r="B460" s="921"/>
      <c r="C460" s="1651"/>
      <c r="D460" s="921"/>
      <c r="E460" s="3118"/>
      <c r="F460" s="3118"/>
      <c r="G460" s="3118"/>
      <c r="H460" s="3118"/>
      <c r="I460" s="3118"/>
      <c r="J460" s="3118"/>
      <c r="K460" s="3118"/>
      <c r="L460" s="3118"/>
      <c r="M460" s="3118"/>
      <c r="N460" s="3118"/>
      <c r="O460" s="3118"/>
      <c r="P460" s="3118"/>
      <c r="Q460" s="3118"/>
      <c r="R460" s="3118"/>
      <c r="S460" s="3118"/>
      <c r="T460" s="3118"/>
      <c r="U460" s="3118"/>
      <c r="V460" s="3118"/>
      <c r="W460" s="3118"/>
      <c r="X460" s="3118"/>
      <c r="Y460" s="3118"/>
      <c r="Z460" s="3118"/>
      <c r="AA460" s="3118"/>
      <c r="AB460" s="3118"/>
      <c r="AC460" s="921"/>
      <c r="AD460" s="921"/>
      <c r="AE460" s="1029"/>
      <c r="AF460" s="1029"/>
      <c r="AG460" s="1029"/>
      <c r="AH460" s="1029"/>
      <c r="AI460" s="1029"/>
      <c r="AJ460" s="921"/>
      <c r="AK460" s="1000"/>
      <c r="AL460" s="1000"/>
      <c r="AM460" s="1020"/>
      <c r="AN460" s="1127"/>
    </row>
    <row r="461" spans="1:42" s="1128" customFormat="1" ht="12" customHeight="1">
      <c r="A461" s="1020"/>
      <c r="B461" s="921"/>
      <c r="C461" s="1651"/>
      <c r="D461" s="921"/>
      <c r="E461" s="1591"/>
      <c r="F461" s="1591"/>
      <c r="G461" s="1591"/>
      <c r="H461" s="1591"/>
      <c r="I461" s="1591"/>
      <c r="J461" s="1591"/>
      <c r="K461" s="1591"/>
      <c r="L461" s="1591"/>
      <c r="M461" s="1591"/>
      <c r="N461" s="1591"/>
      <c r="O461" s="1591"/>
      <c r="P461" s="1591"/>
      <c r="Q461" s="1591"/>
      <c r="R461" s="1591"/>
      <c r="S461" s="1591"/>
      <c r="T461" s="1591"/>
      <c r="U461" s="1591"/>
      <c r="V461" s="1591"/>
      <c r="W461" s="1591"/>
      <c r="X461" s="1591"/>
      <c r="Y461" s="1591"/>
      <c r="Z461" s="1591"/>
      <c r="AA461" s="1591"/>
      <c r="AB461" s="1591"/>
      <c r="AC461" s="921"/>
      <c r="AD461" s="921"/>
      <c r="AE461" s="1029"/>
      <c r="AF461" s="1029"/>
      <c r="AG461" s="1029"/>
      <c r="AH461" s="1029"/>
      <c r="AI461" s="1029"/>
      <c r="AJ461" s="921"/>
      <c r="AK461" s="1000"/>
      <c r="AL461" s="1000"/>
      <c r="AM461" s="1020"/>
      <c r="AN461" s="1127"/>
    </row>
    <row r="462" spans="1:42" s="1128" customFormat="1" ht="12.75" customHeight="1">
      <c r="A462" s="1020"/>
      <c r="B462" s="921"/>
      <c r="C462" s="1651"/>
      <c r="D462" s="921"/>
      <c r="E462" s="3118" t="s">
        <v>2185</v>
      </c>
      <c r="F462" s="3118"/>
      <c r="G462" s="3118"/>
      <c r="H462" s="3118"/>
      <c r="I462" s="3118"/>
      <c r="J462" s="3118"/>
      <c r="K462" s="3118"/>
      <c r="L462" s="3118"/>
      <c r="M462" s="3118"/>
      <c r="N462" s="3118"/>
      <c r="O462" s="3118"/>
      <c r="P462" s="3118"/>
      <c r="Q462" s="3118"/>
      <c r="R462" s="3118"/>
      <c r="S462" s="3118"/>
      <c r="T462" s="3118"/>
      <c r="U462" s="3118"/>
      <c r="V462" s="3118"/>
      <c r="W462" s="3118"/>
      <c r="X462" s="3118"/>
      <c r="Y462" s="3118"/>
      <c r="Z462" s="3118"/>
      <c r="AA462" s="3118"/>
      <c r="AB462" s="3118"/>
      <c r="AC462" s="921"/>
      <c r="AD462" s="921"/>
      <c r="AE462" s="1029"/>
      <c r="AF462" s="1029"/>
      <c r="AG462" s="1029"/>
      <c r="AH462" s="1029"/>
      <c r="AI462" s="1029"/>
      <c r="AJ462" s="921"/>
      <c r="AK462" s="1000"/>
      <c r="AL462" s="1000"/>
      <c r="AM462" s="1020"/>
      <c r="AN462" s="1127"/>
    </row>
    <row r="463" spans="1:42" s="1128" customFormat="1" ht="12.75" customHeight="1">
      <c r="A463" s="1020"/>
      <c r="B463" s="921"/>
      <c r="C463" s="1651"/>
      <c r="D463" s="921"/>
      <c r="E463" s="3118"/>
      <c r="F463" s="3118"/>
      <c r="G463" s="3118"/>
      <c r="H463" s="3118"/>
      <c r="I463" s="3118"/>
      <c r="J463" s="3118"/>
      <c r="K463" s="3118"/>
      <c r="L463" s="3118"/>
      <c r="M463" s="3118"/>
      <c r="N463" s="3118"/>
      <c r="O463" s="3118"/>
      <c r="P463" s="3118"/>
      <c r="Q463" s="3118"/>
      <c r="R463" s="3118"/>
      <c r="S463" s="3118"/>
      <c r="T463" s="3118"/>
      <c r="U463" s="3118"/>
      <c r="V463" s="3118"/>
      <c r="W463" s="3118"/>
      <c r="X463" s="3118"/>
      <c r="Y463" s="3118"/>
      <c r="Z463" s="3118"/>
      <c r="AA463" s="3118"/>
      <c r="AB463" s="3118"/>
      <c r="AC463" s="921"/>
      <c r="AD463" s="921"/>
      <c r="AE463" s="1029"/>
      <c r="AF463" s="1029"/>
      <c r="AG463" s="1029"/>
      <c r="AH463" s="1029"/>
      <c r="AI463" s="1029"/>
      <c r="AJ463" s="921"/>
      <c r="AK463" s="1000"/>
      <c r="AL463" s="1000"/>
      <c r="AM463" s="1020"/>
      <c r="AN463" s="1127"/>
    </row>
    <row r="464" spans="1:42" s="1128" customFormat="1" ht="12.75" customHeight="1">
      <c r="A464" s="1020"/>
      <c r="B464" s="921"/>
      <c r="C464" s="1651"/>
      <c r="D464" s="921"/>
      <c r="E464" s="3118"/>
      <c r="F464" s="3118"/>
      <c r="G464" s="3118"/>
      <c r="H464" s="3118"/>
      <c r="I464" s="3118"/>
      <c r="J464" s="3118"/>
      <c r="K464" s="3118"/>
      <c r="L464" s="3118"/>
      <c r="M464" s="3118"/>
      <c r="N464" s="3118"/>
      <c r="O464" s="3118"/>
      <c r="P464" s="3118"/>
      <c r="Q464" s="3118"/>
      <c r="R464" s="3118"/>
      <c r="S464" s="3118"/>
      <c r="T464" s="3118"/>
      <c r="U464" s="3118"/>
      <c r="V464" s="3118"/>
      <c r="W464" s="3118"/>
      <c r="X464" s="3118"/>
      <c r="Y464" s="3118"/>
      <c r="Z464" s="3118"/>
      <c r="AA464" s="3118"/>
      <c r="AB464" s="3118"/>
      <c r="AC464" s="921"/>
      <c r="AD464" s="921"/>
      <c r="AE464" s="1029"/>
      <c r="AF464" s="1029"/>
      <c r="AG464" s="1029"/>
      <c r="AH464" s="1029"/>
      <c r="AI464" s="1029"/>
      <c r="AJ464" s="921"/>
      <c r="AK464" s="1000"/>
      <c r="AL464" s="1000"/>
      <c r="AM464" s="1020"/>
      <c r="AN464" s="1127"/>
    </row>
    <row r="465" spans="1:43" s="1128" customFormat="1" ht="12.75" customHeight="1">
      <c r="A465" s="1020"/>
      <c r="B465" s="921"/>
      <c r="C465" s="1651"/>
      <c r="D465" s="921"/>
      <c r="E465" s="1591"/>
      <c r="F465" s="1591"/>
      <c r="G465" s="1591"/>
      <c r="H465" s="1591"/>
      <c r="I465" s="1591"/>
      <c r="J465" s="1591"/>
      <c r="K465" s="1591"/>
      <c r="L465" s="1591"/>
      <c r="M465" s="1591"/>
      <c r="N465" s="1591"/>
      <c r="O465" s="1591"/>
      <c r="P465" s="1591"/>
      <c r="Q465" s="1591"/>
      <c r="R465" s="1591"/>
      <c r="S465" s="1591"/>
      <c r="T465" s="1591"/>
      <c r="U465" s="1591"/>
      <c r="V465" s="1591"/>
      <c r="W465" s="1591"/>
      <c r="X465" s="1591"/>
      <c r="Y465" s="1591"/>
      <c r="Z465" s="1591"/>
      <c r="AA465" s="1591"/>
      <c r="AB465" s="1591"/>
      <c r="AC465" s="921"/>
      <c r="AD465" s="921"/>
      <c r="AE465" s="1029"/>
      <c r="AF465" s="1029"/>
      <c r="AG465" s="1029"/>
      <c r="AH465" s="1029"/>
      <c r="AI465" s="1029"/>
      <c r="AJ465" s="921"/>
      <c r="AK465" s="1000"/>
      <c r="AL465" s="1000"/>
      <c r="AM465" s="1020"/>
      <c r="AN465" s="1127"/>
    </row>
    <row r="466" spans="1:43" s="1128" customFormat="1" ht="12.75" customHeight="1">
      <c r="A466" s="1020"/>
      <c r="B466" s="921"/>
      <c r="C466" s="1651"/>
      <c r="D466" s="1017" t="s">
        <v>1677</v>
      </c>
      <c r="E466" s="1637"/>
      <c r="F466" s="1637"/>
      <c r="G466" s="1637"/>
      <c r="H466" s="3117" t="s">
        <v>725</v>
      </c>
      <c r="I466" s="3117"/>
      <c r="J466" s="1591"/>
      <c r="K466" s="1591"/>
      <c r="L466" s="1591"/>
      <c r="M466" s="1591"/>
      <c r="N466" s="1591"/>
      <c r="O466" s="1591"/>
      <c r="P466" s="1591"/>
      <c r="Q466" s="1591"/>
      <c r="R466" s="1591"/>
      <c r="S466" s="1591"/>
      <c r="T466" s="1591"/>
      <c r="U466" s="1591"/>
      <c r="V466" s="1591"/>
      <c r="W466" s="1591"/>
      <c r="X466" s="1591"/>
      <c r="Y466" s="1591"/>
      <c r="Z466" s="1591"/>
      <c r="AA466" s="1591"/>
      <c r="AB466" s="1591"/>
      <c r="AC466" s="921"/>
      <c r="AD466" s="921"/>
      <c r="AE466" s="1029"/>
      <c r="AF466" s="1029"/>
      <c r="AG466" s="1029"/>
      <c r="AH466" s="1029"/>
      <c r="AI466" s="1029"/>
      <c r="AJ466" s="921"/>
      <c r="AK466" s="1000"/>
      <c r="AL466" s="1000"/>
      <c r="AM466" s="1020"/>
      <c r="AN466" s="1127"/>
      <c r="AP466" s="1128" t="s">
        <v>1707</v>
      </c>
    </row>
    <row r="467" spans="1:43" s="1128" customFormat="1">
      <c r="A467" s="1020"/>
      <c r="B467" s="921"/>
      <c r="C467" s="1651"/>
      <c r="D467" s="921"/>
      <c r="E467" s="1591"/>
      <c r="F467" s="1591"/>
      <c r="G467" s="1591"/>
      <c r="H467" s="1591"/>
      <c r="I467" s="1591"/>
      <c r="J467" s="1591"/>
      <c r="K467" s="1591"/>
      <c r="L467" s="1591"/>
      <c r="M467" s="1591"/>
      <c r="N467" s="1591"/>
      <c r="O467" s="1591"/>
      <c r="P467" s="1591"/>
      <c r="Q467" s="1591"/>
      <c r="R467" s="1591"/>
      <c r="S467" s="1591"/>
      <c r="T467" s="1591"/>
      <c r="U467" s="1591"/>
      <c r="V467" s="1591"/>
      <c r="W467" s="1591"/>
      <c r="X467" s="1591"/>
      <c r="Y467" s="1591"/>
      <c r="Z467" s="1591"/>
      <c r="AA467" s="1591"/>
      <c r="AB467" s="1591"/>
      <c r="AC467" s="921"/>
      <c r="AD467" s="921"/>
      <c r="AE467" s="1029"/>
      <c r="AF467" s="1029"/>
      <c r="AG467" s="1029"/>
      <c r="AH467" s="1029"/>
      <c r="AI467" s="1029"/>
      <c r="AJ467" s="921"/>
      <c r="AK467" s="1000"/>
      <c r="AL467" s="1000"/>
      <c r="AM467" s="1020"/>
      <c r="AN467" s="1127"/>
      <c r="AP467" s="1128" t="s">
        <v>1682</v>
      </c>
    </row>
    <row r="468" spans="1:43" s="1128" customFormat="1" ht="12.75" customHeight="1">
      <c r="A468" s="1011"/>
      <c r="B468" s="1003"/>
      <c r="C468" s="1647"/>
      <c r="D468" s="1003"/>
      <c r="E468" s="1003"/>
      <c r="F468" s="1003"/>
      <c r="G468" s="1003"/>
      <c r="H468" s="1003"/>
      <c r="I468" s="1003"/>
      <c r="J468" s="1654"/>
      <c r="K468" s="1654"/>
      <c r="L468" s="1102"/>
      <c r="M468" s="1102"/>
      <c r="N468" s="1102"/>
      <c r="O468" s="1102"/>
      <c r="P468" s="1102"/>
      <c r="Q468" s="1102"/>
      <c r="R468" s="1102"/>
      <c r="S468" s="1102"/>
      <c r="T468" s="1102"/>
      <c r="U468" s="1102"/>
      <c r="V468" s="1102"/>
      <c r="W468" s="1102"/>
      <c r="X468" s="1102"/>
      <c r="Y468" s="1642"/>
      <c r="Z468" s="1642"/>
      <c r="AA468" s="1642"/>
      <c r="AB468" s="1013"/>
      <c r="AC468" s="1013"/>
      <c r="AD468" s="1013"/>
      <c r="AE468" s="1013"/>
      <c r="AF468" s="1013"/>
      <c r="AG468" s="1013"/>
      <c r="AH468" s="1013"/>
      <c r="AI468" s="953" t="s">
        <v>1708</v>
      </c>
      <c r="AJ468" s="3100">
        <f>VLOOKUP($H$466,$AO$413:$AP$415,2,FALSE)</f>
        <v>3</v>
      </c>
      <c r="AK468" s="3102"/>
      <c r="AL468" s="999"/>
      <c r="AM468" s="996"/>
      <c r="AN468" s="1127"/>
      <c r="AP468" s="1128" t="s">
        <v>1689</v>
      </c>
    </row>
    <row r="469" spans="1:43" s="1128" customFormat="1">
      <c r="A469" s="1020"/>
      <c r="B469" s="921"/>
      <c r="C469" s="921"/>
      <c r="D469" s="921"/>
      <c r="E469" s="921"/>
      <c r="F469" s="921"/>
      <c r="G469" s="921"/>
      <c r="H469" s="921"/>
      <c r="I469" s="921"/>
      <c r="J469" s="921"/>
      <c r="K469" s="921"/>
      <c r="L469" s="921"/>
      <c r="M469" s="921"/>
      <c r="N469" s="921"/>
      <c r="O469" s="921"/>
      <c r="P469" s="921"/>
      <c r="Q469" s="921"/>
      <c r="R469" s="921"/>
      <c r="S469" s="921"/>
      <c r="T469" s="921"/>
      <c r="U469" s="921"/>
      <c r="V469" s="921"/>
      <c r="W469" s="921"/>
      <c r="X469" s="921"/>
      <c r="Y469" s="921"/>
      <c r="Z469" s="921"/>
      <c r="AA469" s="921"/>
      <c r="AB469" s="921"/>
      <c r="AC469" s="921"/>
      <c r="AD469" s="921"/>
      <c r="AE469" s="1029"/>
      <c r="AF469" s="1029"/>
      <c r="AG469" s="1029"/>
      <c r="AH469" s="1029"/>
      <c r="AI469" s="1029"/>
      <c r="AJ469" s="921"/>
      <c r="AK469" s="1000"/>
      <c r="AL469" s="1000"/>
      <c r="AM469" s="1020"/>
      <c r="AN469" s="1127"/>
      <c r="AP469" s="1128" t="s">
        <v>1709</v>
      </c>
    </row>
    <row r="470" spans="1:43" s="1128" customFormat="1" ht="12.75" customHeight="1">
      <c r="A470" s="1020"/>
      <c r="B470" s="921"/>
      <c r="C470" s="980" t="s">
        <v>1710</v>
      </c>
      <c r="D470" s="1165"/>
      <c r="E470" s="921"/>
      <c r="F470" s="921"/>
      <c r="G470" s="921"/>
      <c r="H470" s="921"/>
      <c r="I470" s="921"/>
      <c r="J470" s="921"/>
      <c r="K470" s="921"/>
      <c r="L470" s="921"/>
      <c r="M470" s="921"/>
      <c r="N470" s="921"/>
      <c r="O470" s="921"/>
      <c r="P470" s="921"/>
      <c r="Q470" s="921"/>
      <c r="R470" s="921"/>
      <c r="S470" s="921"/>
      <c r="T470" s="921"/>
      <c r="U470" s="921"/>
      <c r="V470" s="921"/>
      <c r="W470" s="921"/>
      <c r="X470" s="921"/>
      <c r="Y470" s="921"/>
      <c r="Z470" s="921"/>
      <c r="AA470" s="921"/>
      <c r="AB470" s="921"/>
      <c r="AC470" s="921"/>
      <c r="AD470" s="921"/>
      <c r="AE470" s="1029"/>
      <c r="AF470" s="1029"/>
      <c r="AG470" s="1029"/>
      <c r="AH470" s="1029"/>
      <c r="AI470" s="1029"/>
      <c r="AJ470" s="921"/>
      <c r="AK470" s="1000"/>
      <c r="AL470" s="1000"/>
      <c r="AM470" s="1020"/>
      <c r="AN470" s="1127"/>
      <c r="AP470" s="1128" t="s">
        <v>1711</v>
      </c>
    </row>
    <row r="471" spans="1:43" s="1128" customFormat="1" ht="12.75" customHeight="1">
      <c r="A471" s="1020"/>
      <c r="B471" s="921"/>
      <c r="C471" s="1651"/>
      <c r="D471" s="921"/>
      <c r="E471" s="921"/>
      <c r="F471" s="921"/>
      <c r="G471" s="921"/>
      <c r="H471" s="921"/>
      <c r="I471" s="921"/>
      <c r="J471" s="921"/>
      <c r="K471" s="921"/>
      <c r="L471" s="921"/>
      <c r="M471" s="921"/>
      <c r="N471" s="921"/>
      <c r="O471" s="921"/>
      <c r="P471" s="921"/>
      <c r="Q471" s="921"/>
      <c r="R471" s="921"/>
      <c r="S471" s="921"/>
      <c r="T471" s="921"/>
      <c r="U471" s="921"/>
      <c r="V471" s="921"/>
      <c r="W471" s="921"/>
      <c r="X471" s="921"/>
      <c r="Y471" s="921"/>
      <c r="Z471" s="921"/>
      <c r="AA471" s="921"/>
      <c r="AB471" s="921"/>
      <c r="AC471" s="921"/>
      <c r="AD471" s="921"/>
      <c r="AE471" s="1029"/>
      <c r="AF471" s="1029"/>
      <c r="AG471" s="1029"/>
      <c r="AH471" s="1029"/>
      <c r="AI471" s="1029"/>
      <c r="AJ471" s="921"/>
      <c r="AK471" s="1000"/>
      <c r="AL471" s="1000"/>
      <c r="AM471" s="1020"/>
      <c r="AN471" s="1127"/>
      <c r="AP471" s="1128" t="s">
        <v>1712</v>
      </c>
    </row>
    <row r="472" spans="1:43" s="1128" customFormat="1" ht="12.75" customHeight="1">
      <c r="A472" s="1113"/>
      <c r="B472" s="921"/>
      <c r="C472" s="1631"/>
      <c r="D472" s="1100" t="s">
        <v>725</v>
      </c>
      <c r="E472" s="3219" t="s">
        <v>2189</v>
      </c>
      <c r="F472" s="3219"/>
      <c r="G472" s="3219"/>
      <c r="H472" s="3219"/>
      <c r="I472" s="3219"/>
      <c r="J472" s="3219"/>
      <c r="K472" s="3219"/>
      <c r="L472" s="3219"/>
      <c r="M472" s="3219"/>
      <c r="N472" s="3219"/>
      <c r="O472" s="3219"/>
      <c r="P472" s="3219"/>
      <c r="Q472" s="3219"/>
      <c r="R472" s="3219"/>
      <c r="S472" s="3219"/>
      <c r="T472" s="3219"/>
      <c r="U472" s="3219"/>
      <c r="V472" s="3219"/>
      <c r="W472" s="3219"/>
      <c r="X472" s="3219"/>
      <c r="Y472" s="3219"/>
      <c r="Z472" s="3219"/>
      <c r="AA472" s="3219"/>
      <c r="AB472" s="3219"/>
      <c r="AC472" s="921"/>
      <c r="AD472" s="921"/>
      <c r="AE472" s="921"/>
      <c r="AF472" s="3217" t="s">
        <v>1621</v>
      </c>
      <c r="AG472" s="3217"/>
      <c r="AH472" s="3217"/>
      <c r="AI472" s="3217"/>
      <c r="AJ472" s="3217"/>
      <c r="AK472" s="3217"/>
      <c r="AL472" s="3217"/>
      <c r="AM472" s="1020"/>
      <c r="AN472" s="1127"/>
      <c r="AP472" s="1129" t="s">
        <v>1713</v>
      </c>
    </row>
    <row r="473" spans="1:43" s="1128" customFormat="1" ht="12" customHeight="1">
      <c r="A473" s="1054"/>
      <c r="B473" s="1017"/>
      <c r="C473" s="1633"/>
      <c r="D473" s="1100"/>
      <c r="E473" s="3219"/>
      <c r="F473" s="3219"/>
      <c r="G473" s="3219"/>
      <c r="H473" s="3219"/>
      <c r="I473" s="3219"/>
      <c r="J473" s="3219"/>
      <c r="K473" s="3219"/>
      <c r="L473" s="3219"/>
      <c r="M473" s="3219"/>
      <c r="N473" s="3219"/>
      <c r="O473" s="3219"/>
      <c r="P473" s="3219"/>
      <c r="Q473" s="3219"/>
      <c r="R473" s="3219"/>
      <c r="S473" s="3219"/>
      <c r="T473" s="3219"/>
      <c r="U473" s="3219"/>
      <c r="V473" s="3219"/>
      <c r="W473" s="3219"/>
      <c r="X473" s="3219"/>
      <c r="Y473" s="3219"/>
      <c r="Z473" s="3219"/>
      <c r="AA473" s="3219"/>
      <c r="AB473" s="3219"/>
      <c r="AC473" s="921"/>
      <c r="AD473" s="921"/>
      <c r="AE473" s="1017"/>
      <c r="AF473" s="921"/>
      <c r="AG473" s="921"/>
      <c r="AH473" s="921"/>
      <c r="AI473" s="921"/>
      <c r="AJ473" s="921"/>
      <c r="AK473" s="921"/>
      <c r="AL473" s="921"/>
      <c r="AM473" s="1020"/>
      <c r="AN473" s="1127"/>
      <c r="AP473" s="1129" t="s">
        <v>1714</v>
      </c>
    </row>
    <row r="474" spans="1:43" s="1128" customFormat="1" ht="13.95" customHeight="1">
      <c r="A474" s="1054"/>
      <c r="B474" s="1018"/>
      <c r="C474" s="1634"/>
      <c r="D474" s="1100"/>
      <c r="E474" s="3219"/>
      <c r="F474" s="3219"/>
      <c r="G474" s="3219"/>
      <c r="H474" s="3219"/>
      <c r="I474" s="3219"/>
      <c r="J474" s="3219"/>
      <c r="K474" s="3219"/>
      <c r="L474" s="3219"/>
      <c r="M474" s="3219"/>
      <c r="N474" s="3219"/>
      <c r="O474" s="3219"/>
      <c r="P474" s="3219"/>
      <c r="Q474" s="3219"/>
      <c r="R474" s="3219"/>
      <c r="S474" s="3219"/>
      <c r="T474" s="3219"/>
      <c r="U474" s="3219"/>
      <c r="V474" s="3219"/>
      <c r="W474" s="3219"/>
      <c r="X474" s="3219"/>
      <c r="Y474" s="3219"/>
      <c r="Z474" s="3219"/>
      <c r="AA474" s="3219"/>
      <c r="AB474" s="3219"/>
      <c r="AC474" s="921"/>
      <c r="AD474" s="921"/>
      <c r="AE474" s="1029"/>
      <c r="AF474" s="921"/>
      <c r="AG474" s="921"/>
      <c r="AH474" s="921"/>
      <c r="AI474" s="921"/>
      <c r="AJ474" s="921"/>
      <c r="AK474" s="921"/>
      <c r="AL474" s="921"/>
      <c r="AM474" s="1020"/>
      <c r="AN474" s="1127"/>
      <c r="AP474" s="1129" t="s">
        <v>1715</v>
      </c>
    </row>
    <row r="475" spans="1:43" s="1128" customFormat="1" ht="13.95" customHeight="1">
      <c r="A475" s="1054"/>
      <c r="B475" s="1018"/>
      <c r="C475" s="1634"/>
      <c r="D475" s="1100"/>
      <c r="E475" s="1637"/>
      <c r="F475" s="1637"/>
      <c r="G475" s="1637"/>
      <c r="H475" s="1637"/>
      <c r="I475" s="1637"/>
      <c r="J475" s="1637"/>
      <c r="K475" s="1637"/>
      <c r="L475" s="1637"/>
      <c r="M475" s="1637"/>
      <c r="N475" s="1637"/>
      <c r="O475" s="1637"/>
      <c r="P475" s="1637"/>
      <c r="Q475" s="1637"/>
      <c r="R475" s="1637"/>
      <c r="S475" s="1637"/>
      <c r="T475" s="1637"/>
      <c r="U475" s="1637"/>
      <c r="V475" s="1637"/>
      <c r="W475" s="1637"/>
      <c r="X475" s="1637"/>
      <c r="Y475" s="1637"/>
      <c r="Z475" s="1637"/>
      <c r="AA475" s="1637"/>
      <c r="AB475" s="1637"/>
      <c r="AC475" s="921"/>
      <c r="AD475" s="921"/>
      <c r="AE475" s="1029"/>
      <c r="AF475" s="921"/>
      <c r="AG475" s="921"/>
      <c r="AH475" s="921"/>
      <c r="AI475" s="921"/>
      <c r="AJ475" s="921"/>
      <c r="AK475" s="921"/>
      <c r="AL475" s="921"/>
      <c r="AM475" s="1020"/>
      <c r="AN475" s="1127"/>
      <c r="AP475" s="1131" t="s">
        <v>1717</v>
      </c>
    </row>
    <row r="476" spans="1:43" s="1128" customFormat="1" ht="13.95" customHeight="1">
      <c r="A476" s="1054"/>
      <c r="B476" s="1000"/>
      <c r="C476" s="1631"/>
      <c r="D476" s="1100" t="s">
        <v>542</v>
      </c>
      <c r="E476" s="3220" t="s">
        <v>1716</v>
      </c>
      <c r="F476" s="3220"/>
      <c r="G476" s="3220"/>
      <c r="H476" s="3220"/>
      <c r="I476" s="3220"/>
      <c r="J476" s="3220"/>
      <c r="K476" s="3220"/>
      <c r="L476" s="3220"/>
      <c r="M476" s="3220"/>
      <c r="N476" s="3220"/>
      <c r="O476" s="3220"/>
      <c r="P476" s="3220"/>
      <c r="Q476" s="3220"/>
      <c r="R476" s="3220"/>
      <c r="S476" s="3220"/>
      <c r="T476" s="3220"/>
      <c r="U476" s="3220"/>
      <c r="V476" s="3220"/>
      <c r="W476" s="3220"/>
      <c r="X476" s="3220"/>
      <c r="Y476" s="3220"/>
      <c r="Z476" s="3220"/>
      <c r="AA476" s="3220"/>
      <c r="AB476" s="3220"/>
      <c r="AC476" s="921"/>
      <c r="AD476" s="921"/>
      <c r="AE476" s="921"/>
      <c r="AF476" s="3217" t="s">
        <v>1685</v>
      </c>
      <c r="AG476" s="3217"/>
      <c r="AH476" s="3217"/>
      <c r="AI476" s="3217"/>
      <c r="AJ476" s="3217"/>
      <c r="AK476" s="3217"/>
      <c r="AL476" s="3217"/>
      <c r="AM476" s="1020"/>
      <c r="AN476" s="1130"/>
    </row>
    <row r="477" spans="1:43" s="1128" customFormat="1" ht="12.75" customHeight="1">
      <c r="A477" s="1054"/>
      <c r="B477" s="1017"/>
      <c r="C477" s="1633"/>
      <c r="D477" s="1017"/>
      <c r="E477" s="3220"/>
      <c r="F477" s="3220"/>
      <c r="G477" s="3220"/>
      <c r="H477" s="3220"/>
      <c r="I477" s="3220"/>
      <c r="J477" s="3220"/>
      <c r="K477" s="3220"/>
      <c r="L477" s="3220"/>
      <c r="M477" s="3220"/>
      <c r="N477" s="3220"/>
      <c r="O477" s="3220"/>
      <c r="P477" s="3220"/>
      <c r="Q477" s="3220"/>
      <c r="R477" s="3220"/>
      <c r="S477" s="3220"/>
      <c r="T477" s="3220"/>
      <c r="U477" s="3220"/>
      <c r="V477" s="3220"/>
      <c r="W477" s="3220"/>
      <c r="X477" s="3220"/>
      <c r="Y477" s="3220"/>
      <c r="Z477" s="3220"/>
      <c r="AA477" s="3220"/>
      <c r="AB477" s="3220"/>
      <c r="AC477" s="1017"/>
      <c r="AD477" s="1017"/>
      <c r="AE477" s="1017"/>
      <c r="AF477" s="1017"/>
      <c r="AG477" s="1017"/>
      <c r="AH477" s="1017"/>
      <c r="AI477" s="1017"/>
      <c r="AJ477" s="921"/>
      <c r="AK477" s="1000"/>
      <c r="AL477" s="1000"/>
      <c r="AM477" s="1020"/>
      <c r="AN477" s="1127"/>
      <c r="AP477" s="937" t="s">
        <v>626</v>
      </c>
      <c r="AQ477" s="1114">
        <v>0</v>
      </c>
    </row>
    <row r="478" spans="1:43" s="1128" customFormat="1" ht="13.95" customHeight="1">
      <c r="A478" s="1054"/>
      <c r="B478" s="1017"/>
      <c r="C478" s="1633"/>
      <c r="D478" s="1017"/>
      <c r="E478" s="3220"/>
      <c r="F478" s="3220"/>
      <c r="G478" s="3220"/>
      <c r="H478" s="3220"/>
      <c r="I478" s="3220"/>
      <c r="J478" s="3220"/>
      <c r="K478" s="3220"/>
      <c r="L478" s="3220"/>
      <c r="M478" s="3220"/>
      <c r="N478" s="3220"/>
      <c r="O478" s="3220"/>
      <c r="P478" s="3220"/>
      <c r="Q478" s="3220"/>
      <c r="R478" s="3220"/>
      <c r="S478" s="3220"/>
      <c r="T478" s="3220"/>
      <c r="U478" s="3220"/>
      <c r="V478" s="3220"/>
      <c r="W478" s="3220"/>
      <c r="X478" s="3220"/>
      <c r="Y478" s="3220"/>
      <c r="Z478" s="3220"/>
      <c r="AA478" s="3220"/>
      <c r="AB478" s="3220"/>
      <c r="AC478" s="1017"/>
      <c r="AD478" s="1017"/>
      <c r="AE478" s="1017"/>
      <c r="AF478" s="1017"/>
      <c r="AG478" s="1017"/>
      <c r="AH478" s="1017"/>
      <c r="AI478" s="1017"/>
      <c r="AJ478" s="921"/>
      <c r="AK478" s="1000"/>
      <c r="AL478" s="1000"/>
      <c r="AM478" s="1020"/>
      <c r="AN478" s="1127"/>
      <c r="AP478" s="1112" t="s">
        <v>725</v>
      </c>
      <c r="AQ478" s="937">
        <v>2</v>
      </c>
    </row>
    <row r="479" spans="1:43" s="1128" customFormat="1" ht="13.95" customHeight="1">
      <c r="A479" s="1054"/>
      <c r="B479" s="1017"/>
      <c r="C479" s="1633"/>
      <c r="D479" s="1017"/>
      <c r="E479" s="1655"/>
      <c r="F479" s="1655"/>
      <c r="G479" s="1655"/>
      <c r="H479" s="1655"/>
      <c r="I479" s="1655"/>
      <c r="J479" s="1655"/>
      <c r="K479" s="1655"/>
      <c r="L479" s="1655"/>
      <c r="M479" s="1655"/>
      <c r="N479" s="1655"/>
      <c r="O479" s="1655"/>
      <c r="P479" s="1655"/>
      <c r="Q479" s="1655"/>
      <c r="R479" s="1655"/>
      <c r="S479" s="1655"/>
      <c r="T479" s="1655"/>
      <c r="U479" s="1655"/>
      <c r="V479" s="1655"/>
      <c r="W479" s="1655"/>
      <c r="X479" s="1655"/>
      <c r="Y479" s="1655"/>
      <c r="Z479" s="1655"/>
      <c r="AA479" s="1655"/>
      <c r="AB479" s="1655"/>
      <c r="AC479" s="1017"/>
      <c r="AD479" s="1017"/>
      <c r="AE479" s="1017"/>
      <c r="AF479" s="1017"/>
      <c r="AG479" s="1017"/>
      <c r="AH479" s="1017"/>
      <c r="AI479" s="1017"/>
      <c r="AJ479" s="921"/>
      <c r="AK479" s="1000"/>
      <c r="AL479" s="1000"/>
      <c r="AM479" s="1020"/>
      <c r="AN479" s="1127"/>
      <c r="AP479" s="1112" t="s">
        <v>542</v>
      </c>
      <c r="AQ479" s="937">
        <v>3</v>
      </c>
    </row>
    <row r="480" spans="1:43" s="1128" customFormat="1" ht="13.95" customHeight="1">
      <c r="A480" s="1054"/>
      <c r="B480" s="1017"/>
      <c r="C480" s="1633"/>
      <c r="D480" s="1017" t="s">
        <v>1677</v>
      </c>
      <c r="E480" s="1637"/>
      <c r="F480" s="1637"/>
      <c r="G480" s="1637"/>
      <c r="H480" s="3117" t="s">
        <v>626</v>
      </c>
      <c r="I480" s="3117"/>
      <c r="J480" s="1655"/>
      <c r="K480" s="1655"/>
      <c r="L480" s="1655"/>
      <c r="M480" s="1655"/>
      <c r="N480" s="1655"/>
      <c r="O480" s="1655"/>
      <c r="P480" s="1655"/>
      <c r="Q480" s="1655"/>
      <c r="R480" s="1655"/>
      <c r="S480" s="1655"/>
      <c r="T480" s="1655"/>
      <c r="U480" s="1655"/>
      <c r="V480" s="1655"/>
      <c r="W480" s="1655"/>
      <c r="X480" s="1655"/>
      <c r="Y480" s="1655"/>
      <c r="Z480" s="1655"/>
      <c r="AA480" s="1655"/>
      <c r="AB480" s="1655"/>
      <c r="AC480" s="1017"/>
      <c r="AD480" s="1017"/>
      <c r="AE480" s="1017"/>
      <c r="AF480" s="1017"/>
      <c r="AG480" s="1017"/>
      <c r="AH480" s="1017"/>
      <c r="AI480" s="1017"/>
      <c r="AJ480" s="921"/>
      <c r="AK480" s="1000"/>
      <c r="AL480" s="1000"/>
      <c r="AM480" s="1020"/>
      <c r="AN480" s="1127"/>
    </row>
    <row r="481" spans="1:81" s="1129" customFormat="1" ht="14.25" customHeight="1">
      <c r="A481" s="1054"/>
      <c r="B481" s="1017"/>
      <c r="C481" s="1633"/>
      <c r="D481" s="1017"/>
      <c r="E481" s="1655"/>
      <c r="F481" s="1655"/>
      <c r="G481" s="1655"/>
      <c r="H481" s="1655"/>
      <c r="I481" s="1655"/>
      <c r="J481" s="1655"/>
      <c r="K481" s="1655"/>
      <c r="L481" s="1655"/>
      <c r="M481" s="1655"/>
      <c r="N481" s="1655"/>
      <c r="O481" s="1655"/>
      <c r="P481" s="1655"/>
      <c r="Q481" s="1655"/>
      <c r="R481" s="1655"/>
      <c r="S481" s="1655"/>
      <c r="T481" s="1655"/>
      <c r="U481" s="1655"/>
      <c r="V481" s="1655"/>
      <c r="W481" s="1655"/>
      <c r="X481" s="1655"/>
      <c r="Y481" s="1655"/>
      <c r="Z481" s="1655"/>
      <c r="AA481" s="1655"/>
      <c r="AB481" s="1655"/>
      <c r="AC481" s="1017"/>
      <c r="AD481" s="1017"/>
      <c r="AE481" s="1017"/>
      <c r="AF481" s="1017"/>
      <c r="AG481" s="1017"/>
      <c r="AH481" s="1017"/>
      <c r="AI481" s="1017"/>
      <c r="AJ481" s="921"/>
      <c r="AK481" s="1000"/>
      <c r="AL481" s="1000"/>
      <c r="AM481" s="1020"/>
      <c r="AN481" s="1132"/>
    </row>
    <row r="482" spans="1:81" s="1129" customFormat="1" ht="12.75" customHeight="1">
      <c r="A482" s="1065"/>
      <c r="B482" s="1013"/>
      <c r="C482" s="1641"/>
      <c r="D482" s="1003"/>
      <c r="E482" s="1003"/>
      <c r="F482" s="1003"/>
      <c r="G482" s="1003"/>
      <c r="H482" s="1003"/>
      <c r="I482" s="1003"/>
      <c r="J482" s="1656"/>
      <c r="K482" s="1656"/>
      <c r="L482" s="1656"/>
      <c r="M482" s="1656"/>
      <c r="N482" s="1656"/>
      <c r="O482" s="1656"/>
      <c r="P482" s="1656"/>
      <c r="Q482" s="1656"/>
      <c r="R482" s="1656"/>
      <c r="S482" s="1656"/>
      <c r="T482" s="1656"/>
      <c r="U482" s="1102"/>
      <c r="V482" s="1102"/>
      <c r="W482" s="1102"/>
      <c r="X482" s="1102"/>
      <c r="Y482" s="1642"/>
      <c r="Z482" s="1642"/>
      <c r="AA482" s="1642"/>
      <c r="AB482" s="1013"/>
      <c r="AC482" s="1013"/>
      <c r="AD482" s="1013"/>
      <c r="AE482" s="1013"/>
      <c r="AF482" s="1013"/>
      <c r="AG482" s="1013"/>
      <c r="AH482" s="1013"/>
      <c r="AI482" s="953" t="s">
        <v>1718</v>
      </c>
      <c r="AJ482" s="3100">
        <f>VLOOKUP($H$480,$AO$413:$AP$415,2,FALSE)</f>
        <v>0</v>
      </c>
      <c r="AK482" s="3102"/>
      <c r="AL482" s="999"/>
      <c r="AM482" s="996"/>
      <c r="AN482" s="1132"/>
      <c r="AP482" s="3100"/>
      <c r="AQ482" s="3102"/>
    </row>
    <row r="483" spans="1:81" s="1128" customFormat="1">
      <c r="A483" s="1054"/>
      <c r="B483" s="1018"/>
      <c r="C483" s="1634"/>
      <c r="D483" s="1636"/>
      <c r="E483" s="1029"/>
      <c r="F483" s="1029"/>
      <c r="G483" s="1029"/>
      <c r="H483" s="1029"/>
      <c r="I483" s="1029"/>
      <c r="J483" s="1029"/>
      <c r="K483" s="1029"/>
      <c r="L483" s="1029"/>
      <c r="M483" s="1029"/>
      <c r="N483" s="1029"/>
      <c r="O483" s="1029"/>
      <c r="P483" s="1029"/>
      <c r="Q483" s="1029"/>
      <c r="R483" s="1029"/>
      <c r="S483" s="1029"/>
      <c r="T483" s="1029"/>
      <c r="U483" s="1029"/>
      <c r="V483" s="1029"/>
      <c r="W483" s="1029"/>
      <c r="X483" s="1029"/>
      <c r="Y483" s="1029"/>
      <c r="Z483" s="1029"/>
      <c r="AA483" s="1029"/>
      <c r="AB483" s="1029"/>
      <c r="AC483" s="1017"/>
      <c r="AD483" s="1017"/>
      <c r="AE483" s="1017"/>
      <c r="AF483" s="1017"/>
      <c r="AG483" s="1017"/>
      <c r="AH483" s="1017"/>
      <c r="AI483" s="1017"/>
      <c r="AJ483" s="985"/>
      <c r="AK483" s="1017"/>
      <c r="AL483" s="1017"/>
      <c r="AM483" s="1054"/>
      <c r="AN483" s="1127"/>
      <c r="AT483" s="51"/>
      <c r="AU483" s="51"/>
      <c r="AV483" s="51"/>
      <c r="AW483" s="51"/>
      <c r="AX483" s="51"/>
      <c r="AY483" s="51"/>
      <c r="AZ483" s="51"/>
    </row>
    <row r="484" spans="1:81" s="1128" customFormat="1">
      <c r="A484" s="1054"/>
      <c r="B484" s="921"/>
      <c r="C484" s="980" t="s">
        <v>1719</v>
      </c>
      <c r="D484" s="1657"/>
      <c r="E484" s="1029"/>
      <c r="F484" s="1029"/>
      <c r="G484" s="1029"/>
      <c r="H484" s="1029"/>
      <c r="I484" s="1029"/>
      <c r="J484" s="1029"/>
      <c r="K484" s="1029"/>
      <c r="L484" s="1029"/>
      <c r="M484" s="1029"/>
      <c r="N484" s="1029"/>
      <c r="O484" s="1029"/>
      <c r="P484" s="1029"/>
      <c r="Q484" s="1029"/>
      <c r="R484" s="1029"/>
      <c r="S484" s="1029"/>
      <c r="T484" s="1029"/>
      <c r="U484" s="1029"/>
      <c r="V484" s="1029"/>
      <c r="W484" s="1029"/>
      <c r="X484" s="1029"/>
      <c r="Y484" s="1029"/>
      <c r="Z484" s="1029"/>
      <c r="AA484" s="1029"/>
      <c r="AB484" s="1029"/>
      <c r="AC484" s="1017"/>
      <c r="AD484" s="1017"/>
      <c r="AE484" s="1017"/>
      <c r="AF484" s="1017"/>
      <c r="AG484" s="1017"/>
      <c r="AH484" s="1017"/>
      <c r="AI484" s="1017"/>
      <c r="AJ484" s="985"/>
      <c r="AK484" s="1017"/>
      <c r="AL484" s="1017"/>
      <c r="AM484" s="1054"/>
      <c r="AN484" s="1127"/>
      <c r="AT484" s="51"/>
      <c r="AU484" s="51"/>
      <c r="AV484" s="51"/>
      <c r="AW484" s="51"/>
      <c r="AX484" s="51"/>
      <c r="AY484" s="51"/>
      <c r="AZ484" s="51"/>
    </row>
    <row r="485" spans="1:81" s="1128" customFormat="1">
      <c r="A485" s="1054"/>
      <c r="B485" s="1018"/>
      <c r="C485" s="1634"/>
      <c r="D485" s="1636"/>
      <c r="E485" s="1029"/>
      <c r="F485" s="1029"/>
      <c r="G485" s="1029"/>
      <c r="H485" s="1029"/>
      <c r="I485" s="1029"/>
      <c r="J485" s="1029"/>
      <c r="K485" s="1029"/>
      <c r="L485" s="1029"/>
      <c r="M485" s="1029"/>
      <c r="N485" s="1029"/>
      <c r="O485" s="1029"/>
      <c r="P485" s="1029"/>
      <c r="Q485" s="1029"/>
      <c r="R485" s="1029"/>
      <c r="S485" s="1029"/>
      <c r="T485" s="1029"/>
      <c r="U485" s="1029"/>
      <c r="V485" s="1029"/>
      <c r="W485" s="1029"/>
      <c r="X485" s="1029"/>
      <c r="Y485" s="1029"/>
      <c r="Z485" s="1029"/>
      <c r="AA485" s="1029"/>
      <c r="AB485" s="1029"/>
      <c r="AC485" s="1017"/>
      <c r="AD485" s="1017"/>
      <c r="AE485" s="1017"/>
      <c r="AF485" s="1017"/>
      <c r="AG485" s="1017"/>
      <c r="AH485" s="1017"/>
      <c r="AI485" s="1017"/>
      <c r="AJ485" s="985"/>
      <c r="AK485" s="1000"/>
      <c r="AL485" s="1000"/>
      <c r="AM485" s="1020"/>
      <c r="AN485" s="1127"/>
      <c r="AT485" s="51"/>
      <c r="AU485" s="51"/>
      <c r="AV485" s="51"/>
      <c r="AW485" s="51"/>
      <c r="AX485" s="51"/>
      <c r="AY485" s="51"/>
      <c r="AZ485" s="51"/>
    </row>
    <row r="486" spans="1:81" s="1128" customFormat="1">
      <c r="A486" s="1054"/>
      <c r="B486" s="921"/>
      <c r="C486" s="1631"/>
      <c r="D486" s="1100" t="s">
        <v>725</v>
      </c>
      <c r="E486" s="3118" t="s">
        <v>2190</v>
      </c>
      <c r="F486" s="3118"/>
      <c r="G486" s="3118"/>
      <c r="H486" s="3118"/>
      <c r="I486" s="3118"/>
      <c r="J486" s="3118"/>
      <c r="K486" s="3118"/>
      <c r="L486" s="3118"/>
      <c r="M486" s="3118"/>
      <c r="N486" s="3118"/>
      <c r="O486" s="3118"/>
      <c r="P486" s="3118"/>
      <c r="Q486" s="3118"/>
      <c r="R486" s="3118"/>
      <c r="S486" s="3118"/>
      <c r="T486" s="3118"/>
      <c r="U486" s="3118"/>
      <c r="V486" s="3118"/>
      <c r="W486" s="3118"/>
      <c r="X486" s="3118"/>
      <c r="Y486" s="3118"/>
      <c r="Z486" s="3118"/>
      <c r="AA486" s="3118"/>
      <c r="AB486" s="3118"/>
      <c r="AC486" s="921"/>
      <c r="AD486" s="921"/>
      <c r="AE486" s="921"/>
      <c r="AF486" s="3217" t="s">
        <v>1621</v>
      </c>
      <c r="AG486" s="3217"/>
      <c r="AH486" s="3217"/>
      <c r="AI486" s="3217"/>
      <c r="AJ486" s="3217"/>
      <c r="AK486" s="3217"/>
      <c r="AL486" s="3217"/>
      <c r="AM486" s="1020"/>
      <c r="AN486" s="1127"/>
      <c r="AT486" s="51"/>
      <c r="AU486" s="51"/>
      <c r="AV486" s="51"/>
      <c r="AW486" s="51"/>
      <c r="AX486" s="51"/>
      <c r="AY486" s="51"/>
      <c r="AZ486" s="51"/>
    </row>
    <row r="487" spans="1:81" s="1128" customFormat="1">
      <c r="A487" s="1054"/>
      <c r="B487" s="1017"/>
      <c r="C487" s="1633"/>
      <c r="D487" s="1100"/>
      <c r="E487" s="3118"/>
      <c r="F487" s="3118"/>
      <c r="G487" s="3118"/>
      <c r="H487" s="3118"/>
      <c r="I487" s="3118"/>
      <c r="J487" s="3118"/>
      <c r="K487" s="3118"/>
      <c r="L487" s="3118"/>
      <c r="M487" s="3118"/>
      <c r="N487" s="3118"/>
      <c r="O487" s="3118"/>
      <c r="P487" s="3118"/>
      <c r="Q487" s="3118"/>
      <c r="R487" s="3118"/>
      <c r="S487" s="3118"/>
      <c r="T487" s="3118"/>
      <c r="U487" s="3118"/>
      <c r="V487" s="3118"/>
      <c r="W487" s="3118"/>
      <c r="X487" s="3118"/>
      <c r="Y487" s="3118"/>
      <c r="Z487" s="3118"/>
      <c r="AA487" s="3118"/>
      <c r="AB487" s="3118"/>
      <c r="AC487" s="921"/>
      <c r="AD487" s="921"/>
      <c r="AE487" s="1017"/>
      <c r="AF487" s="1017"/>
      <c r="AG487" s="1017"/>
      <c r="AH487" s="1017"/>
      <c r="AI487" s="1017"/>
      <c r="AJ487" s="1017"/>
      <c r="AK487" s="1017"/>
      <c r="AL487" s="1017"/>
      <c r="AM487" s="1020"/>
      <c r="AN487" s="1127"/>
      <c r="AT487" s="51"/>
      <c r="AU487" s="51"/>
      <c r="AV487" s="51"/>
      <c r="AW487" s="51"/>
      <c r="AX487" s="51"/>
      <c r="AY487" s="51"/>
      <c r="AZ487" s="51"/>
    </row>
    <row r="488" spans="1:81" s="1128" customFormat="1">
      <c r="A488" s="1054"/>
      <c r="B488" s="1018"/>
      <c r="C488" s="1634"/>
      <c r="D488" s="1100"/>
      <c r="E488" s="1029"/>
      <c r="F488" s="1029"/>
      <c r="G488" s="1029"/>
      <c r="H488" s="1029"/>
      <c r="I488" s="1029"/>
      <c r="J488" s="1029"/>
      <c r="K488" s="1029"/>
      <c r="L488" s="1029"/>
      <c r="M488" s="1029"/>
      <c r="N488" s="1029"/>
      <c r="O488" s="1029"/>
      <c r="P488" s="1029"/>
      <c r="Q488" s="1029"/>
      <c r="R488" s="1029"/>
      <c r="S488" s="1029"/>
      <c r="T488" s="1029"/>
      <c r="U488" s="1029"/>
      <c r="V488" s="1029"/>
      <c r="W488" s="1029"/>
      <c r="X488" s="1029"/>
      <c r="Y488" s="1029"/>
      <c r="Z488" s="1029"/>
      <c r="AA488" s="1029"/>
      <c r="AB488" s="1029"/>
      <c r="AC488" s="921"/>
      <c r="AD488" s="921"/>
      <c r="AE488" s="1017"/>
      <c r="AF488" s="1017"/>
      <c r="AG488" s="1017"/>
      <c r="AH488" s="1017"/>
      <c r="AI488" s="1017"/>
      <c r="AJ488" s="1017"/>
      <c r="AK488" s="1017"/>
      <c r="AL488" s="1017"/>
      <c r="AM488" s="1020"/>
      <c r="AN488" s="1127"/>
      <c r="AT488" s="51"/>
      <c r="AU488" s="51"/>
      <c r="AV488" s="51"/>
      <c r="AW488" s="51"/>
      <c r="AX488" s="51"/>
      <c r="AY488" s="51"/>
      <c r="AZ488" s="51"/>
    </row>
    <row r="489" spans="1:81" s="1128" customFormat="1" ht="12.75" customHeight="1">
      <c r="A489" s="1054"/>
      <c r="B489" s="1000"/>
      <c r="C489" s="1631"/>
      <c r="D489" s="1100" t="s">
        <v>542</v>
      </c>
      <c r="E489" s="3118" t="s">
        <v>1720</v>
      </c>
      <c r="F489" s="3118"/>
      <c r="G489" s="3118"/>
      <c r="H489" s="3118"/>
      <c r="I489" s="3118"/>
      <c r="J489" s="3118"/>
      <c r="K489" s="3118"/>
      <c r="L489" s="3118"/>
      <c r="M489" s="3118"/>
      <c r="N489" s="3118"/>
      <c r="O489" s="3118"/>
      <c r="P489" s="3118"/>
      <c r="Q489" s="3118"/>
      <c r="R489" s="3118"/>
      <c r="S489" s="3118"/>
      <c r="T489" s="3118"/>
      <c r="U489" s="3118"/>
      <c r="V489" s="3118"/>
      <c r="W489" s="3118"/>
      <c r="X489" s="3118"/>
      <c r="Y489" s="3118"/>
      <c r="Z489" s="3118"/>
      <c r="AA489" s="3118"/>
      <c r="AB489" s="3118"/>
      <c r="AC489" s="921"/>
      <c r="AD489" s="921"/>
      <c r="AE489" s="921"/>
      <c r="AF489" s="3217" t="s">
        <v>1685</v>
      </c>
      <c r="AG489" s="3217"/>
      <c r="AH489" s="3217"/>
      <c r="AI489" s="3217"/>
      <c r="AJ489" s="3217"/>
      <c r="AK489" s="3217"/>
      <c r="AL489" s="3217"/>
      <c r="AM489" s="1020"/>
      <c r="AN489" s="1127"/>
      <c r="AT489" s="51"/>
      <c r="AU489" s="51"/>
      <c r="AV489" s="51"/>
      <c r="AW489" s="51"/>
      <c r="AX489" s="51"/>
      <c r="AY489" s="51"/>
      <c r="AZ489" s="51"/>
    </row>
    <row r="490" spans="1:81" s="1128" customFormat="1">
      <c r="A490" s="1054"/>
      <c r="B490" s="1017"/>
      <c r="C490" s="1633"/>
      <c r="D490" s="1017"/>
      <c r="E490" s="3118"/>
      <c r="F490" s="3118"/>
      <c r="G490" s="3118"/>
      <c r="H490" s="3118"/>
      <c r="I490" s="3118"/>
      <c r="J490" s="3118"/>
      <c r="K490" s="3118"/>
      <c r="L490" s="3118"/>
      <c r="M490" s="3118"/>
      <c r="N490" s="3118"/>
      <c r="O490" s="3118"/>
      <c r="P490" s="3118"/>
      <c r="Q490" s="3118"/>
      <c r="R490" s="3118"/>
      <c r="S490" s="3118"/>
      <c r="T490" s="3118"/>
      <c r="U490" s="3118"/>
      <c r="V490" s="3118"/>
      <c r="W490" s="3118"/>
      <c r="X490" s="3118"/>
      <c r="Y490" s="3118"/>
      <c r="Z490" s="3118"/>
      <c r="AA490" s="3118"/>
      <c r="AB490" s="3118"/>
      <c r="AC490" s="1017"/>
      <c r="AD490" s="1017"/>
      <c r="AE490" s="1017"/>
      <c r="AF490" s="1017"/>
      <c r="AG490" s="1017"/>
      <c r="AH490" s="1017"/>
      <c r="AI490" s="1017"/>
      <c r="AJ490" s="921"/>
      <c r="AK490" s="1000"/>
      <c r="AL490" s="1000"/>
      <c r="AM490" s="1020"/>
      <c r="AN490" s="1127"/>
      <c r="AT490" s="51"/>
      <c r="AU490" s="51"/>
      <c r="AV490" s="51"/>
      <c r="AW490" s="51"/>
      <c r="AX490" s="51"/>
      <c r="AY490" s="51"/>
      <c r="AZ490" s="51"/>
    </row>
    <row r="491" spans="1:81" s="1128" customFormat="1">
      <c r="A491" s="1054"/>
      <c r="B491" s="1017"/>
      <c r="C491" s="1633"/>
      <c r="D491" s="1017"/>
      <c r="E491" s="1591"/>
      <c r="F491" s="1591"/>
      <c r="G491" s="1591"/>
      <c r="H491" s="1591"/>
      <c r="I491" s="1591"/>
      <c r="J491" s="1591"/>
      <c r="K491" s="1591"/>
      <c r="L491" s="1591"/>
      <c r="M491" s="1591"/>
      <c r="N491" s="1591"/>
      <c r="O491" s="1591"/>
      <c r="P491" s="1591"/>
      <c r="Q491" s="1591"/>
      <c r="R491" s="1591"/>
      <c r="S491" s="1591"/>
      <c r="T491" s="1591"/>
      <c r="U491" s="1591"/>
      <c r="V491" s="1591"/>
      <c r="W491" s="1591"/>
      <c r="X491" s="1591"/>
      <c r="Y491" s="1591"/>
      <c r="Z491" s="1591"/>
      <c r="AA491" s="1591"/>
      <c r="AB491" s="1591"/>
      <c r="AC491" s="1017"/>
      <c r="AD491" s="1017"/>
      <c r="AE491" s="1017"/>
      <c r="AF491" s="1017"/>
      <c r="AG491" s="1017"/>
      <c r="AH491" s="1017"/>
      <c r="AI491" s="1017"/>
      <c r="AJ491" s="921"/>
      <c r="AK491" s="1000"/>
      <c r="AL491" s="1000"/>
      <c r="AM491" s="1020"/>
      <c r="AN491" s="1127"/>
      <c r="AT491" s="51"/>
      <c r="AU491" s="51"/>
      <c r="AV491" s="51"/>
      <c r="AW491" s="51"/>
      <c r="AX491" s="51"/>
      <c r="AY491" s="51"/>
      <c r="AZ491" s="51"/>
    </row>
    <row r="492" spans="1:81" s="1128" customFormat="1" ht="12.75" customHeight="1">
      <c r="A492" s="1054"/>
      <c r="B492" s="1017"/>
      <c r="C492" s="1633"/>
      <c r="D492" s="1017" t="s">
        <v>1677</v>
      </c>
      <c r="E492" s="1637"/>
      <c r="F492" s="1637"/>
      <c r="G492" s="1637"/>
      <c r="H492" s="3117" t="s">
        <v>626</v>
      </c>
      <c r="I492" s="3117"/>
      <c r="J492" s="1591"/>
      <c r="K492" s="1591"/>
      <c r="L492" s="1591"/>
      <c r="M492" s="1591"/>
      <c r="N492" s="1591"/>
      <c r="O492" s="1591"/>
      <c r="P492" s="1591"/>
      <c r="Q492" s="1591"/>
      <c r="R492" s="1591"/>
      <c r="S492" s="1591"/>
      <c r="T492" s="1591"/>
      <c r="U492" s="1591"/>
      <c r="V492" s="1591"/>
      <c r="W492" s="1591"/>
      <c r="X492" s="1591"/>
      <c r="Y492" s="1591"/>
      <c r="Z492" s="1591"/>
      <c r="AA492" s="1591"/>
      <c r="AB492" s="1591"/>
      <c r="AC492" s="1017"/>
      <c r="AD492" s="1017"/>
      <c r="AE492" s="1017"/>
      <c r="AF492" s="1017"/>
      <c r="AG492" s="1017"/>
      <c r="AH492" s="1017"/>
      <c r="AI492" s="1017"/>
      <c r="AJ492" s="921"/>
      <c r="AK492" s="1000"/>
      <c r="AL492" s="1000"/>
      <c r="AM492" s="1020"/>
      <c r="AN492" s="1127"/>
      <c r="AT492" s="51"/>
      <c r="AU492" s="51"/>
      <c r="AV492" s="51"/>
      <c r="AW492" s="51"/>
      <c r="AX492" s="51"/>
      <c r="AY492" s="51"/>
      <c r="AZ492" s="51"/>
    </row>
    <row r="493" spans="1:81" s="1128" customFormat="1">
      <c r="A493" s="1054"/>
      <c r="B493" s="1017"/>
      <c r="C493" s="1633"/>
      <c r="D493" s="1017"/>
      <c r="E493" s="1591"/>
      <c r="F493" s="1591"/>
      <c r="G493" s="1591"/>
      <c r="H493" s="1591"/>
      <c r="I493" s="1591"/>
      <c r="J493" s="1591"/>
      <c r="K493" s="1591"/>
      <c r="L493" s="1591"/>
      <c r="M493" s="1591"/>
      <c r="N493" s="1591"/>
      <c r="O493" s="1591"/>
      <c r="P493" s="1591"/>
      <c r="Q493" s="1591"/>
      <c r="R493" s="1591"/>
      <c r="S493" s="1591"/>
      <c r="T493" s="1591"/>
      <c r="U493" s="1591"/>
      <c r="V493" s="1591"/>
      <c r="W493" s="1591"/>
      <c r="X493" s="1591"/>
      <c r="Y493" s="1591"/>
      <c r="Z493" s="1591"/>
      <c r="AA493" s="1591"/>
      <c r="AB493" s="1591"/>
      <c r="AC493" s="1017"/>
      <c r="AD493" s="1017"/>
      <c r="AE493" s="1017"/>
      <c r="AF493" s="1017"/>
      <c r="AG493" s="1017"/>
      <c r="AH493" s="1017"/>
      <c r="AI493" s="1017"/>
      <c r="AJ493" s="921"/>
      <c r="AK493" s="1000"/>
      <c r="AL493" s="1000"/>
      <c r="AM493" s="1020"/>
      <c r="AN493" s="1127"/>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28" customFormat="1">
      <c r="A494" s="1065"/>
      <c r="B494" s="1013"/>
      <c r="C494" s="1641"/>
      <c r="D494" s="1013"/>
      <c r="E494" s="1654"/>
      <c r="F494" s="1654"/>
      <c r="G494" s="1654"/>
      <c r="H494" s="1654"/>
      <c r="I494" s="1654"/>
      <c r="J494" s="1654"/>
      <c r="K494" s="1654"/>
      <c r="L494" s="1654"/>
      <c r="M494" s="1654"/>
      <c r="N494" s="1654"/>
      <c r="O494" s="1654"/>
      <c r="P494" s="1654"/>
      <c r="Q494" s="1654"/>
      <c r="R494" s="1654"/>
      <c r="S494" s="1654"/>
      <c r="T494" s="1654"/>
      <c r="U494" s="1654"/>
      <c r="V494" s="1102"/>
      <c r="W494" s="1102"/>
      <c r="X494" s="1102"/>
      <c r="Y494" s="1642"/>
      <c r="Z494" s="1642"/>
      <c r="AA494" s="1642"/>
      <c r="AB494" s="1013"/>
      <c r="AC494" s="1013"/>
      <c r="AD494" s="1013"/>
      <c r="AE494" s="1013"/>
      <c r="AF494" s="1013"/>
      <c r="AG494" s="1013"/>
      <c r="AH494" s="1013"/>
      <c r="AI494" s="953" t="s">
        <v>1721</v>
      </c>
      <c r="AJ494" s="3100">
        <f>VLOOKUP($H$492,$AO$427:$AP$429,2,FALSE)</f>
        <v>0</v>
      </c>
      <c r="AK494" s="3102"/>
      <c r="AL494" s="999"/>
      <c r="AM494" s="996"/>
      <c r="AN494" s="1127"/>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28" customFormat="1" ht="12.75" customHeight="1">
      <c r="A495" s="1054"/>
      <c r="B495" s="1017"/>
      <c r="C495" s="1633"/>
      <c r="D495" s="921"/>
      <c r="E495" s="921"/>
      <c r="F495" s="921"/>
      <c r="G495" s="921"/>
      <c r="H495" s="921"/>
      <c r="I495" s="921"/>
      <c r="J495" s="1591"/>
      <c r="K495" s="1591"/>
      <c r="L495" s="1591"/>
      <c r="M495" s="1591"/>
      <c r="N495" s="921"/>
      <c r="O495" s="921"/>
      <c r="P495" s="921"/>
      <c r="Q495" s="921"/>
      <c r="R495" s="921"/>
      <c r="S495" s="921"/>
      <c r="T495" s="921"/>
      <c r="U495" s="921"/>
      <c r="V495" s="921"/>
      <c r="W495" s="921"/>
      <c r="X495" s="921"/>
      <c r="Y495" s="921"/>
      <c r="Z495" s="921"/>
      <c r="AA495" s="921"/>
      <c r="AB495" s="921"/>
      <c r="AC495" s="921"/>
      <c r="AD495" s="921"/>
      <c r="AE495" s="921"/>
      <c r="AF495" s="921"/>
      <c r="AG495" s="921"/>
      <c r="AH495" s="921"/>
      <c r="AI495" s="921"/>
      <c r="AJ495" s="921"/>
      <c r="AK495" s="921"/>
      <c r="AL495" s="921"/>
      <c r="AM495" s="937"/>
      <c r="AN495" s="1127"/>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28" customFormat="1" ht="12.75" customHeight="1">
      <c r="A496" s="937"/>
      <c r="B496" s="921"/>
      <c r="C496" s="980" t="s">
        <v>1722</v>
      </c>
      <c r="D496" s="921"/>
      <c r="E496" s="921"/>
      <c r="F496" s="921"/>
      <c r="G496" s="921"/>
      <c r="H496" s="921"/>
      <c r="I496" s="921"/>
      <c r="J496" s="921"/>
      <c r="K496" s="921"/>
      <c r="L496" s="921"/>
      <c r="M496" s="921"/>
      <c r="N496" s="921"/>
      <c r="O496" s="921"/>
      <c r="P496" s="921"/>
      <c r="Q496" s="921"/>
      <c r="R496" s="921"/>
      <c r="S496" s="921"/>
      <c r="T496" s="921"/>
      <c r="U496" s="921"/>
      <c r="V496" s="921"/>
      <c r="W496" s="921"/>
      <c r="X496" s="921"/>
      <c r="Y496" s="921"/>
      <c r="Z496" s="921"/>
      <c r="AA496" s="921"/>
      <c r="AB496" s="921"/>
      <c r="AC496" s="921"/>
      <c r="AD496" s="921"/>
      <c r="AE496" s="921"/>
      <c r="AF496" s="921"/>
      <c r="AG496" s="921"/>
      <c r="AH496" s="921"/>
      <c r="AI496" s="921"/>
      <c r="AJ496" s="921"/>
      <c r="AK496" s="921"/>
      <c r="AL496" s="921"/>
      <c r="AM496" s="937"/>
      <c r="AN496" s="1127"/>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28" customFormat="1">
      <c r="A497" s="1054"/>
      <c r="B497" s="1018"/>
      <c r="C497" s="1658"/>
      <c r="D497" s="1018"/>
      <c r="E497" s="1018"/>
      <c r="F497" s="1017"/>
      <c r="G497" s="1017"/>
      <c r="H497" s="1018"/>
      <c r="I497" s="1018"/>
      <c r="J497" s="1018"/>
      <c r="K497" s="1018"/>
      <c r="L497" s="1018"/>
      <c r="M497" s="1018"/>
      <c r="N497" s="1018"/>
      <c r="O497" s="1018"/>
      <c r="P497" s="1018"/>
      <c r="Q497" s="1018"/>
      <c r="R497" s="1018"/>
      <c r="S497" s="1018"/>
      <c r="T497" s="1017"/>
      <c r="U497" s="1017"/>
      <c r="V497" s="1017"/>
      <c r="W497" s="1017"/>
      <c r="X497" s="999"/>
      <c r="Y497" s="999"/>
      <c r="Z497" s="999"/>
      <c r="AA497" s="999"/>
      <c r="AB497" s="999"/>
      <c r="AC497" s="1017"/>
      <c r="AD497" s="1017"/>
      <c r="AE497" s="1017"/>
      <c r="AF497" s="1017"/>
      <c r="AG497" s="1017"/>
      <c r="AH497" s="1017"/>
      <c r="AI497" s="1017"/>
      <c r="AJ497" s="921"/>
      <c r="AK497" s="1000"/>
      <c r="AL497" s="1000"/>
      <c r="AM497" s="1020"/>
      <c r="AN497" s="1127"/>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28" customFormat="1">
      <c r="A498" s="1054"/>
      <c r="B498" s="921"/>
      <c r="C498" s="1631"/>
      <c r="D498" s="1100" t="s">
        <v>725</v>
      </c>
      <c r="E498" s="3118" t="s">
        <v>1723</v>
      </c>
      <c r="F498" s="3118"/>
      <c r="G498" s="3118"/>
      <c r="H498" s="3118"/>
      <c r="I498" s="3118"/>
      <c r="J498" s="3118"/>
      <c r="K498" s="3118"/>
      <c r="L498" s="3118"/>
      <c r="M498" s="3118"/>
      <c r="N498" s="3118"/>
      <c r="O498" s="3118"/>
      <c r="P498" s="3118"/>
      <c r="Q498" s="3118"/>
      <c r="R498" s="3118"/>
      <c r="S498" s="3118"/>
      <c r="T498" s="3118"/>
      <c r="U498" s="3118"/>
      <c r="V498" s="3118"/>
      <c r="W498" s="3118"/>
      <c r="X498" s="3118"/>
      <c r="Y498" s="3118"/>
      <c r="Z498" s="3118"/>
      <c r="AA498" s="3118"/>
      <c r="AB498" s="3118"/>
      <c r="AC498" s="921"/>
      <c r="AD498" s="921"/>
      <c r="AE498" s="921"/>
      <c r="AF498" s="3217" t="s">
        <v>1621</v>
      </c>
      <c r="AG498" s="3217"/>
      <c r="AH498" s="3217"/>
      <c r="AI498" s="3217"/>
      <c r="AJ498" s="3217"/>
      <c r="AK498" s="3217"/>
      <c r="AL498" s="3217"/>
      <c r="AM498" s="1020"/>
      <c r="AN498" s="1127"/>
      <c r="AT498" s="51"/>
      <c r="AU498" s="51"/>
      <c r="AV498" s="51"/>
      <c r="AW498" s="51"/>
      <c r="AX498" s="51"/>
      <c r="AY498" s="51"/>
      <c r="AZ498" s="51"/>
    </row>
    <row r="499" spans="1:81" s="1128" customFormat="1">
      <c r="A499" s="1054"/>
      <c r="B499" s="921"/>
      <c r="C499" s="1631"/>
      <c r="D499" s="1100"/>
      <c r="E499" s="3118"/>
      <c r="F499" s="3118"/>
      <c r="G499" s="3118"/>
      <c r="H499" s="3118"/>
      <c r="I499" s="3118"/>
      <c r="J499" s="3118"/>
      <c r="K499" s="3118"/>
      <c r="L499" s="3118"/>
      <c r="M499" s="3118"/>
      <c r="N499" s="3118"/>
      <c r="O499" s="3118"/>
      <c r="P499" s="3118"/>
      <c r="Q499" s="3118"/>
      <c r="R499" s="3118"/>
      <c r="S499" s="3118"/>
      <c r="T499" s="3118"/>
      <c r="U499" s="3118"/>
      <c r="V499" s="3118"/>
      <c r="W499" s="3118"/>
      <c r="X499" s="3118"/>
      <c r="Y499" s="3118"/>
      <c r="Z499" s="3118"/>
      <c r="AA499" s="3118"/>
      <c r="AB499" s="3118"/>
      <c r="AC499" s="921"/>
      <c r="AD499" s="921"/>
      <c r="AE499" s="921"/>
      <c r="AF499" s="1590"/>
      <c r="AG499" s="1590"/>
      <c r="AH499" s="1590"/>
      <c r="AI499" s="1590"/>
      <c r="AJ499" s="1590"/>
      <c r="AK499" s="1590"/>
      <c r="AL499" s="1590"/>
      <c r="AM499" s="1020"/>
      <c r="AN499" s="1127"/>
      <c r="AT499" s="51"/>
      <c r="AU499" s="51"/>
      <c r="AV499" s="51"/>
      <c r="AW499" s="51"/>
      <c r="AX499" s="51"/>
      <c r="AY499" s="51"/>
      <c r="AZ499" s="51"/>
    </row>
    <row r="500" spans="1:81" s="1128" customFormat="1">
      <c r="A500" s="1054"/>
      <c r="B500" s="1017"/>
      <c r="C500" s="1633"/>
      <c r="D500" s="1100"/>
      <c r="E500" s="3118"/>
      <c r="F500" s="3118"/>
      <c r="G500" s="3118"/>
      <c r="H500" s="3118"/>
      <c r="I500" s="3118"/>
      <c r="J500" s="3118"/>
      <c r="K500" s="3118"/>
      <c r="L500" s="3118"/>
      <c r="M500" s="3118"/>
      <c r="N500" s="3118"/>
      <c r="O500" s="3118"/>
      <c r="P500" s="3118"/>
      <c r="Q500" s="3118"/>
      <c r="R500" s="3118"/>
      <c r="S500" s="3118"/>
      <c r="T500" s="3118"/>
      <c r="U500" s="3118"/>
      <c r="V500" s="3118"/>
      <c r="W500" s="3118"/>
      <c r="X500" s="3118"/>
      <c r="Y500" s="3118"/>
      <c r="Z500" s="3118"/>
      <c r="AA500" s="3118"/>
      <c r="AB500" s="3118"/>
      <c r="AC500" s="921"/>
      <c r="AD500" s="921"/>
      <c r="AE500" s="921"/>
      <c r="AF500" s="921"/>
      <c r="AG500" s="921"/>
      <c r="AH500" s="921"/>
      <c r="AI500" s="921"/>
      <c r="AJ500" s="921"/>
      <c r="AK500" s="921"/>
      <c r="AL500" s="1000"/>
      <c r="AM500" s="1020"/>
      <c r="AN500" s="1127"/>
    </row>
    <row r="501" spans="1:81" s="1129" customFormat="1" ht="12.75" customHeight="1">
      <c r="A501" s="1054"/>
      <c r="B501" s="1017"/>
      <c r="C501" s="1633"/>
      <c r="D501" s="1100"/>
      <c r="E501" s="3118"/>
      <c r="F501" s="3118"/>
      <c r="G501" s="3118"/>
      <c r="H501" s="3118"/>
      <c r="I501" s="3118"/>
      <c r="J501" s="3118"/>
      <c r="K501" s="3118"/>
      <c r="L501" s="3118"/>
      <c r="M501" s="3118"/>
      <c r="N501" s="3118"/>
      <c r="O501" s="3118"/>
      <c r="P501" s="3118"/>
      <c r="Q501" s="3118"/>
      <c r="R501" s="3118"/>
      <c r="S501" s="3118"/>
      <c r="T501" s="3118"/>
      <c r="U501" s="3118"/>
      <c r="V501" s="3118"/>
      <c r="W501" s="3118"/>
      <c r="X501" s="3118"/>
      <c r="Y501" s="3118"/>
      <c r="Z501" s="3118"/>
      <c r="AA501" s="3118"/>
      <c r="AB501" s="3118"/>
      <c r="AC501" s="921"/>
      <c r="AD501" s="921"/>
      <c r="AE501" s="1017"/>
      <c r="AF501" s="1017"/>
      <c r="AG501" s="1000"/>
      <c r="AH501" s="1000"/>
      <c r="AI501" s="1000"/>
      <c r="AJ501" s="1000"/>
      <c r="AK501" s="1000"/>
      <c r="AL501" s="1000"/>
      <c r="AM501" s="1020"/>
      <c r="AN501" s="1133"/>
      <c r="AO501" s="56"/>
    </row>
    <row r="502" spans="1:81" s="1128" customFormat="1">
      <c r="A502" s="1120"/>
      <c r="B502" s="999"/>
      <c r="C502" s="1634"/>
      <c r="D502" s="1100"/>
      <c r="E502" s="1659"/>
      <c r="F502" s="1659"/>
      <c r="G502" s="1659"/>
      <c r="H502" s="1659"/>
      <c r="I502" s="1659"/>
      <c r="J502" s="1659"/>
      <c r="K502" s="1659"/>
      <c r="L502" s="1659"/>
      <c r="M502" s="1659"/>
      <c r="N502" s="1659"/>
      <c r="O502" s="1659"/>
      <c r="P502" s="1659"/>
      <c r="Q502" s="1659"/>
      <c r="R502" s="1659"/>
      <c r="S502" s="1659"/>
      <c r="T502" s="1659"/>
      <c r="U502" s="1659"/>
      <c r="V502" s="1659"/>
      <c r="W502" s="1659"/>
      <c r="X502" s="1659"/>
      <c r="Y502" s="1659"/>
      <c r="Z502" s="1659"/>
      <c r="AA502" s="1659"/>
      <c r="AB502" s="1659"/>
      <c r="AC502" s="921"/>
      <c r="AD502" s="921"/>
      <c r="AE502" s="1000"/>
      <c r="AF502" s="921"/>
      <c r="AG502" s="921"/>
      <c r="AH502" s="921"/>
      <c r="AI502" s="921"/>
      <c r="AJ502" s="921"/>
      <c r="AK502" s="921"/>
      <c r="AL502" s="921"/>
      <c r="AM502" s="1020"/>
      <c r="AN502" s="1127"/>
      <c r="AO502" s="126"/>
      <c r="AP502" s="51"/>
    </row>
    <row r="503" spans="1:81" s="1128" customFormat="1">
      <c r="A503" s="1054"/>
      <c r="B503" s="1000"/>
      <c r="C503" s="1631"/>
      <c r="D503" s="1100" t="s">
        <v>542</v>
      </c>
      <c r="E503" s="3118" t="s">
        <v>1724</v>
      </c>
      <c r="F503" s="3118"/>
      <c r="G503" s="3118"/>
      <c r="H503" s="3118"/>
      <c r="I503" s="3118"/>
      <c r="J503" s="3118"/>
      <c r="K503" s="3118"/>
      <c r="L503" s="3118"/>
      <c r="M503" s="3118"/>
      <c r="N503" s="3118"/>
      <c r="O503" s="3118"/>
      <c r="P503" s="3118"/>
      <c r="Q503" s="3118"/>
      <c r="R503" s="3118"/>
      <c r="S503" s="3118"/>
      <c r="T503" s="3118"/>
      <c r="U503" s="3118"/>
      <c r="V503" s="3118"/>
      <c r="W503" s="3118"/>
      <c r="X503" s="3118"/>
      <c r="Y503" s="3118"/>
      <c r="Z503" s="3118"/>
      <c r="AA503" s="3118"/>
      <c r="AB503" s="963"/>
      <c r="AC503" s="921"/>
      <c r="AD503" s="921"/>
      <c r="AE503" s="921"/>
      <c r="AF503" s="3217" t="s">
        <v>1685</v>
      </c>
      <c r="AG503" s="3217"/>
      <c r="AH503" s="3217"/>
      <c r="AI503" s="3217"/>
      <c r="AJ503" s="3217"/>
      <c r="AK503" s="3217"/>
      <c r="AL503" s="3217"/>
      <c r="AM503" s="1020"/>
      <c r="AN503" s="1127"/>
      <c r="AO503" s="126"/>
      <c r="AP503" s="51"/>
    </row>
    <row r="504" spans="1:81" s="1128" customFormat="1">
      <c r="A504" s="1054"/>
      <c r="B504" s="1000"/>
      <c r="C504" s="1631"/>
      <c r="D504" s="1100"/>
      <c r="E504" s="3118"/>
      <c r="F504" s="3118"/>
      <c r="G504" s="3118"/>
      <c r="H504" s="3118"/>
      <c r="I504" s="3118"/>
      <c r="J504" s="3118"/>
      <c r="K504" s="3118"/>
      <c r="L504" s="3118"/>
      <c r="M504" s="3118"/>
      <c r="N504" s="3118"/>
      <c r="O504" s="3118"/>
      <c r="P504" s="3118"/>
      <c r="Q504" s="3118"/>
      <c r="R504" s="3118"/>
      <c r="S504" s="3118"/>
      <c r="T504" s="3118"/>
      <c r="U504" s="3118"/>
      <c r="V504" s="3118"/>
      <c r="W504" s="3118"/>
      <c r="X504" s="3118"/>
      <c r="Y504" s="3118"/>
      <c r="Z504" s="3118"/>
      <c r="AA504" s="3118"/>
      <c r="AB504" s="963"/>
      <c r="AC504" s="921"/>
      <c r="AD504" s="921"/>
      <c r="AE504" s="921"/>
      <c r="AF504" s="1590"/>
      <c r="AG504" s="1590"/>
      <c r="AH504" s="1590"/>
      <c r="AI504" s="1590"/>
      <c r="AJ504" s="1590"/>
      <c r="AK504" s="1590"/>
      <c r="AL504" s="1590"/>
      <c r="AM504" s="1020"/>
      <c r="AN504" s="1127"/>
      <c r="AO504" s="126"/>
      <c r="AP504" s="51"/>
    </row>
    <row r="505" spans="1:81" s="1128" customFormat="1">
      <c r="A505" s="1054"/>
      <c r="B505" s="1000"/>
      <c r="C505" s="1631"/>
      <c r="D505" s="1017"/>
      <c r="E505" s="3118"/>
      <c r="F505" s="3118"/>
      <c r="G505" s="3118"/>
      <c r="H505" s="3118"/>
      <c r="I505" s="3118"/>
      <c r="J505" s="3118"/>
      <c r="K505" s="3118"/>
      <c r="L505" s="3118"/>
      <c r="M505" s="3118"/>
      <c r="N505" s="3118"/>
      <c r="O505" s="3118"/>
      <c r="P505" s="3118"/>
      <c r="Q505" s="3118"/>
      <c r="R505" s="3118"/>
      <c r="S505" s="3118"/>
      <c r="T505" s="3118"/>
      <c r="U505" s="3118"/>
      <c r="V505" s="3118"/>
      <c r="W505" s="3118"/>
      <c r="X505" s="3118"/>
      <c r="Y505" s="3118"/>
      <c r="Z505" s="3118"/>
      <c r="AA505" s="3118"/>
      <c r="AB505" s="963"/>
      <c r="AC505" s="1590"/>
      <c r="AD505" s="1590"/>
      <c r="AE505" s="1590"/>
      <c r="AF505" s="1590"/>
      <c r="AG505" s="1590"/>
      <c r="AH505" s="1590"/>
      <c r="AI505" s="1590"/>
      <c r="AJ505" s="921"/>
      <c r="AK505" s="1000"/>
      <c r="AL505" s="1000"/>
      <c r="AM505" s="1020"/>
      <c r="AN505" s="1127"/>
      <c r="AO505" s="126"/>
      <c r="AP505" s="51"/>
    </row>
    <row r="506" spans="1:81" s="1128" customFormat="1">
      <c r="A506" s="1054"/>
      <c r="B506" s="1000"/>
      <c r="C506" s="1631"/>
      <c r="D506" s="1017"/>
      <c r="E506" s="3118"/>
      <c r="F506" s="3118"/>
      <c r="G506" s="3118"/>
      <c r="H506" s="3118"/>
      <c r="I506" s="3118"/>
      <c r="J506" s="3118"/>
      <c r="K506" s="3118"/>
      <c r="L506" s="3118"/>
      <c r="M506" s="3118"/>
      <c r="N506" s="3118"/>
      <c r="O506" s="3118"/>
      <c r="P506" s="3118"/>
      <c r="Q506" s="3118"/>
      <c r="R506" s="3118"/>
      <c r="S506" s="3118"/>
      <c r="T506" s="3118"/>
      <c r="U506" s="3118"/>
      <c r="V506" s="3118"/>
      <c r="W506" s="3118"/>
      <c r="X506" s="3118"/>
      <c r="Y506" s="3118"/>
      <c r="Z506" s="3118"/>
      <c r="AA506" s="3118"/>
      <c r="AB506" s="963"/>
      <c r="AC506" s="1590"/>
      <c r="AD506" s="1590"/>
      <c r="AE506" s="1590"/>
      <c r="AF506" s="1590"/>
      <c r="AG506" s="1590"/>
      <c r="AH506" s="1590"/>
      <c r="AI506" s="1590"/>
      <c r="AJ506" s="921"/>
      <c r="AK506" s="1000"/>
      <c r="AL506" s="1000"/>
      <c r="AM506" s="1020"/>
      <c r="AN506" s="1127"/>
      <c r="AO506" s="126"/>
      <c r="AP506" s="51"/>
    </row>
    <row r="507" spans="1:81" s="1128" customFormat="1">
      <c r="A507" s="1054"/>
      <c r="B507" s="1000"/>
      <c r="C507" s="1631"/>
      <c r="D507" s="1017"/>
      <c r="E507" s="1072"/>
      <c r="F507" s="1072"/>
      <c r="G507" s="1072"/>
      <c r="H507" s="1072"/>
      <c r="I507" s="1072"/>
      <c r="J507" s="1072"/>
      <c r="K507" s="1072"/>
      <c r="L507" s="1072"/>
      <c r="M507" s="1072"/>
      <c r="N507" s="1072"/>
      <c r="O507" s="1072"/>
      <c r="P507" s="1072"/>
      <c r="Q507" s="1072"/>
      <c r="R507" s="1072"/>
      <c r="S507" s="1072"/>
      <c r="T507" s="1072"/>
      <c r="U507" s="1072"/>
      <c r="V507" s="1072"/>
      <c r="W507" s="1072"/>
      <c r="X507" s="1072"/>
      <c r="Y507" s="1072"/>
      <c r="Z507" s="1072"/>
      <c r="AA507" s="1072"/>
      <c r="AB507" s="1072"/>
      <c r="AC507" s="1590"/>
      <c r="AD507" s="1590"/>
      <c r="AE507" s="1590"/>
      <c r="AF507" s="1590"/>
      <c r="AG507" s="1590"/>
      <c r="AH507" s="1590"/>
      <c r="AI507" s="1590"/>
      <c r="AJ507" s="921"/>
      <c r="AK507" s="1000"/>
      <c r="AL507" s="1000"/>
      <c r="AM507" s="1020"/>
      <c r="AN507" s="1127"/>
    </row>
    <row r="508" spans="1:81" s="1128" customFormat="1" ht="12.75" customHeight="1">
      <c r="A508" s="1054"/>
      <c r="B508" s="1000"/>
      <c r="C508" s="1631"/>
      <c r="D508" s="1017" t="s">
        <v>1677</v>
      </c>
      <c r="E508" s="1637"/>
      <c r="F508" s="1637"/>
      <c r="G508" s="1637"/>
      <c r="H508" s="3117" t="s">
        <v>626</v>
      </c>
      <c r="I508" s="3117"/>
      <c r="J508" s="1072"/>
      <c r="K508" s="1072"/>
      <c r="L508" s="1072"/>
      <c r="M508" s="1072"/>
      <c r="N508" s="1072"/>
      <c r="O508" s="1072"/>
      <c r="P508" s="1072"/>
      <c r="Q508" s="1072"/>
      <c r="R508" s="1072"/>
      <c r="S508" s="1072"/>
      <c r="T508" s="1072"/>
      <c r="U508" s="1072"/>
      <c r="V508" s="1072"/>
      <c r="W508" s="1072"/>
      <c r="X508" s="1072"/>
      <c r="Y508" s="1072"/>
      <c r="Z508" s="1072"/>
      <c r="AA508" s="1072"/>
      <c r="AB508" s="1072"/>
      <c r="AC508" s="1590"/>
      <c r="AD508" s="1590"/>
      <c r="AE508" s="1590"/>
      <c r="AF508" s="1590"/>
      <c r="AG508" s="1590"/>
      <c r="AH508" s="1590"/>
      <c r="AI508" s="1590"/>
      <c r="AJ508" s="921"/>
      <c r="AK508" s="1000"/>
      <c r="AL508" s="1000"/>
      <c r="AM508" s="1020"/>
      <c r="AN508" s="1127"/>
    </row>
    <row r="509" spans="1:81" s="1128" customFormat="1" ht="12.75" customHeight="1">
      <c r="A509" s="1054"/>
      <c r="B509" s="1000"/>
      <c r="C509" s="1631"/>
      <c r="D509" s="1017"/>
      <c r="E509" s="1072"/>
      <c r="F509" s="1072"/>
      <c r="G509" s="1072"/>
      <c r="H509" s="1072"/>
      <c r="I509" s="1072"/>
      <c r="J509" s="1072"/>
      <c r="K509" s="1072"/>
      <c r="L509" s="1072"/>
      <c r="M509" s="1072"/>
      <c r="N509" s="1072"/>
      <c r="O509" s="1072"/>
      <c r="P509" s="1072"/>
      <c r="Q509" s="1072"/>
      <c r="R509" s="1072"/>
      <c r="S509" s="1072"/>
      <c r="T509" s="1072"/>
      <c r="U509" s="1072"/>
      <c r="V509" s="1072"/>
      <c r="W509" s="1072"/>
      <c r="X509" s="1072"/>
      <c r="Y509" s="1072"/>
      <c r="Z509" s="1072"/>
      <c r="AA509" s="1072"/>
      <c r="AB509" s="1072"/>
      <c r="AC509" s="1590"/>
      <c r="AD509" s="1590"/>
      <c r="AE509" s="1590"/>
      <c r="AF509" s="1590"/>
      <c r="AG509" s="1590"/>
      <c r="AH509" s="1590"/>
      <c r="AI509" s="1590"/>
      <c r="AJ509" s="921"/>
      <c r="AK509" s="1000"/>
      <c r="AL509" s="1000"/>
      <c r="AM509" s="1020"/>
      <c r="AN509" s="919"/>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28" customFormat="1">
      <c r="A510" s="1065"/>
      <c r="B510" s="1003"/>
      <c r="C510" s="1647"/>
      <c r="D510" s="1013"/>
      <c r="E510" s="1660"/>
      <c r="F510" s="1660"/>
      <c r="G510" s="1660"/>
      <c r="H510" s="1660"/>
      <c r="I510" s="1660"/>
      <c r="J510" s="1660"/>
      <c r="K510" s="1660"/>
      <c r="L510" s="1660"/>
      <c r="M510" s="1660"/>
      <c r="N510" s="1660"/>
      <c r="O510" s="1660"/>
      <c r="P510" s="1660"/>
      <c r="Q510" s="1660"/>
      <c r="R510" s="1660"/>
      <c r="S510" s="1660"/>
      <c r="T510" s="1660"/>
      <c r="U510" s="1660"/>
      <c r="V510" s="1660"/>
      <c r="W510" s="1660"/>
      <c r="X510" s="1660"/>
      <c r="Y510" s="1660"/>
      <c r="Z510" s="1660"/>
      <c r="AA510" s="1660"/>
      <c r="AB510" s="1134"/>
      <c r="AC510" s="1134"/>
      <c r="AD510" s="1134"/>
      <c r="AE510" s="1134"/>
      <c r="AF510" s="1134"/>
      <c r="AG510" s="1134"/>
      <c r="AH510" s="1013"/>
      <c r="AI510" s="953" t="s">
        <v>1725</v>
      </c>
      <c r="AJ510" s="3100">
        <f>VLOOKUP($H$508,$AO$441:$AP$443,2,FALSE)</f>
        <v>0</v>
      </c>
      <c r="AK510" s="3102"/>
      <c r="AL510" s="999"/>
      <c r="AM510" s="996"/>
      <c r="AN510" s="919"/>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28" customFormat="1" ht="12.75" customHeight="1">
      <c r="A511" s="1113"/>
      <c r="B511" s="1017"/>
      <c r="C511" s="1633"/>
      <c r="D511" s="921"/>
      <c r="E511" s="921"/>
      <c r="F511" s="921"/>
      <c r="G511" s="921"/>
      <c r="H511" s="921"/>
      <c r="I511" s="921"/>
      <c r="J511" s="1072"/>
      <c r="K511" s="1072"/>
      <c r="L511" s="1591"/>
      <c r="M511" s="1591"/>
      <c r="N511" s="1591"/>
      <c r="O511" s="1591"/>
      <c r="P511" s="1591"/>
      <c r="Q511" s="1591"/>
      <c r="R511" s="1591"/>
      <c r="S511" s="1591"/>
      <c r="T511" s="1591"/>
      <c r="U511" s="1591"/>
      <c r="V511" s="1029"/>
      <c r="W511" s="1029"/>
      <c r="X511" s="1029"/>
      <c r="Y511" s="1029"/>
      <c r="Z511" s="1637"/>
      <c r="AA511" s="1637"/>
      <c r="AB511" s="1637"/>
      <c r="AC511" s="1017"/>
      <c r="AD511" s="1017"/>
      <c r="AE511" s="1017"/>
      <c r="AF511" s="1017"/>
      <c r="AG511" s="1017"/>
      <c r="AH511" s="1017"/>
      <c r="AI511" s="921"/>
      <c r="AJ511" s="921"/>
      <c r="AK511" s="921"/>
      <c r="AL511" s="921"/>
      <c r="AM511" s="937"/>
      <c r="AN511" s="919"/>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28" customFormat="1">
      <c r="A512" s="937"/>
      <c r="B512" s="921"/>
      <c r="C512" s="980" t="s">
        <v>1715</v>
      </c>
      <c r="D512" s="1029"/>
      <c r="E512" s="921"/>
      <c r="F512" s="921"/>
      <c r="G512" s="921"/>
      <c r="H512" s="921"/>
      <c r="I512" s="921"/>
      <c r="J512" s="921"/>
      <c r="K512" s="921"/>
      <c r="L512" s="921"/>
      <c r="M512" s="921"/>
      <c r="N512" s="921"/>
      <c r="O512" s="921"/>
      <c r="P512" s="921"/>
      <c r="Q512" s="921"/>
      <c r="R512" s="921"/>
      <c r="S512" s="921"/>
      <c r="T512" s="921"/>
      <c r="U512" s="921"/>
      <c r="V512" s="921"/>
      <c r="W512" s="921"/>
      <c r="X512" s="921"/>
      <c r="Y512" s="921"/>
      <c r="Z512" s="921"/>
      <c r="AA512" s="921"/>
      <c r="AB512" s="921"/>
      <c r="AC512" s="921"/>
      <c r="AD512" s="921"/>
      <c r="AE512" s="921"/>
      <c r="AF512" s="921"/>
      <c r="AG512" s="921"/>
      <c r="AH512" s="921"/>
      <c r="AI512" s="921"/>
      <c r="AJ512" s="921"/>
      <c r="AK512" s="921"/>
      <c r="AL512" s="921"/>
      <c r="AM512" s="937"/>
      <c r="AN512" s="919"/>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28" customFormat="1">
      <c r="A513" s="1054"/>
      <c r="B513" s="1029"/>
      <c r="C513" s="921"/>
      <c r="D513" s="921"/>
      <c r="E513" s="1029"/>
      <c r="F513" s="1029"/>
      <c r="G513" s="1029"/>
      <c r="H513" s="1029"/>
      <c r="I513" s="1029"/>
      <c r="J513" s="1029"/>
      <c r="K513" s="1029"/>
      <c r="L513" s="1029"/>
      <c r="M513" s="1029"/>
      <c r="N513" s="1029"/>
      <c r="O513" s="1029"/>
      <c r="P513" s="1029"/>
      <c r="Q513" s="1029"/>
      <c r="R513" s="1029"/>
      <c r="S513" s="1029"/>
      <c r="T513" s="1029"/>
      <c r="U513" s="1029"/>
      <c r="V513" s="1029"/>
      <c r="W513" s="1029"/>
      <c r="X513" s="1029"/>
      <c r="Y513" s="1029"/>
      <c r="Z513" s="1029"/>
      <c r="AA513" s="1029"/>
      <c r="AB513" s="1029"/>
      <c r="AC513" s="1029"/>
      <c r="AD513" s="1029"/>
      <c r="AE513" s="1029"/>
      <c r="AF513" s="1029"/>
      <c r="AG513" s="1029"/>
      <c r="AH513" s="1029"/>
      <c r="AI513" s="1000"/>
      <c r="AJ513" s="921"/>
      <c r="AK513" s="1000"/>
      <c r="AL513" s="1000"/>
      <c r="AM513" s="1020"/>
      <c r="AN513" s="919"/>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28" customFormat="1">
      <c r="A514" s="1054"/>
      <c r="B514" s="921"/>
      <c r="C514" s="1631"/>
      <c r="D514" s="1100" t="s">
        <v>725</v>
      </c>
      <c r="E514" s="3118" t="s">
        <v>1726</v>
      </c>
      <c r="F514" s="3118"/>
      <c r="G514" s="3118"/>
      <c r="H514" s="3118"/>
      <c r="I514" s="3118"/>
      <c r="J514" s="3118"/>
      <c r="K514" s="3118"/>
      <c r="L514" s="3118"/>
      <c r="M514" s="3118"/>
      <c r="N514" s="3118"/>
      <c r="O514" s="3118"/>
      <c r="P514" s="3118"/>
      <c r="Q514" s="3118"/>
      <c r="R514" s="3118"/>
      <c r="S514" s="3118"/>
      <c r="T514" s="3118"/>
      <c r="U514" s="3118"/>
      <c r="V514" s="3118"/>
      <c r="W514" s="3118"/>
      <c r="X514" s="3118"/>
      <c r="Y514" s="3118"/>
      <c r="Z514" s="3118"/>
      <c r="AA514" s="3118"/>
      <c r="AB514" s="3118"/>
      <c r="AC514" s="921"/>
      <c r="AD514" s="921"/>
      <c r="AE514" s="921"/>
      <c r="AF514" s="3217" t="s">
        <v>1685</v>
      </c>
      <c r="AG514" s="3217"/>
      <c r="AH514" s="3217"/>
      <c r="AI514" s="3217"/>
      <c r="AJ514" s="3217"/>
      <c r="AK514" s="3217"/>
      <c r="AL514" s="3217"/>
      <c r="AM514" s="1020"/>
      <c r="AN514" s="919"/>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28" customFormat="1">
      <c r="A515" s="1054"/>
      <c r="B515" s="1017"/>
      <c r="C515" s="1633"/>
      <c r="D515" s="1100"/>
      <c r="E515" s="3118"/>
      <c r="F515" s="3118"/>
      <c r="G515" s="3118"/>
      <c r="H515" s="3118"/>
      <c r="I515" s="3118"/>
      <c r="J515" s="3118"/>
      <c r="K515" s="3118"/>
      <c r="L515" s="3118"/>
      <c r="M515" s="3118"/>
      <c r="N515" s="3118"/>
      <c r="O515" s="3118"/>
      <c r="P515" s="3118"/>
      <c r="Q515" s="3118"/>
      <c r="R515" s="3118"/>
      <c r="S515" s="3118"/>
      <c r="T515" s="3118"/>
      <c r="U515" s="3118"/>
      <c r="V515" s="3118"/>
      <c r="W515" s="3118"/>
      <c r="X515" s="3118"/>
      <c r="Y515" s="3118"/>
      <c r="Z515" s="3118"/>
      <c r="AA515" s="3118"/>
      <c r="AB515" s="3118"/>
      <c r="AC515" s="921"/>
      <c r="AD515" s="921"/>
      <c r="AE515" s="921"/>
      <c r="AF515" s="921"/>
      <c r="AG515" s="921"/>
      <c r="AH515" s="921"/>
      <c r="AI515" s="921"/>
      <c r="AJ515" s="921"/>
      <c r="AK515" s="921"/>
      <c r="AL515" s="1000"/>
      <c r="AM515" s="1020"/>
      <c r="AN515" s="919"/>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28" customFormat="1">
      <c r="A516" s="1054"/>
      <c r="B516" s="1029"/>
      <c r="C516" s="1643"/>
      <c r="D516" s="1100"/>
      <c r="E516" s="1029"/>
      <c r="F516" s="1029"/>
      <c r="G516" s="1029"/>
      <c r="H516" s="1029"/>
      <c r="I516" s="1029"/>
      <c r="J516" s="1029"/>
      <c r="K516" s="1029"/>
      <c r="L516" s="1029"/>
      <c r="M516" s="1029"/>
      <c r="N516" s="1029"/>
      <c r="O516" s="1029"/>
      <c r="P516" s="1029"/>
      <c r="Q516" s="1029"/>
      <c r="R516" s="1029"/>
      <c r="S516" s="1029"/>
      <c r="T516" s="1029"/>
      <c r="U516" s="1029"/>
      <c r="V516" s="1029"/>
      <c r="W516" s="1029"/>
      <c r="X516" s="1029"/>
      <c r="Y516" s="1029"/>
      <c r="Z516" s="1029"/>
      <c r="AA516" s="1029"/>
      <c r="AB516" s="1029"/>
      <c r="AC516" s="921"/>
      <c r="AD516" s="921"/>
      <c r="AE516" s="1029"/>
      <c r="AF516" s="1029"/>
      <c r="AG516" s="1029"/>
      <c r="AH516" s="1029"/>
      <c r="AI516" s="1029"/>
      <c r="AJ516" s="1029"/>
      <c r="AK516" s="1000"/>
      <c r="AL516" s="1000"/>
      <c r="AM516" s="1020"/>
      <c r="AN516" s="919"/>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28" customFormat="1">
      <c r="A517" s="1113"/>
      <c r="B517" s="1000"/>
      <c r="C517" s="1631"/>
      <c r="D517" s="1100" t="s">
        <v>542</v>
      </c>
      <c r="E517" s="3118" t="s">
        <v>1727</v>
      </c>
      <c r="F517" s="3118"/>
      <c r="G517" s="3118"/>
      <c r="H517" s="3118"/>
      <c r="I517" s="3118"/>
      <c r="J517" s="3118"/>
      <c r="K517" s="3118"/>
      <c r="L517" s="3118"/>
      <c r="M517" s="3118"/>
      <c r="N517" s="3118"/>
      <c r="O517" s="3118"/>
      <c r="P517" s="3118"/>
      <c r="Q517" s="3118"/>
      <c r="R517" s="3118"/>
      <c r="S517" s="3118"/>
      <c r="T517" s="3118"/>
      <c r="U517" s="3118"/>
      <c r="V517" s="3118"/>
      <c r="W517" s="3118"/>
      <c r="X517" s="3118"/>
      <c r="Y517" s="3118"/>
      <c r="Z517" s="3118"/>
      <c r="AA517" s="3118"/>
      <c r="AB517" s="3118"/>
      <c r="AC517" s="921"/>
      <c r="AD517" s="921"/>
      <c r="AE517" s="921"/>
      <c r="AF517" s="3217" t="s">
        <v>1704</v>
      </c>
      <c r="AG517" s="3217"/>
      <c r="AH517" s="3217"/>
      <c r="AI517" s="3217"/>
      <c r="AJ517" s="3217"/>
      <c r="AK517" s="3217"/>
      <c r="AL517" s="3217"/>
      <c r="AM517" s="1020"/>
      <c r="AN517" s="919"/>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28" customFormat="1" ht="12.75" customHeight="1">
      <c r="A518" s="1113"/>
      <c r="B518" s="1000"/>
      <c r="C518" s="1631"/>
      <c r="D518" s="1100"/>
      <c r="E518" s="3118"/>
      <c r="F518" s="3118"/>
      <c r="G518" s="3118"/>
      <c r="H518" s="3118"/>
      <c r="I518" s="3118"/>
      <c r="J518" s="3118"/>
      <c r="K518" s="3118"/>
      <c r="L518" s="3118"/>
      <c r="M518" s="3118"/>
      <c r="N518" s="3118"/>
      <c r="O518" s="3118"/>
      <c r="P518" s="3118"/>
      <c r="Q518" s="3118"/>
      <c r="R518" s="3118"/>
      <c r="S518" s="3118"/>
      <c r="T518" s="3118"/>
      <c r="U518" s="3118"/>
      <c r="V518" s="3118"/>
      <c r="W518" s="3118"/>
      <c r="X518" s="3118"/>
      <c r="Y518" s="3118"/>
      <c r="Z518" s="3118"/>
      <c r="AA518" s="3118"/>
      <c r="AB518" s="3118"/>
      <c r="AC518" s="921"/>
      <c r="AD518" s="921"/>
      <c r="AE518" s="1590"/>
      <c r="AF518" s="921"/>
      <c r="AG518" s="921"/>
      <c r="AH518" s="921"/>
      <c r="AI518" s="921"/>
      <c r="AJ518" s="921"/>
      <c r="AK518" s="921"/>
      <c r="AL518" s="921"/>
      <c r="AM518" s="1020"/>
      <c r="AN518" s="919"/>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28" customFormat="1">
      <c r="A519" s="1054"/>
      <c r="B519" s="1017"/>
      <c r="C519" s="1633"/>
      <c r="D519" s="1017"/>
      <c r="E519" s="1591"/>
      <c r="F519" s="1591"/>
      <c r="G519" s="1591"/>
      <c r="H519" s="1591"/>
      <c r="I519" s="1591"/>
      <c r="J519" s="1591"/>
      <c r="K519" s="1591"/>
      <c r="L519" s="1591"/>
      <c r="M519" s="1591"/>
      <c r="N519" s="1591"/>
      <c r="O519" s="1591"/>
      <c r="P519" s="1591"/>
      <c r="Q519" s="1591"/>
      <c r="R519" s="1591"/>
      <c r="S519" s="1591"/>
      <c r="T519" s="1591"/>
      <c r="U519" s="1591"/>
      <c r="V519" s="1591"/>
      <c r="W519" s="1591"/>
      <c r="X519" s="1591"/>
      <c r="Y519" s="1591"/>
      <c r="Z519" s="1591"/>
      <c r="AA519" s="1591"/>
      <c r="AB519" s="1591"/>
      <c r="AC519" s="1017"/>
      <c r="AD519" s="1017"/>
      <c r="AE519" s="1029"/>
      <c r="AF519" s="1029"/>
      <c r="AG519" s="1029"/>
      <c r="AH519" s="1029"/>
      <c r="AI519" s="1000"/>
      <c r="AJ519" s="921"/>
      <c r="AK519" s="1000"/>
      <c r="AL519" s="1000"/>
      <c r="AM519" s="1020"/>
      <c r="AN519" s="919"/>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28" customFormat="1" ht="12.75" customHeight="1">
      <c r="A520" s="1054"/>
      <c r="B520" s="1017"/>
      <c r="C520" s="921"/>
      <c r="D520" s="1017" t="s">
        <v>1677</v>
      </c>
      <c r="E520" s="1637"/>
      <c r="F520" s="1637"/>
      <c r="G520" s="1637"/>
      <c r="H520" s="3117" t="s">
        <v>725</v>
      </c>
      <c r="I520" s="3117"/>
      <c r="J520" s="1591"/>
      <c r="K520" s="1591"/>
      <c r="L520" s="1591"/>
      <c r="M520" s="1591"/>
      <c r="N520" s="1591"/>
      <c r="O520" s="1591"/>
      <c r="P520" s="1591"/>
      <c r="Q520" s="921"/>
      <c r="R520" s="921"/>
      <c r="S520" s="921"/>
      <c r="T520" s="921"/>
      <c r="U520" s="921"/>
      <c r="V520" s="921"/>
      <c r="W520" s="1591"/>
      <c r="X520" s="1591"/>
      <c r="Y520" s="1591"/>
      <c r="Z520" s="1591"/>
      <c r="AA520" s="1591"/>
      <c r="AB520" s="1591"/>
      <c r="AC520" s="1017"/>
      <c r="AD520" s="1017"/>
      <c r="AE520" s="1029"/>
      <c r="AF520" s="1029"/>
      <c r="AG520" s="1029"/>
      <c r="AH520" s="1029"/>
      <c r="AI520" s="1000"/>
      <c r="AJ520" s="921"/>
      <c r="AK520" s="1000"/>
      <c r="AL520" s="1000"/>
      <c r="AM520" s="1020"/>
      <c r="AN520" s="919"/>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28" customFormat="1" ht="12.75" customHeight="1">
      <c r="A521" s="1054"/>
      <c r="B521" s="1029"/>
      <c r="C521" s="1643"/>
      <c r="D521" s="1029"/>
      <c r="E521" s="1029"/>
      <c r="F521" s="1029"/>
      <c r="G521" s="1029"/>
      <c r="H521" s="1029"/>
      <c r="I521" s="1029"/>
      <c r="J521" s="1029"/>
      <c r="K521" s="1029"/>
      <c r="L521" s="1029"/>
      <c r="M521" s="1029"/>
      <c r="N521" s="1029"/>
      <c r="O521" s="1029"/>
      <c r="P521" s="1029"/>
      <c r="Q521" s="1029"/>
      <c r="R521" s="1029"/>
      <c r="S521" s="1029"/>
      <c r="T521" s="1029"/>
      <c r="U521" s="1029"/>
      <c r="V521" s="1029"/>
      <c r="W521" s="1029"/>
      <c r="X521" s="1029"/>
      <c r="Y521" s="1029"/>
      <c r="Z521" s="1029"/>
      <c r="AA521" s="1029"/>
      <c r="AB521" s="1029"/>
      <c r="AC521" s="1029"/>
      <c r="AD521" s="1029"/>
      <c r="AE521" s="1029"/>
      <c r="AF521" s="1029"/>
      <c r="AG521" s="1029"/>
      <c r="AH521" s="1029"/>
      <c r="AI521" s="1000"/>
      <c r="AJ521" s="921"/>
      <c r="AK521" s="1000"/>
      <c r="AL521" s="1000"/>
      <c r="AM521" s="1020"/>
      <c r="AN521" s="919"/>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28" customFormat="1" ht="13.95" customHeight="1">
      <c r="A522" s="1065"/>
      <c r="B522" s="1102"/>
      <c r="C522" s="1661"/>
      <c r="D522" s="1102"/>
      <c r="E522" s="1102"/>
      <c r="F522" s="1102"/>
      <c r="G522" s="1102"/>
      <c r="H522" s="1102"/>
      <c r="I522" s="1102"/>
      <c r="J522" s="1102"/>
      <c r="K522" s="1102"/>
      <c r="L522" s="1102"/>
      <c r="M522" s="1102"/>
      <c r="N522" s="1102"/>
      <c r="O522" s="1102"/>
      <c r="P522" s="1102"/>
      <c r="Q522" s="1102"/>
      <c r="R522" s="1102"/>
      <c r="S522" s="1102"/>
      <c r="T522" s="1102"/>
      <c r="U522" s="1102"/>
      <c r="V522" s="1102"/>
      <c r="W522" s="1102"/>
      <c r="X522" s="1102"/>
      <c r="Y522" s="1102"/>
      <c r="Z522" s="1102"/>
      <c r="AA522" s="1102"/>
      <c r="AB522" s="1102"/>
      <c r="AC522" s="1102"/>
      <c r="AD522" s="1102"/>
      <c r="AE522" s="1102"/>
      <c r="AF522" s="1102"/>
      <c r="AG522" s="1102"/>
      <c r="AH522" s="1013"/>
      <c r="AI522" s="953" t="s">
        <v>1728</v>
      </c>
      <c r="AJ522" s="3100">
        <f>VLOOKUP($H$520,$AO$455:$AP$457,2,FALSE)</f>
        <v>2</v>
      </c>
      <c r="AK522" s="3102"/>
      <c r="AL522" s="999"/>
      <c r="AM522" s="996"/>
      <c r="AN522" s="919"/>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28" customFormat="1">
      <c r="A523" s="1054"/>
      <c r="B523" s="1029"/>
      <c r="C523" s="1643"/>
      <c r="D523" s="1029"/>
      <c r="E523" s="1029"/>
      <c r="F523" s="1029"/>
      <c r="G523" s="1029"/>
      <c r="H523" s="1029"/>
      <c r="I523" s="1029"/>
      <c r="J523" s="1029"/>
      <c r="K523" s="1029"/>
      <c r="L523" s="1029"/>
      <c r="M523" s="1029"/>
      <c r="N523" s="1029"/>
      <c r="O523" s="1029"/>
      <c r="P523" s="1029"/>
      <c r="Q523" s="1029"/>
      <c r="R523" s="1029"/>
      <c r="S523" s="1029"/>
      <c r="T523" s="1029"/>
      <c r="U523" s="1029"/>
      <c r="V523" s="1029"/>
      <c r="W523" s="1029"/>
      <c r="X523" s="1029"/>
      <c r="Y523" s="1029"/>
      <c r="Z523" s="1029"/>
      <c r="AA523" s="1029"/>
      <c r="AB523" s="1029"/>
      <c r="AC523" s="1029"/>
      <c r="AD523" s="1029"/>
      <c r="AE523" s="1029"/>
      <c r="AF523" s="1029"/>
      <c r="AG523" s="1029"/>
      <c r="AH523" s="1017"/>
      <c r="AI523" s="1589"/>
      <c r="AJ523" s="999"/>
      <c r="AK523" s="999"/>
      <c r="AL523" s="999"/>
      <c r="AM523" s="996"/>
      <c r="AN523" s="919"/>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28" customFormat="1">
      <c r="A524" s="1054"/>
      <c r="B524" s="1029"/>
      <c r="C524" s="980" t="s">
        <v>1717</v>
      </c>
      <c r="D524" s="1029"/>
      <c r="E524" s="1029"/>
      <c r="F524" s="1029"/>
      <c r="G524" s="1029"/>
      <c r="H524" s="1029"/>
      <c r="I524" s="1029"/>
      <c r="J524" s="1029"/>
      <c r="K524" s="1029"/>
      <c r="L524" s="1029"/>
      <c r="M524" s="1029"/>
      <c r="N524" s="1029"/>
      <c r="O524" s="1029"/>
      <c r="P524" s="1029"/>
      <c r="Q524" s="1029"/>
      <c r="R524" s="1029"/>
      <c r="S524" s="1029"/>
      <c r="T524" s="1029"/>
      <c r="U524" s="1029"/>
      <c r="V524" s="1029"/>
      <c r="W524" s="1029"/>
      <c r="X524" s="1029"/>
      <c r="Y524" s="1029"/>
      <c r="Z524" s="1029"/>
      <c r="AA524" s="1029"/>
      <c r="AB524" s="1029"/>
      <c r="AC524" s="1029"/>
      <c r="AD524" s="1029"/>
      <c r="AE524" s="1029"/>
      <c r="AF524" s="1029"/>
      <c r="AG524" s="1029"/>
      <c r="AH524" s="1017"/>
      <c r="AI524" s="1589"/>
      <c r="AJ524" s="999"/>
      <c r="AK524" s="999"/>
      <c r="AL524" s="999"/>
      <c r="AM524" s="996"/>
      <c r="AN524" s="919"/>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28" customFormat="1">
      <c r="A525" s="1054"/>
      <c r="B525" s="1029"/>
      <c r="C525" s="1643"/>
      <c r="D525" s="1029"/>
      <c r="E525" s="1029"/>
      <c r="F525" s="1029"/>
      <c r="G525" s="1029"/>
      <c r="H525" s="1029"/>
      <c r="I525" s="1029"/>
      <c r="J525" s="1029"/>
      <c r="K525" s="1029"/>
      <c r="L525" s="1029"/>
      <c r="M525" s="1029"/>
      <c r="N525" s="1029"/>
      <c r="O525" s="1029"/>
      <c r="P525" s="1029"/>
      <c r="Q525" s="1029"/>
      <c r="R525" s="1029"/>
      <c r="S525" s="1029"/>
      <c r="T525" s="1029"/>
      <c r="U525" s="1029"/>
      <c r="V525" s="1029"/>
      <c r="W525" s="1029"/>
      <c r="X525" s="1029"/>
      <c r="Y525" s="1029"/>
      <c r="Z525" s="1029"/>
      <c r="AA525" s="1029"/>
      <c r="AB525" s="1029"/>
      <c r="AC525" s="1029"/>
      <c r="AD525" s="1029"/>
      <c r="AE525" s="1029"/>
      <c r="AF525" s="1029"/>
      <c r="AG525" s="1029"/>
      <c r="AH525" s="1017"/>
      <c r="AI525" s="1589"/>
      <c r="AJ525" s="999"/>
      <c r="AK525" s="999"/>
      <c r="AL525" s="999"/>
      <c r="AM525" s="996"/>
      <c r="AN525" s="1127"/>
    </row>
    <row r="526" spans="1:74" s="1128" customFormat="1" ht="13.8" customHeight="1">
      <c r="A526" s="1054"/>
      <c r="B526" s="1029"/>
      <c r="C526" s="1643"/>
      <c r="D526" s="1100" t="s">
        <v>725</v>
      </c>
      <c r="E526" s="3118" t="s">
        <v>2183</v>
      </c>
      <c r="F526" s="3118"/>
      <c r="G526" s="3118"/>
      <c r="H526" s="3118"/>
      <c r="I526" s="3118"/>
      <c r="J526" s="3118"/>
      <c r="K526" s="3118"/>
      <c r="L526" s="3118"/>
      <c r="M526" s="3118"/>
      <c r="N526" s="3118"/>
      <c r="O526" s="3118"/>
      <c r="P526" s="3118"/>
      <c r="Q526" s="3118"/>
      <c r="R526" s="3118"/>
      <c r="S526" s="3118"/>
      <c r="T526" s="3118"/>
      <c r="U526" s="3118"/>
      <c r="V526" s="3118"/>
      <c r="W526" s="3118"/>
      <c r="X526" s="3118"/>
      <c r="Y526" s="3118"/>
      <c r="Z526" s="3118"/>
      <c r="AA526" s="3118"/>
      <c r="AB526" s="3118"/>
      <c r="AC526" s="3118"/>
      <c r="AD526" s="3118"/>
      <c r="AE526" s="921"/>
      <c r="AF526" s="3217" t="s">
        <v>1685</v>
      </c>
      <c r="AG526" s="3217"/>
      <c r="AH526" s="3217"/>
      <c r="AI526" s="3217"/>
      <c r="AJ526" s="3217"/>
      <c r="AK526" s="3217"/>
      <c r="AL526" s="3217"/>
      <c r="AM526" s="1025"/>
      <c r="AN526" s="1127"/>
    </row>
    <row r="527" spans="1:74" s="1128" customFormat="1" ht="13.8" customHeight="1">
      <c r="A527" s="1054"/>
      <c r="B527" s="1029"/>
      <c r="C527" s="1643"/>
      <c r="D527" s="1100"/>
      <c r="E527" s="3118"/>
      <c r="F527" s="3118"/>
      <c r="G527" s="3118"/>
      <c r="H527" s="3118"/>
      <c r="I527" s="3118"/>
      <c r="J527" s="3118"/>
      <c r="K527" s="3118"/>
      <c r="L527" s="3118"/>
      <c r="M527" s="3118"/>
      <c r="N527" s="3118"/>
      <c r="O527" s="3118"/>
      <c r="P527" s="3118"/>
      <c r="Q527" s="3118"/>
      <c r="R527" s="3118"/>
      <c r="S527" s="3118"/>
      <c r="T527" s="3118"/>
      <c r="U527" s="3118"/>
      <c r="V527" s="3118"/>
      <c r="W527" s="3118"/>
      <c r="X527" s="3118"/>
      <c r="Y527" s="3118"/>
      <c r="Z527" s="3118"/>
      <c r="AA527" s="3118"/>
      <c r="AB527" s="3118"/>
      <c r="AC527" s="3118"/>
      <c r="AD527" s="3118"/>
      <c r="AE527" s="921"/>
      <c r="AF527" s="1590"/>
      <c r="AG527" s="1590"/>
      <c r="AH527" s="1590"/>
      <c r="AI527" s="1590"/>
      <c r="AJ527" s="1590"/>
      <c r="AK527" s="1590"/>
      <c r="AL527" s="1590"/>
      <c r="AM527" s="1025"/>
      <c r="AN527" s="1127"/>
    </row>
    <row r="528" spans="1:74" s="1128" customFormat="1">
      <c r="A528" s="1054"/>
      <c r="B528" s="1029"/>
      <c r="C528" s="1643"/>
      <c r="D528" s="1100"/>
      <c r="E528" s="3118"/>
      <c r="F528" s="3118"/>
      <c r="G528" s="3118"/>
      <c r="H528" s="3118"/>
      <c r="I528" s="3118"/>
      <c r="J528" s="3118"/>
      <c r="K528" s="3118"/>
      <c r="L528" s="3118"/>
      <c r="M528" s="3118"/>
      <c r="N528" s="3118"/>
      <c r="O528" s="3118"/>
      <c r="P528" s="3118"/>
      <c r="Q528" s="3118"/>
      <c r="R528" s="3118"/>
      <c r="S528" s="3118"/>
      <c r="T528" s="3118"/>
      <c r="U528" s="3118"/>
      <c r="V528" s="3118"/>
      <c r="W528" s="3118"/>
      <c r="X528" s="3118"/>
      <c r="Y528" s="3118"/>
      <c r="Z528" s="3118"/>
      <c r="AA528" s="3118"/>
      <c r="AB528" s="3118"/>
      <c r="AC528" s="3118"/>
      <c r="AD528" s="3118"/>
      <c r="AE528" s="921"/>
      <c r="AF528" s="921"/>
      <c r="AG528" s="921"/>
      <c r="AH528" s="921"/>
      <c r="AI528" s="921"/>
      <c r="AJ528" s="921"/>
      <c r="AK528" s="921"/>
      <c r="AL528" s="1590"/>
      <c r="AM528" s="1025"/>
      <c r="AN528" s="919"/>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28" customFormat="1" ht="18.75" customHeight="1">
      <c r="A529" s="1054"/>
      <c r="B529" s="1029"/>
      <c r="C529" s="1643"/>
      <c r="D529" s="1100"/>
      <c r="E529" s="3118"/>
      <c r="F529" s="3118"/>
      <c r="G529" s="3118"/>
      <c r="H529" s="3118"/>
      <c r="I529" s="3118"/>
      <c r="J529" s="3118"/>
      <c r="K529" s="3118"/>
      <c r="L529" s="3118"/>
      <c r="M529" s="3118"/>
      <c r="N529" s="3118"/>
      <c r="O529" s="3118"/>
      <c r="P529" s="3118"/>
      <c r="Q529" s="3118"/>
      <c r="R529" s="3118"/>
      <c r="S529" s="3118"/>
      <c r="T529" s="3118"/>
      <c r="U529" s="3118"/>
      <c r="V529" s="3118"/>
      <c r="W529" s="3118"/>
      <c r="X529" s="3118"/>
      <c r="Y529" s="3118"/>
      <c r="Z529" s="3118"/>
      <c r="AA529" s="3118"/>
      <c r="AB529" s="3118"/>
      <c r="AC529" s="3118"/>
      <c r="AD529" s="3118"/>
      <c r="AE529" s="1590"/>
      <c r="AF529" s="1590"/>
      <c r="AG529" s="1590"/>
      <c r="AH529" s="1590"/>
      <c r="AI529" s="1590"/>
      <c r="AJ529" s="1590"/>
      <c r="AK529" s="1590"/>
      <c r="AL529" s="1590"/>
      <c r="AM529" s="1025"/>
      <c r="AN529" s="919"/>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7" customFormat="1" ht="12.75" customHeight="1">
      <c r="A530" s="1054"/>
      <c r="B530" s="1029"/>
      <c r="C530" s="1643"/>
      <c r="D530" s="1100"/>
      <c r="E530" s="1587"/>
      <c r="F530" s="1587"/>
      <c r="G530" s="1587"/>
      <c r="H530" s="1587"/>
      <c r="I530" s="1587"/>
      <c r="J530" s="1587"/>
      <c r="K530" s="1587"/>
      <c r="L530" s="1587"/>
      <c r="M530" s="1587"/>
      <c r="N530" s="1587"/>
      <c r="O530" s="1587"/>
      <c r="P530" s="1587"/>
      <c r="Q530" s="1587"/>
      <c r="R530" s="1587"/>
      <c r="S530" s="1587"/>
      <c r="T530" s="1587"/>
      <c r="U530" s="1587"/>
      <c r="V530" s="1587"/>
      <c r="W530" s="1587"/>
      <c r="X530" s="1587"/>
      <c r="Y530" s="1587"/>
      <c r="Z530" s="1587"/>
      <c r="AA530" s="1587"/>
      <c r="AB530" s="1587"/>
      <c r="AC530" s="1587"/>
      <c r="AD530" s="1587"/>
      <c r="AE530" s="1590"/>
      <c r="AF530" s="921"/>
      <c r="AG530" s="921"/>
      <c r="AH530" s="921"/>
      <c r="AI530" s="921"/>
      <c r="AJ530" s="921"/>
      <c r="AK530" s="921"/>
      <c r="AL530" s="921"/>
      <c r="AM530" s="1025"/>
      <c r="AN530" s="994"/>
    </row>
    <row r="531" spans="1:81" s="937" customFormat="1" ht="12.75" customHeight="1">
      <c r="A531" s="1054"/>
      <c r="B531" s="1029"/>
      <c r="C531" s="1643"/>
      <c r="D531" s="1100" t="s">
        <v>542</v>
      </c>
      <c r="E531" s="3218" t="s">
        <v>2191</v>
      </c>
      <c r="F531" s="3218"/>
      <c r="G531" s="3218"/>
      <c r="H531" s="3218"/>
      <c r="I531" s="3218"/>
      <c r="J531" s="3218"/>
      <c r="K531" s="3218"/>
      <c r="L531" s="3218"/>
      <c r="M531" s="3218"/>
      <c r="N531" s="3218"/>
      <c r="O531" s="3218"/>
      <c r="P531" s="3218"/>
      <c r="Q531" s="3218"/>
      <c r="R531" s="3218"/>
      <c r="S531" s="3218"/>
      <c r="T531" s="3218"/>
      <c r="U531" s="3218"/>
      <c r="V531" s="3218"/>
      <c r="W531" s="3218"/>
      <c r="X531" s="3218"/>
      <c r="Y531" s="3218"/>
      <c r="Z531" s="3218"/>
      <c r="AA531" s="3218"/>
      <c r="AB531" s="3218"/>
      <c r="AC531" s="3218"/>
      <c r="AD531" s="3218"/>
      <c r="AE531" s="921"/>
      <c r="AF531" s="3217" t="s">
        <v>1621</v>
      </c>
      <c r="AG531" s="3217"/>
      <c r="AH531" s="3217"/>
      <c r="AI531" s="3217"/>
      <c r="AJ531" s="3217"/>
      <c r="AK531" s="3217"/>
      <c r="AL531" s="3217"/>
      <c r="AM531" s="1025"/>
      <c r="AN531" s="994"/>
    </row>
    <row r="532" spans="1:81" s="937" customFormat="1" ht="12.75" customHeight="1">
      <c r="A532" s="1054"/>
      <c r="B532" s="1029"/>
      <c r="C532" s="1643"/>
      <c r="D532" s="1100"/>
      <c r="E532" s="3218"/>
      <c r="F532" s="3218"/>
      <c r="G532" s="3218"/>
      <c r="H532" s="3218"/>
      <c r="I532" s="3218"/>
      <c r="J532" s="3218"/>
      <c r="K532" s="3218"/>
      <c r="L532" s="3218"/>
      <c r="M532" s="3218"/>
      <c r="N532" s="3218"/>
      <c r="O532" s="3218"/>
      <c r="P532" s="3218"/>
      <c r="Q532" s="3218"/>
      <c r="R532" s="3218"/>
      <c r="S532" s="3218"/>
      <c r="T532" s="3218"/>
      <c r="U532" s="3218"/>
      <c r="V532" s="3218"/>
      <c r="W532" s="3218"/>
      <c r="X532" s="3218"/>
      <c r="Y532" s="3218"/>
      <c r="Z532" s="3218"/>
      <c r="AA532" s="3218"/>
      <c r="AB532" s="3218"/>
      <c r="AC532" s="3218"/>
      <c r="AD532" s="3218"/>
      <c r="AE532" s="1590"/>
      <c r="AF532" s="1590"/>
      <c r="AG532" s="1590"/>
      <c r="AH532" s="1590"/>
      <c r="AI532" s="1590"/>
      <c r="AJ532" s="1590"/>
      <c r="AK532" s="1590"/>
      <c r="AL532" s="1590"/>
      <c r="AM532" s="1025"/>
      <c r="AN532" s="994"/>
    </row>
    <row r="533" spans="1:81" s="937" customFormat="1" ht="12.75" customHeight="1">
      <c r="A533" s="1054"/>
      <c r="B533" s="1029"/>
      <c r="C533" s="1643"/>
      <c r="D533" s="1100"/>
      <c r="E533" s="3218"/>
      <c r="F533" s="3218"/>
      <c r="G533" s="3218"/>
      <c r="H533" s="3218"/>
      <c r="I533" s="3218"/>
      <c r="J533" s="3218"/>
      <c r="K533" s="3218"/>
      <c r="L533" s="3218"/>
      <c r="M533" s="3218"/>
      <c r="N533" s="3218"/>
      <c r="O533" s="3218"/>
      <c r="P533" s="3218"/>
      <c r="Q533" s="3218"/>
      <c r="R533" s="3218"/>
      <c r="S533" s="3218"/>
      <c r="T533" s="3218"/>
      <c r="U533" s="3218"/>
      <c r="V533" s="3218"/>
      <c r="W533" s="3218"/>
      <c r="X533" s="3218"/>
      <c r="Y533" s="3218"/>
      <c r="Z533" s="3218"/>
      <c r="AA533" s="3218"/>
      <c r="AB533" s="3218"/>
      <c r="AC533" s="3218"/>
      <c r="AD533" s="3218"/>
      <c r="AE533" s="1590"/>
      <c r="AF533" s="1590"/>
      <c r="AG533" s="1590"/>
      <c r="AH533" s="1590"/>
      <c r="AI533" s="1590"/>
      <c r="AJ533" s="1590"/>
      <c r="AK533" s="1590"/>
      <c r="AL533" s="1590"/>
      <c r="AM533" s="1025"/>
      <c r="AN533" s="994"/>
    </row>
    <row r="534" spans="1:81" s="937" customFormat="1" ht="12.75" customHeight="1">
      <c r="A534" s="1054"/>
      <c r="B534" s="1029"/>
      <c r="C534" s="1643"/>
      <c r="D534" s="1100"/>
      <c r="E534" s="3218"/>
      <c r="F534" s="3218"/>
      <c r="G534" s="3218"/>
      <c r="H534" s="3218"/>
      <c r="I534" s="3218"/>
      <c r="J534" s="3218"/>
      <c r="K534" s="3218"/>
      <c r="L534" s="3218"/>
      <c r="M534" s="3218"/>
      <c r="N534" s="3218"/>
      <c r="O534" s="3218"/>
      <c r="P534" s="3218"/>
      <c r="Q534" s="3218"/>
      <c r="R534" s="3218"/>
      <c r="S534" s="3218"/>
      <c r="T534" s="3218"/>
      <c r="U534" s="3218"/>
      <c r="V534" s="3218"/>
      <c r="W534" s="3218"/>
      <c r="X534" s="3218"/>
      <c r="Y534" s="3218"/>
      <c r="Z534" s="3218"/>
      <c r="AA534" s="3218"/>
      <c r="AB534" s="3218"/>
      <c r="AC534" s="3218"/>
      <c r="AD534" s="3218"/>
      <c r="AE534" s="1590"/>
      <c r="AF534" s="1590"/>
      <c r="AG534" s="1590"/>
      <c r="AH534" s="1590"/>
      <c r="AI534" s="1590"/>
      <c r="AJ534" s="1590"/>
      <c r="AK534" s="1590"/>
      <c r="AL534" s="1590"/>
      <c r="AM534" s="1025"/>
      <c r="AN534" s="994"/>
    </row>
    <row r="535" spans="1:81" s="937" customFormat="1" ht="12.75" customHeight="1">
      <c r="A535" s="1128"/>
      <c r="B535" s="921"/>
      <c r="C535" s="921"/>
      <c r="D535" s="921"/>
      <c r="E535" s="921"/>
      <c r="F535" s="921"/>
      <c r="G535" s="921"/>
      <c r="H535" s="921"/>
      <c r="I535" s="921"/>
      <c r="J535" s="921"/>
      <c r="K535" s="921"/>
      <c r="L535" s="921"/>
      <c r="M535" s="921"/>
      <c r="N535" s="921"/>
      <c r="O535" s="921"/>
      <c r="P535" s="921"/>
      <c r="Q535" s="921"/>
      <c r="R535" s="921"/>
      <c r="S535" s="921"/>
      <c r="T535" s="921"/>
      <c r="U535" s="921"/>
      <c r="V535" s="921"/>
      <c r="W535" s="921"/>
      <c r="X535" s="921"/>
      <c r="Y535" s="921"/>
      <c r="Z535" s="921"/>
      <c r="AA535" s="921"/>
      <c r="AB535" s="921"/>
      <c r="AC535" s="921"/>
      <c r="AD535" s="921"/>
      <c r="AE535" s="921"/>
      <c r="AF535" s="921"/>
      <c r="AG535" s="921"/>
      <c r="AH535" s="921"/>
      <c r="AI535" s="921"/>
      <c r="AJ535" s="921"/>
      <c r="AK535" s="921"/>
      <c r="AL535" s="921"/>
      <c r="AM535" s="1128"/>
      <c r="AN535" s="994"/>
    </row>
    <row r="536" spans="1:81" s="937" customFormat="1" ht="12.75" customHeight="1">
      <c r="A536" s="1054"/>
      <c r="B536" s="1029"/>
      <c r="C536" s="1643"/>
      <c r="D536" s="1017" t="s">
        <v>1677</v>
      </c>
      <c r="E536" s="1637"/>
      <c r="F536" s="1637"/>
      <c r="G536" s="1637"/>
      <c r="H536" s="3117" t="s">
        <v>626</v>
      </c>
      <c r="I536" s="3117"/>
      <c r="J536" s="1591"/>
      <c r="K536" s="1591"/>
      <c r="L536" s="1591"/>
      <c r="M536" s="1591"/>
      <c r="N536" s="1591"/>
      <c r="O536" s="1591"/>
      <c r="P536" s="1591"/>
      <c r="Q536" s="1591"/>
      <c r="R536" s="1591"/>
      <c r="S536" s="1591"/>
      <c r="T536" s="1591"/>
      <c r="U536" s="1591"/>
      <c r="V536" s="1591"/>
      <c r="W536" s="1591"/>
      <c r="X536" s="1591"/>
      <c r="Y536" s="1591"/>
      <c r="Z536" s="1591"/>
      <c r="AA536" s="1591"/>
      <c r="AB536" s="1591"/>
      <c r="AC536" s="1591"/>
      <c r="AD536" s="1591"/>
      <c r="AE536" s="1591"/>
      <c r="AF536" s="1591"/>
      <c r="AG536" s="1029"/>
      <c r="AH536" s="1017"/>
      <c r="AI536" s="1589"/>
      <c r="AJ536" s="999"/>
      <c r="AK536" s="999"/>
      <c r="AL536" s="999"/>
      <c r="AM536" s="996"/>
      <c r="AN536" s="994"/>
    </row>
    <row r="537" spans="1:81" s="937" customFormat="1" ht="12.75" customHeight="1">
      <c r="A537" s="1054"/>
      <c r="B537" s="1029"/>
      <c r="C537" s="1643"/>
      <c r="D537" s="1029"/>
      <c r="E537" s="1029"/>
      <c r="F537" s="1029"/>
      <c r="G537" s="1029"/>
      <c r="H537" s="1029"/>
      <c r="I537" s="1029"/>
      <c r="J537" s="1029"/>
      <c r="K537" s="1029"/>
      <c r="L537" s="1029"/>
      <c r="M537" s="1029"/>
      <c r="N537" s="1029"/>
      <c r="O537" s="1029"/>
      <c r="P537" s="1029"/>
      <c r="Q537" s="1029"/>
      <c r="R537" s="1029"/>
      <c r="S537" s="1029"/>
      <c r="T537" s="1029"/>
      <c r="U537" s="1029"/>
      <c r="V537" s="1029"/>
      <c r="W537" s="1029"/>
      <c r="X537" s="1029"/>
      <c r="Y537" s="1029"/>
      <c r="Z537" s="1029"/>
      <c r="AA537" s="1029"/>
      <c r="AB537" s="1029"/>
      <c r="AC537" s="1029"/>
      <c r="AD537" s="1029"/>
      <c r="AE537" s="1029"/>
      <c r="AF537" s="1029"/>
      <c r="AG537" s="1029"/>
      <c r="AH537" s="1017"/>
      <c r="AI537" s="1589"/>
      <c r="AJ537" s="999"/>
      <c r="AK537" s="999"/>
      <c r="AL537" s="999"/>
      <c r="AM537" s="996"/>
      <c r="AN537" s="994"/>
    </row>
    <row r="538" spans="1:81" s="937" customFormat="1" ht="12.75" customHeight="1">
      <c r="A538" s="1065"/>
      <c r="B538" s="1102"/>
      <c r="C538" s="1661"/>
      <c r="D538" s="1102"/>
      <c r="E538" s="1102"/>
      <c r="F538" s="1102"/>
      <c r="G538" s="1102"/>
      <c r="H538" s="1102"/>
      <c r="I538" s="1102"/>
      <c r="J538" s="1102"/>
      <c r="K538" s="1102"/>
      <c r="L538" s="1102"/>
      <c r="M538" s="1102"/>
      <c r="N538" s="1102"/>
      <c r="O538" s="1102"/>
      <c r="P538" s="1102"/>
      <c r="Q538" s="1102"/>
      <c r="R538" s="1102"/>
      <c r="S538" s="1102"/>
      <c r="T538" s="1102"/>
      <c r="U538" s="1102"/>
      <c r="V538" s="1102"/>
      <c r="W538" s="1102"/>
      <c r="X538" s="1102"/>
      <c r="Y538" s="1102"/>
      <c r="Z538" s="1102"/>
      <c r="AA538" s="1102"/>
      <c r="AB538" s="1102"/>
      <c r="AC538" s="1102"/>
      <c r="AD538" s="1102"/>
      <c r="AE538" s="1102"/>
      <c r="AF538" s="1102"/>
      <c r="AG538" s="1102"/>
      <c r="AH538" s="1013"/>
      <c r="AI538" s="953" t="s">
        <v>1729</v>
      </c>
      <c r="AJ538" s="3100">
        <f>VLOOKUP($H$536,$AP$477:$AQ$479,2,FALSE)</f>
        <v>0</v>
      </c>
      <c r="AK538" s="3102"/>
      <c r="AL538" s="999"/>
      <c r="AM538" s="996"/>
      <c r="AN538" s="994"/>
    </row>
    <row r="539" spans="1:81" s="1128" customFormat="1">
      <c r="A539" s="1054"/>
      <c r="B539" s="1029"/>
      <c r="C539" s="1643"/>
      <c r="D539" s="1029"/>
      <c r="E539" s="1029"/>
      <c r="F539" s="1029"/>
      <c r="G539" s="1029"/>
      <c r="H539" s="1029"/>
      <c r="I539" s="1029"/>
      <c r="J539" s="1029"/>
      <c r="K539" s="1029"/>
      <c r="L539" s="1029"/>
      <c r="M539" s="1029"/>
      <c r="N539" s="1029"/>
      <c r="O539" s="1029"/>
      <c r="P539" s="1029"/>
      <c r="Q539" s="1029"/>
      <c r="R539" s="1029"/>
      <c r="S539" s="1029"/>
      <c r="T539" s="1029"/>
      <c r="U539" s="1029"/>
      <c r="V539" s="1029"/>
      <c r="W539" s="1029"/>
      <c r="X539" s="1029"/>
      <c r="Y539" s="1029"/>
      <c r="Z539" s="1029"/>
      <c r="AA539" s="1029"/>
      <c r="AB539" s="1029"/>
      <c r="AC539" s="1029"/>
      <c r="AD539" s="1029"/>
      <c r="AE539" s="1029"/>
      <c r="AF539" s="1029"/>
      <c r="AG539" s="1029"/>
      <c r="AH539" s="1017"/>
      <c r="AI539" s="1589"/>
      <c r="AJ539" s="999"/>
      <c r="AK539" s="999"/>
      <c r="AL539" s="999"/>
      <c r="AM539" s="996"/>
      <c r="AN539" s="1127"/>
      <c r="AS539" s="1137"/>
      <c r="AT539" s="1137"/>
      <c r="AU539" s="1137"/>
      <c r="AV539" s="1137"/>
      <c r="AW539" s="1137"/>
      <c r="AX539" s="1137"/>
      <c r="AY539" s="1137"/>
      <c r="AZ539" s="1137"/>
      <c r="BA539" s="1137"/>
      <c r="BB539" s="1137"/>
      <c r="BC539" s="1137"/>
      <c r="BD539" s="1138"/>
      <c r="BE539" s="1138"/>
      <c r="BF539" s="1138"/>
      <c r="BG539" s="1138"/>
      <c r="BH539" s="1138"/>
      <c r="BI539" s="1137"/>
      <c r="BJ539" s="1137"/>
      <c r="BK539" s="1137"/>
      <c r="BL539" s="1137"/>
      <c r="BM539" s="1137"/>
      <c r="BN539" s="1137"/>
      <c r="BO539" s="1137"/>
      <c r="BP539" s="1137"/>
      <c r="BQ539" s="1137"/>
      <c r="BR539" s="1137"/>
      <c r="BS539" s="1137"/>
      <c r="BT539" s="1137"/>
      <c r="BU539" s="1137"/>
      <c r="BV539" s="1137"/>
      <c r="BW539" s="1137"/>
      <c r="BX539" s="1137"/>
      <c r="BY539" s="1137"/>
      <c r="BZ539" s="1137"/>
      <c r="CA539" s="1137"/>
      <c r="CB539" s="1137"/>
      <c r="CC539" s="1137"/>
    </row>
    <row r="540" spans="1:81" s="1128" customFormat="1">
      <c r="A540" s="1054"/>
      <c r="B540" s="1029"/>
      <c r="C540" s="980" t="s">
        <v>1730</v>
      </c>
      <c r="D540" s="1029"/>
      <c r="E540" s="1029"/>
      <c r="F540" s="1029"/>
      <c r="G540" s="1029"/>
      <c r="H540" s="1029"/>
      <c r="I540" s="1029"/>
      <c r="J540" s="1029"/>
      <c r="K540" s="1029"/>
      <c r="L540" s="1029"/>
      <c r="M540" s="1029"/>
      <c r="N540" s="1029"/>
      <c r="O540" s="1029"/>
      <c r="P540" s="1029"/>
      <c r="Q540" s="1029"/>
      <c r="R540" s="1029"/>
      <c r="S540" s="1029"/>
      <c r="T540" s="1029"/>
      <c r="U540" s="1029"/>
      <c r="V540" s="1029"/>
      <c r="W540" s="1029"/>
      <c r="X540" s="1029"/>
      <c r="Y540" s="1029"/>
      <c r="Z540" s="1029"/>
      <c r="AA540" s="1029"/>
      <c r="AB540" s="1029"/>
      <c r="AC540" s="1029"/>
      <c r="AD540" s="1029"/>
      <c r="AE540" s="1029"/>
      <c r="AF540" s="1029"/>
      <c r="AG540" s="1029"/>
      <c r="AH540" s="1017"/>
      <c r="AI540" s="1589"/>
      <c r="AJ540" s="999"/>
      <c r="AK540" s="999"/>
      <c r="AL540" s="999"/>
      <c r="AM540" s="996"/>
      <c r="AN540" s="1127"/>
      <c r="AO540" s="1129"/>
      <c r="AT540" s="1137"/>
      <c r="AU540" s="1137"/>
      <c r="AV540" s="1137"/>
      <c r="AW540" s="1137"/>
      <c r="AX540" s="1137"/>
      <c r="AY540" s="1137"/>
      <c r="AZ540" s="1137"/>
    </row>
    <row r="541" spans="1:81" s="1128" customFormat="1">
      <c r="A541" s="1054"/>
      <c r="B541" s="1029"/>
      <c r="C541" s="1643"/>
      <c r="D541" s="1029"/>
      <c r="E541" s="1029"/>
      <c r="F541" s="1029"/>
      <c r="G541" s="1029"/>
      <c r="H541" s="1029"/>
      <c r="I541" s="1029"/>
      <c r="J541" s="1029"/>
      <c r="K541" s="1029"/>
      <c r="L541" s="1029"/>
      <c r="M541" s="1029"/>
      <c r="N541" s="1029"/>
      <c r="O541" s="1029"/>
      <c r="P541" s="1029"/>
      <c r="Q541" s="1029"/>
      <c r="R541" s="1029"/>
      <c r="S541" s="1029"/>
      <c r="T541" s="1029"/>
      <c r="U541" s="1029"/>
      <c r="V541" s="1029"/>
      <c r="W541" s="1029"/>
      <c r="X541" s="1029"/>
      <c r="Y541" s="1029"/>
      <c r="Z541" s="1029"/>
      <c r="AA541" s="1029"/>
      <c r="AB541" s="1029"/>
      <c r="AC541" s="1029"/>
      <c r="AD541" s="1029"/>
      <c r="AE541" s="921"/>
      <c r="AF541" s="921"/>
      <c r="AG541" s="921"/>
      <c r="AH541" s="921"/>
      <c r="AI541" s="921"/>
      <c r="AJ541" s="921"/>
      <c r="AK541" s="921"/>
      <c r="AL541" s="999"/>
      <c r="AM541" s="996"/>
      <c r="AN541" s="1127"/>
      <c r="AO541" s="937" t="s">
        <v>626</v>
      </c>
      <c r="AP541" s="1139">
        <v>0</v>
      </c>
      <c r="AS541" s="1137"/>
      <c r="AT541" s="1137"/>
      <c r="AU541" s="1137"/>
      <c r="AV541" s="1137"/>
      <c r="AW541" s="1137"/>
      <c r="AX541" s="1137"/>
      <c r="AY541" s="1137"/>
      <c r="AZ541" s="1137"/>
      <c r="BA541" s="1137"/>
      <c r="BB541" s="1137"/>
      <c r="BC541" s="1137"/>
      <c r="BD541" s="1138"/>
      <c r="BE541" s="1138"/>
      <c r="BF541" s="1138"/>
      <c r="BG541" s="1138"/>
      <c r="BH541" s="1138"/>
      <c r="BI541" s="1137"/>
      <c r="BJ541" s="1137"/>
      <c r="BK541" s="1137"/>
      <c r="BL541" s="1137"/>
      <c r="BM541" s="1137"/>
      <c r="BN541" s="1137"/>
      <c r="BO541" s="1137"/>
      <c r="BP541" s="1137"/>
      <c r="BQ541" s="1137"/>
      <c r="BR541" s="1137"/>
      <c r="BS541" s="1137"/>
      <c r="BT541" s="1137"/>
      <c r="BU541" s="1137"/>
      <c r="BV541" s="1137"/>
      <c r="BW541" s="1137"/>
      <c r="BX541" s="1137"/>
      <c r="BY541" s="1137"/>
      <c r="BZ541" s="1137"/>
      <c r="CA541" s="1137"/>
      <c r="CB541" s="1137"/>
      <c r="CC541" s="1137"/>
    </row>
    <row r="542" spans="1:81" s="1128" customFormat="1" ht="13.8" customHeight="1">
      <c r="A542" s="1054"/>
      <c r="B542" s="1029"/>
      <c r="C542" s="1643"/>
      <c r="D542" s="1100" t="s">
        <v>725</v>
      </c>
      <c r="E542" s="3118" t="s">
        <v>2182</v>
      </c>
      <c r="F542" s="3118"/>
      <c r="G542" s="3118"/>
      <c r="H542" s="3118"/>
      <c r="I542" s="3118"/>
      <c r="J542" s="3118"/>
      <c r="K542" s="3118"/>
      <c r="L542" s="3118"/>
      <c r="M542" s="3118"/>
      <c r="N542" s="3118"/>
      <c r="O542" s="3118"/>
      <c r="P542" s="3118"/>
      <c r="Q542" s="3118"/>
      <c r="R542" s="3118"/>
      <c r="S542" s="3118"/>
      <c r="T542" s="3118"/>
      <c r="U542" s="3118"/>
      <c r="V542" s="3118"/>
      <c r="W542" s="3118"/>
      <c r="X542" s="3118"/>
      <c r="Y542" s="3118"/>
      <c r="Z542" s="3118"/>
      <c r="AA542" s="3118"/>
      <c r="AB542" s="3118"/>
      <c r="AC542" s="3118"/>
      <c r="AD542" s="3118"/>
      <c r="AE542" s="921"/>
      <c r="AF542" s="3217" t="s">
        <v>1731</v>
      </c>
      <c r="AG542" s="3217"/>
      <c r="AH542" s="3217"/>
      <c r="AI542" s="3217"/>
      <c r="AJ542" s="3217"/>
      <c r="AK542" s="3217"/>
      <c r="AL542" s="3217"/>
      <c r="AM542" s="1025"/>
      <c r="AN542" s="1127"/>
      <c r="AO542" s="1112" t="s">
        <v>578</v>
      </c>
      <c r="AP542" s="937">
        <v>8</v>
      </c>
      <c r="AT542" s="1137"/>
      <c r="AU542" s="1137"/>
      <c r="AV542" s="1137"/>
      <c r="AW542" s="1137"/>
      <c r="AX542" s="1137"/>
      <c r="AY542" s="1137"/>
      <c r="AZ542" s="1137"/>
    </row>
    <row r="543" spans="1:81" s="1128" customFormat="1" ht="13.8" customHeight="1">
      <c r="A543" s="1054"/>
      <c r="B543" s="1029"/>
      <c r="C543" s="1643"/>
      <c r="D543" s="1100"/>
      <c r="E543" s="3118"/>
      <c r="F543" s="3118"/>
      <c r="G543" s="3118"/>
      <c r="H543" s="3118"/>
      <c r="I543" s="3118"/>
      <c r="J543" s="3118"/>
      <c r="K543" s="3118"/>
      <c r="L543" s="3118"/>
      <c r="M543" s="3118"/>
      <c r="N543" s="3118"/>
      <c r="O543" s="3118"/>
      <c r="P543" s="3118"/>
      <c r="Q543" s="3118"/>
      <c r="R543" s="3118"/>
      <c r="S543" s="3118"/>
      <c r="T543" s="3118"/>
      <c r="U543" s="3118"/>
      <c r="V543" s="3118"/>
      <c r="W543" s="3118"/>
      <c r="X543" s="3118"/>
      <c r="Y543" s="3118"/>
      <c r="Z543" s="3118"/>
      <c r="AA543" s="3118"/>
      <c r="AB543" s="3118"/>
      <c r="AC543" s="3118"/>
      <c r="AD543" s="3118"/>
      <c r="AE543" s="921"/>
      <c r="AF543" s="1590"/>
      <c r="AG543" s="1590"/>
      <c r="AH543" s="1590"/>
      <c r="AI543" s="1590"/>
      <c r="AJ543" s="1590"/>
      <c r="AK543" s="1590"/>
      <c r="AL543" s="1590"/>
      <c r="AM543" s="1025"/>
      <c r="AN543" s="1127"/>
      <c r="AO543" s="1112"/>
      <c r="AP543" s="937"/>
      <c r="AT543" s="1137"/>
      <c r="AU543" s="1137"/>
      <c r="AV543" s="1137"/>
      <c r="AW543" s="1137"/>
      <c r="AX543" s="1137"/>
      <c r="AY543" s="1137"/>
      <c r="AZ543" s="1137"/>
    </row>
    <row r="544" spans="1:81" s="1128" customFormat="1">
      <c r="A544" s="1054"/>
      <c r="B544" s="1029"/>
      <c r="C544" s="1643"/>
      <c r="D544" s="1100"/>
      <c r="E544" s="3118"/>
      <c r="F544" s="3118"/>
      <c r="G544" s="3118"/>
      <c r="H544" s="3118"/>
      <c r="I544" s="3118"/>
      <c r="J544" s="3118"/>
      <c r="K544" s="3118"/>
      <c r="L544" s="3118"/>
      <c r="M544" s="3118"/>
      <c r="N544" s="3118"/>
      <c r="O544" s="3118"/>
      <c r="P544" s="3118"/>
      <c r="Q544" s="3118"/>
      <c r="R544" s="3118"/>
      <c r="S544" s="3118"/>
      <c r="T544" s="3118"/>
      <c r="U544" s="3118"/>
      <c r="V544" s="3118"/>
      <c r="W544" s="3118"/>
      <c r="X544" s="3118"/>
      <c r="Y544" s="3118"/>
      <c r="Z544" s="3118"/>
      <c r="AA544" s="3118"/>
      <c r="AB544" s="3118"/>
      <c r="AC544" s="3118"/>
      <c r="AD544" s="3118"/>
      <c r="AE544" s="1590"/>
      <c r="AF544" s="1590"/>
      <c r="AG544" s="1590"/>
      <c r="AH544" s="1590"/>
      <c r="AI544" s="1590"/>
      <c r="AJ544" s="1590"/>
      <c r="AK544" s="1590"/>
      <c r="AL544" s="1590"/>
      <c r="AM544" s="1025"/>
      <c r="AN544" s="1127"/>
      <c r="AO544" s="1112"/>
      <c r="AP544" s="937"/>
      <c r="AT544" s="1137"/>
      <c r="AU544" s="1137"/>
      <c r="AV544" s="1137"/>
      <c r="AW544" s="1137"/>
      <c r="AX544" s="1137"/>
      <c r="AY544" s="1137"/>
      <c r="AZ544" s="1137"/>
    </row>
    <row r="545" spans="1:81" s="1128" customFormat="1">
      <c r="A545" s="1054"/>
      <c r="B545" s="1029"/>
      <c r="C545" s="1643"/>
      <c r="D545" s="1100"/>
      <c r="E545" s="3118"/>
      <c r="F545" s="3118"/>
      <c r="G545" s="3118"/>
      <c r="H545" s="3118"/>
      <c r="I545" s="3118"/>
      <c r="J545" s="3118"/>
      <c r="K545" s="3118"/>
      <c r="L545" s="3118"/>
      <c r="M545" s="3118"/>
      <c r="N545" s="3118"/>
      <c r="O545" s="3118"/>
      <c r="P545" s="3118"/>
      <c r="Q545" s="3118"/>
      <c r="R545" s="3118"/>
      <c r="S545" s="3118"/>
      <c r="T545" s="3118"/>
      <c r="U545" s="3118"/>
      <c r="V545" s="3118"/>
      <c r="W545" s="3118"/>
      <c r="X545" s="3118"/>
      <c r="Y545" s="3118"/>
      <c r="Z545" s="3118"/>
      <c r="AA545" s="3118"/>
      <c r="AB545" s="3118"/>
      <c r="AC545" s="3118"/>
      <c r="AD545" s="3118"/>
      <c r="AE545" s="1590"/>
      <c r="AF545" s="1590"/>
      <c r="AG545" s="1590"/>
      <c r="AH545" s="1590"/>
      <c r="AI545" s="1590"/>
      <c r="AJ545" s="1590"/>
      <c r="AK545" s="1590"/>
      <c r="AL545" s="1590"/>
      <c r="AM545" s="1025"/>
      <c r="AN545" s="1127"/>
      <c r="AO545" s="1140"/>
      <c r="AT545" s="1137"/>
      <c r="AU545" s="1137"/>
      <c r="AV545" s="1137"/>
      <c r="AW545" s="1137"/>
      <c r="AX545" s="1137"/>
      <c r="AY545" s="1137"/>
      <c r="AZ545" s="1137"/>
    </row>
    <row r="546" spans="1:81" s="1128" customFormat="1">
      <c r="A546" s="1054"/>
      <c r="B546" s="1029"/>
      <c r="C546" s="1643"/>
      <c r="D546" s="1100"/>
      <c r="E546" s="1591"/>
      <c r="F546" s="1591"/>
      <c r="G546" s="1591"/>
      <c r="H546" s="1591"/>
      <c r="I546" s="1591"/>
      <c r="J546" s="1591"/>
      <c r="K546" s="1591"/>
      <c r="L546" s="1591"/>
      <c r="M546" s="1591"/>
      <c r="N546" s="1591"/>
      <c r="O546" s="1591"/>
      <c r="P546" s="1591"/>
      <c r="Q546" s="1591"/>
      <c r="R546" s="1591"/>
      <c r="S546" s="1591"/>
      <c r="T546" s="1591"/>
      <c r="U546" s="1591"/>
      <c r="V546" s="1591"/>
      <c r="W546" s="1591"/>
      <c r="X546" s="1591"/>
      <c r="Y546" s="1591"/>
      <c r="Z546" s="1591"/>
      <c r="AA546" s="1591"/>
      <c r="AB546" s="1591"/>
      <c r="AC546" s="1591"/>
      <c r="AD546" s="1591"/>
      <c r="AE546" s="1590"/>
      <c r="AF546" s="1590"/>
      <c r="AG546" s="1590"/>
      <c r="AH546" s="1590"/>
      <c r="AI546" s="1590"/>
      <c r="AJ546" s="1590"/>
      <c r="AK546" s="1590"/>
      <c r="AL546" s="1590"/>
      <c r="AM546" s="1025"/>
      <c r="AN546" s="1127"/>
      <c r="AO546" s="1140"/>
      <c r="AT546" s="1137"/>
      <c r="AU546" s="1137"/>
      <c r="AV546" s="1137"/>
      <c r="AW546" s="1137"/>
      <c r="AX546" s="1137"/>
      <c r="AY546" s="1137"/>
      <c r="AZ546" s="1137"/>
    </row>
    <row r="547" spans="1:81" s="1128" customFormat="1">
      <c r="A547" s="1054"/>
      <c r="B547" s="1029"/>
      <c r="C547" s="1643"/>
      <c r="D547" s="1017" t="s">
        <v>1677</v>
      </c>
      <c r="E547" s="1637"/>
      <c r="F547" s="1637"/>
      <c r="G547" s="1637"/>
      <c r="H547" s="3117" t="s">
        <v>626</v>
      </c>
      <c r="I547" s="3117"/>
      <c r="J547" s="1029"/>
      <c r="K547" s="1029"/>
      <c r="L547" s="1029"/>
      <c r="M547" s="1029"/>
      <c r="N547" s="1029"/>
      <c r="O547" s="1029"/>
      <c r="P547" s="1029"/>
      <c r="Q547" s="1029"/>
      <c r="R547" s="1029"/>
      <c r="S547" s="1029"/>
      <c r="T547" s="1029"/>
      <c r="U547" s="1029"/>
      <c r="V547" s="1029"/>
      <c r="W547" s="1029"/>
      <c r="X547" s="1029"/>
      <c r="Y547" s="1029"/>
      <c r="Z547" s="1029"/>
      <c r="AA547" s="1029"/>
      <c r="AB547" s="1029"/>
      <c r="AC547" s="1029"/>
      <c r="AD547" s="1029"/>
      <c r="AE547" s="1029"/>
      <c r="AF547" s="1029"/>
      <c r="AG547" s="1029"/>
      <c r="AH547" s="1017"/>
      <c r="AI547" s="1589"/>
      <c r="AJ547" s="999"/>
      <c r="AK547" s="999"/>
      <c r="AL547" s="999"/>
      <c r="AM547" s="996"/>
      <c r="AN547" s="1127"/>
      <c r="AS547" s="1137"/>
      <c r="AT547" s="1137"/>
      <c r="AU547" s="1137"/>
      <c r="AV547" s="1137"/>
      <c r="AW547" s="1137"/>
      <c r="AX547" s="1137"/>
      <c r="AY547" s="1137"/>
      <c r="AZ547" s="1137"/>
      <c r="BA547" s="1137"/>
      <c r="BB547" s="1137"/>
      <c r="BC547" s="1137"/>
      <c r="BD547" s="1138"/>
      <c r="BE547" s="1138"/>
      <c r="BF547" s="1138"/>
      <c r="BG547" s="1138"/>
      <c r="BH547" s="1138"/>
      <c r="BI547" s="1137"/>
      <c r="BJ547" s="1137"/>
      <c r="BK547" s="1137"/>
      <c r="BL547" s="1137"/>
      <c r="BM547" s="1137"/>
      <c r="BN547" s="1137"/>
      <c r="BO547" s="1137"/>
      <c r="BP547" s="1137"/>
      <c r="BQ547" s="1137"/>
      <c r="BR547" s="1137"/>
      <c r="BS547" s="1137"/>
      <c r="BT547" s="1137"/>
      <c r="BU547" s="1137"/>
      <c r="BV547" s="1137"/>
      <c r="BW547" s="1137"/>
      <c r="BX547" s="1137"/>
      <c r="BY547" s="1137"/>
      <c r="BZ547" s="1137"/>
      <c r="CA547" s="1137"/>
      <c r="CB547" s="1137"/>
      <c r="CC547" s="1137"/>
    </row>
    <row r="548" spans="1:81" s="1128" customFormat="1">
      <c r="A548" s="1054"/>
      <c r="B548" s="1029"/>
      <c r="C548" s="1135"/>
      <c r="D548" s="938"/>
      <c r="E548" s="938"/>
      <c r="F548" s="938"/>
      <c r="G548" s="938"/>
      <c r="H548" s="938"/>
      <c r="I548" s="938"/>
      <c r="J548" s="938"/>
      <c r="K548" s="938"/>
      <c r="L548" s="938"/>
      <c r="M548" s="938"/>
      <c r="N548" s="938"/>
      <c r="O548" s="938"/>
      <c r="P548" s="938"/>
      <c r="Q548" s="938"/>
      <c r="R548" s="938"/>
      <c r="S548" s="938"/>
      <c r="T548" s="938"/>
      <c r="U548" s="938"/>
      <c r="V548" s="938"/>
      <c r="W548" s="938"/>
      <c r="X548" s="938"/>
      <c r="Y548" s="938"/>
      <c r="Z548" s="938"/>
      <c r="AA548" s="938"/>
      <c r="AB548" s="938"/>
      <c r="AC548" s="938"/>
      <c r="AD548" s="1029"/>
      <c r="AE548" s="938"/>
      <c r="AF548" s="938"/>
      <c r="AG548" s="938"/>
      <c r="AH548" s="938"/>
      <c r="AI548" s="1020"/>
      <c r="AJ548" s="996"/>
      <c r="AK548" s="1020"/>
      <c r="AL548" s="1020"/>
      <c r="AM548" s="1020"/>
      <c r="AN548" s="1127"/>
      <c r="AT548" s="1137"/>
      <c r="AU548" s="1137"/>
      <c r="AV548" s="1137"/>
      <c r="AW548" s="1137"/>
      <c r="AX548" s="1137"/>
      <c r="AY548" s="1137"/>
      <c r="AZ548" s="1137"/>
    </row>
    <row r="549" spans="1:81" s="1128" customFormat="1">
      <c r="A549" s="1065"/>
      <c r="B549" s="1102"/>
      <c r="C549" s="1136"/>
      <c r="D549" s="1101"/>
      <c r="E549" s="1101"/>
      <c r="F549" s="1101"/>
      <c r="G549" s="1101"/>
      <c r="H549" s="1101"/>
      <c r="I549" s="1101"/>
      <c r="J549" s="1101"/>
      <c r="K549" s="1101"/>
      <c r="L549" s="1101"/>
      <c r="M549" s="1101"/>
      <c r="N549" s="1101"/>
      <c r="O549" s="1101"/>
      <c r="P549" s="1101"/>
      <c r="Q549" s="1101"/>
      <c r="R549" s="1101"/>
      <c r="S549" s="1101"/>
      <c r="T549" s="1101"/>
      <c r="U549" s="1101"/>
      <c r="V549" s="1101"/>
      <c r="W549" s="1101"/>
      <c r="X549" s="1101"/>
      <c r="Y549" s="1101"/>
      <c r="Z549" s="1101"/>
      <c r="AA549" s="1101"/>
      <c r="AB549" s="1101"/>
      <c r="AC549" s="1102"/>
      <c r="AD549" s="1101"/>
      <c r="AE549" s="1101"/>
      <c r="AF549" s="1101"/>
      <c r="AG549" s="1101"/>
      <c r="AH549" s="952"/>
      <c r="AI549" s="953" t="s">
        <v>1732</v>
      </c>
      <c r="AJ549" s="3100">
        <f>VLOOKUP($H$547,$AO$541:$AP$542,2,FALSE)</f>
        <v>0</v>
      </c>
      <c r="AK549" s="3102"/>
      <c r="AL549" s="999"/>
      <c r="AM549" s="996"/>
      <c r="AN549" s="1127"/>
      <c r="AS549" s="1137"/>
      <c r="AT549" s="1137"/>
      <c r="AU549" s="1137"/>
      <c r="AV549" s="1137"/>
      <c r="AW549" s="1137"/>
      <c r="AX549" s="1137"/>
      <c r="AY549" s="1137"/>
      <c r="AZ549" s="1137"/>
      <c r="BA549" s="1137"/>
      <c r="BB549" s="1137"/>
      <c r="BC549" s="1137"/>
      <c r="BD549" s="1138"/>
      <c r="BE549" s="1138"/>
      <c r="BF549" s="1138"/>
      <c r="BG549" s="1138"/>
      <c r="BH549" s="1138"/>
      <c r="BI549" s="1137"/>
      <c r="BJ549" s="1137"/>
      <c r="BK549" s="1137"/>
      <c r="BL549" s="1137"/>
      <c r="BM549" s="1137"/>
      <c r="BN549" s="1137"/>
      <c r="BO549" s="1137"/>
      <c r="BP549" s="1137"/>
      <c r="BQ549" s="1137"/>
      <c r="BR549" s="1137"/>
      <c r="BS549" s="1137"/>
      <c r="BT549" s="1137"/>
      <c r="BU549" s="1137"/>
      <c r="BV549" s="1137"/>
      <c r="BW549" s="1137"/>
      <c r="BX549" s="1137"/>
      <c r="BY549" s="1137"/>
      <c r="BZ549" s="1137"/>
      <c r="CA549" s="1137"/>
      <c r="CB549" s="1137"/>
      <c r="CC549" s="1137"/>
    </row>
    <row r="550" spans="1:81" s="937" customFormat="1" ht="12.75" customHeight="1">
      <c r="A550" s="1054"/>
      <c r="B550" s="1029"/>
      <c r="C550" s="1135"/>
      <c r="D550" s="938"/>
      <c r="E550" s="938"/>
      <c r="F550" s="938"/>
      <c r="G550" s="938"/>
      <c r="H550" s="938"/>
      <c r="I550" s="938"/>
      <c r="J550" s="938"/>
      <c r="K550" s="938"/>
      <c r="L550" s="938"/>
      <c r="M550" s="938"/>
      <c r="N550" s="938"/>
      <c r="O550" s="938"/>
      <c r="P550" s="938"/>
      <c r="Q550" s="938"/>
      <c r="R550" s="938"/>
      <c r="S550" s="938"/>
      <c r="T550" s="938"/>
      <c r="U550" s="938"/>
      <c r="V550" s="938"/>
      <c r="W550" s="938"/>
      <c r="X550" s="938"/>
      <c r="Y550" s="938"/>
      <c r="Z550" s="938"/>
      <c r="AA550" s="938"/>
      <c r="AB550" s="938"/>
      <c r="AC550" s="938"/>
      <c r="AD550" s="1029"/>
      <c r="AE550" s="938"/>
      <c r="AF550" s="938"/>
      <c r="AG550" s="938"/>
      <c r="AH550" s="938"/>
      <c r="AI550" s="1020"/>
      <c r="AJ550" s="996"/>
      <c r="AK550" s="1020"/>
      <c r="AL550" s="1020"/>
      <c r="AM550" s="1020"/>
      <c r="AN550" s="994"/>
    </row>
    <row r="551" spans="1:81" s="937" customFormat="1" ht="12.75" customHeight="1">
      <c r="A551" s="1011"/>
      <c r="B551" s="1101"/>
      <c r="C551" s="1101"/>
      <c r="D551" s="1101"/>
      <c r="E551" s="1101"/>
      <c r="F551" s="1101"/>
      <c r="G551" s="1101"/>
      <c r="H551" s="1101"/>
      <c r="I551" s="1101"/>
      <c r="J551" s="1101"/>
      <c r="K551" s="1101"/>
      <c r="L551" s="1101"/>
      <c r="M551" s="1101"/>
      <c r="N551" s="1101"/>
      <c r="O551" s="1101"/>
      <c r="P551" s="1101"/>
      <c r="Q551" s="1101"/>
      <c r="R551" s="1101"/>
      <c r="S551" s="1101"/>
      <c r="T551" s="1101"/>
      <c r="U551" s="1101"/>
      <c r="V551" s="1101"/>
      <c r="W551" s="1101"/>
      <c r="X551" s="1101"/>
      <c r="Y551" s="1101"/>
      <c r="Z551" s="1101"/>
      <c r="AA551" s="1101"/>
      <c r="AB551" s="1101"/>
      <c r="AC551" s="1102"/>
      <c r="AD551" s="1101"/>
      <c r="AE551" s="1012"/>
      <c r="AF551" s="1012"/>
      <c r="AG551" s="1012"/>
      <c r="AH551" s="1012"/>
      <c r="AI551" s="953"/>
      <c r="AJ551" s="953" t="s">
        <v>1733</v>
      </c>
      <c r="AK551" s="3100">
        <f>IF(($AJ$382+$AJ$401+$AJ$413+$AJ$448+$AJ$468+$AJ$482+$AJ$494+$AJ$510+$AJ$522+$AJ$538+AJ549)&gt;10,10,($AJ$382+$AJ$401+$AJ$413+$AJ$448+$AJ$468+$AJ$482+$AJ$494+$AJ$510+$AJ$522+$AJ$538+AJ549))</f>
        <v>10</v>
      </c>
      <c r="AL551" s="3101"/>
      <c r="AM551" s="3102"/>
      <c r="AN551" s="994"/>
    </row>
    <row r="552" spans="1:81" s="937" customFormat="1" ht="12.75" customHeight="1">
      <c r="A552" s="1020"/>
      <c r="B552" s="938"/>
      <c r="C552" s="938"/>
      <c r="D552" s="938"/>
      <c r="E552" s="938"/>
      <c r="F552" s="938"/>
      <c r="G552" s="938"/>
      <c r="H552" s="938"/>
      <c r="I552" s="938"/>
      <c r="J552" s="938"/>
      <c r="K552" s="938"/>
      <c r="L552" s="938"/>
      <c r="M552" s="938"/>
      <c r="N552" s="938"/>
      <c r="O552" s="938"/>
      <c r="P552" s="938"/>
      <c r="Q552" s="938"/>
      <c r="R552" s="938"/>
      <c r="S552" s="938"/>
      <c r="T552" s="938"/>
      <c r="U552" s="938"/>
      <c r="V552" s="938"/>
      <c r="W552" s="938"/>
      <c r="X552" s="938"/>
      <c r="Y552" s="938"/>
      <c r="Z552" s="938"/>
      <c r="AA552" s="938"/>
      <c r="AB552" s="938"/>
      <c r="AC552" s="1029"/>
      <c r="AD552" s="938"/>
      <c r="AE552" s="1020"/>
      <c r="AF552" s="1020"/>
      <c r="AG552" s="1020"/>
      <c r="AH552" s="1020"/>
      <c r="AI552" s="1031"/>
      <c r="AJ552" s="1031"/>
      <c r="AK552" s="999"/>
      <c r="AL552" s="999"/>
      <c r="AM552" s="999"/>
      <c r="AN552" s="994"/>
    </row>
    <row r="553" spans="1:81" s="937" customFormat="1" ht="12.75" customHeight="1">
      <c r="A553" s="1011"/>
      <c r="B553" s="1101"/>
      <c r="C553" s="1101"/>
      <c r="D553" s="1101"/>
      <c r="E553" s="1101"/>
      <c r="F553" s="1101"/>
      <c r="G553" s="1101"/>
      <c r="H553" s="1101"/>
      <c r="I553" s="1101"/>
      <c r="J553" s="1101"/>
      <c r="K553" s="1101"/>
      <c r="L553" s="1101"/>
      <c r="M553" s="1101"/>
      <c r="N553" s="1101"/>
      <c r="O553" s="1101"/>
      <c r="P553" s="1101"/>
      <c r="Q553" s="1101"/>
      <c r="R553" s="1101"/>
      <c r="S553" s="1101"/>
      <c r="T553" s="1101"/>
      <c r="U553" s="1101"/>
      <c r="V553" s="1101"/>
      <c r="W553" s="1101"/>
      <c r="X553" s="1101"/>
      <c r="Y553" s="1101"/>
      <c r="Z553" s="1101"/>
      <c r="AA553" s="1101"/>
      <c r="AB553" s="1101"/>
      <c r="AC553" s="1102"/>
      <c r="AD553" s="1101"/>
      <c r="AE553" s="1012"/>
      <c r="AF553" s="1012"/>
      <c r="AG553" s="1012"/>
      <c r="AH553" s="1012"/>
      <c r="AI553" s="953"/>
      <c r="AJ553" s="953" t="s">
        <v>1734</v>
      </c>
      <c r="AK553" s="3100">
        <f>IF((AK320+AK551)&gt;20,20,(AK320+AK551))</f>
        <v>19</v>
      </c>
      <c r="AL553" s="3101"/>
      <c r="AM553" s="3102"/>
      <c r="AN553" s="994"/>
    </row>
    <row r="554" spans="1:81" s="937" customFormat="1" ht="12.75" customHeight="1" thickBot="1">
      <c r="A554" s="1036"/>
      <c r="B554" s="1036"/>
      <c r="C554" s="1036"/>
      <c r="D554" s="1036"/>
      <c r="E554" s="1038"/>
      <c r="F554" s="1038"/>
      <c r="G554" s="1038"/>
      <c r="H554" s="1038"/>
      <c r="I554" s="1038"/>
      <c r="J554" s="1038"/>
      <c r="K554" s="1038"/>
      <c r="L554" s="1038"/>
      <c r="M554" s="1038"/>
      <c r="N554" s="1038"/>
      <c r="O554" s="1038"/>
      <c r="P554" s="1038"/>
      <c r="Q554" s="1038"/>
      <c r="R554" s="1038"/>
      <c r="S554" s="1038"/>
      <c r="T554" s="1038"/>
      <c r="U554" s="1038"/>
      <c r="V554" s="1038"/>
      <c r="W554" s="1038"/>
      <c r="X554" s="1038"/>
      <c r="Y554" s="1038"/>
      <c r="Z554" s="1038"/>
      <c r="AA554" s="1038"/>
      <c r="AB554" s="1038"/>
      <c r="AC554" s="1038"/>
      <c r="AD554" s="1038"/>
      <c r="AE554" s="1038"/>
      <c r="AF554" s="1038"/>
      <c r="AG554" s="1038"/>
      <c r="AH554" s="1038"/>
      <c r="AI554" s="1038"/>
      <c r="AJ554" s="1038"/>
      <c r="AK554" s="1038"/>
      <c r="AL554" s="1038"/>
      <c r="AM554" s="1038"/>
      <c r="AN554" s="994"/>
    </row>
    <row r="555" spans="1:81" s="937"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4"/>
    </row>
    <row r="556" spans="1:81" s="937" customFormat="1" ht="12.75" customHeight="1">
      <c r="A556" s="1006" t="s">
        <v>1735</v>
      </c>
      <c r="B556" s="1006" t="s">
        <v>908</v>
      </c>
      <c r="C556" s="1017"/>
      <c r="D556" s="1054"/>
      <c r="E556" s="1054"/>
      <c r="F556" s="1020"/>
      <c r="G556" s="1020"/>
      <c r="H556" s="1020"/>
      <c r="I556" s="1020"/>
      <c r="J556" s="1020"/>
      <c r="K556" s="1020"/>
      <c r="L556" s="1020"/>
      <c r="M556" s="1020"/>
      <c r="N556" s="1020"/>
      <c r="O556" s="1020"/>
      <c r="P556" s="1020"/>
      <c r="Q556" s="1020"/>
      <c r="R556" s="1020"/>
      <c r="S556" s="1020"/>
      <c r="T556" s="1020"/>
      <c r="U556" s="1020"/>
      <c r="V556" s="1020"/>
      <c r="W556" s="1020"/>
      <c r="X556" s="1020"/>
      <c r="Y556" s="1020"/>
      <c r="Z556" s="1020"/>
      <c r="AA556" s="1020"/>
      <c r="AB556" s="1020"/>
      <c r="AC556" s="980"/>
      <c r="AD556" s="1020"/>
      <c r="AE556" s="3182" t="s">
        <v>1583</v>
      </c>
      <c r="AF556" s="3182"/>
      <c r="AG556" s="3182"/>
      <c r="AH556" s="3182"/>
      <c r="AI556" s="3182"/>
      <c r="AJ556" s="3182"/>
      <c r="AK556" s="3182"/>
      <c r="AL556" s="1006"/>
      <c r="AM556" s="1006"/>
      <c r="AN556" s="1141"/>
    </row>
    <row r="557" spans="1:81" s="937" customFormat="1" ht="12.75" customHeight="1">
      <c r="A557" s="1006"/>
      <c r="B557" s="1006"/>
      <c r="C557" s="1017"/>
      <c r="D557" s="1054"/>
      <c r="E557" s="1054"/>
      <c r="F557" s="1020"/>
      <c r="G557" s="1020"/>
      <c r="H557" s="1020"/>
      <c r="I557" s="1020"/>
      <c r="J557" s="1020"/>
      <c r="K557" s="1020"/>
      <c r="L557" s="1020"/>
      <c r="M557" s="1020"/>
      <c r="N557" s="1020"/>
      <c r="O557" s="1020"/>
      <c r="P557" s="1020"/>
      <c r="Q557" s="1020"/>
      <c r="R557" s="1020"/>
      <c r="S557" s="1020"/>
      <c r="T557" s="1020"/>
      <c r="U557" s="1020"/>
      <c r="V557" s="1020"/>
      <c r="W557" s="1020"/>
      <c r="X557" s="1020"/>
      <c r="Y557" s="1020"/>
      <c r="Z557" s="1020"/>
      <c r="AA557" s="1020"/>
      <c r="AB557" s="1020"/>
      <c r="AC557" s="980"/>
      <c r="AD557" s="1020"/>
      <c r="AE557" s="1031"/>
      <c r="AF557" s="1031"/>
      <c r="AG557" s="1031"/>
      <c r="AH557" s="1031"/>
      <c r="AI557" s="1031"/>
      <c r="AJ557" s="1031"/>
      <c r="AK557" s="1031"/>
      <c r="AL557" s="1006"/>
      <c r="AM557" s="1006"/>
      <c r="AN557" s="1141"/>
    </row>
    <row r="558" spans="1:81" s="937" customFormat="1" ht="12.75" customHeight="1">
      <c r="A558" s="1021"/>
      <c r="B558" s="1022"/>
      <c r="C558" s="3109" t="s">
        <v>1736</v>
      </c>
      <c r="D558" s="3109"/>
      <c r="E558" s="3109"/>
      <c r="F558" s="3109"/>
      <c r="G558" s="3109"/>
      <c r="H558" s="3109"/>
      <c r="I558" s="3109"/>
      <c r="J558" s="3109"/>
      <c r="K558" s="3109"/>
      <c r="L558" s="3109"/>
      <c r="M558" s="3109"/>
      <c r="N558" s="3109"/>
      <c r="O558" s="3109"/>
      <c r="P558" s="3109"/>
      <c r="Q558" s="3109"/>
      <c r="R558" s="3109"/>
      <c r="S558" s="3109"/>
      <c r="T558" s="3109"/>
      <c r="U558" s="3109"/>
      <c r="V558" s="3109"/>
      <c r="W558" s="3109"/>
      <c r="X558" s="3109"/>
      <c r="Y558" s="3109"/>
      <c r="Z558" s="3109"/>
      <c r="AA558" s="3109"/>
      <c r="AB558" s="3109"/>
      <c r="AC558" s="3109"/>
      <c r="AD558" s="3109"/>
      <c r="AE558" s="3109"/>
      <c r="AF558" s="3109"/>
      <c r="AG558" s="3109"/>
      <c r="AH558" s="3109"/>
      <c r="AI558" s="3109"/>
      <c r="AJ558" s="3109"/>
      <c r="AK558" s="1021"/>
      <c r="AL558" s="1021"/>
      <c r="AM558" s="1021"/>
      <c r="AN558" s="994"/>
    </row>
    <row r="559" spans="1:81" s="937" customFormat="1" ht="12.75" customHeight="1">
      <c r="A559" s="1021"/>
      <c r="B559" s="1022"/>
      <c r="C559" s="3109"/>
      <c r="D559" s="3109"/>
      <c r="E559" s="3109"/>
      <c r="F559" s="3109"/>
      <c r="G559" s="3109"/>
      <c r="H559" s="3109"/>
      <c r="I559" s="3109"/>
      <c r="J559" s="3109"/>
      <c r="K559" s="3109"/>
      <c r="L559" s="3109"/>
      <c r="M559" s="3109"/>
      <c r="N559" s="3109"/>
      <c r="O559" s="3109"/>
      <c r="P559" s="3109"/>
      <c r="Q559" s="3109"/>
      <c r="R559" s="3109"/>
      <c r="S559" s="3109"/>
      <c r="T559" s="3109"/>
      <c r="U559" s="3109"/>
      <c r="V559" s="3109"/>
      <c r="W559" s="3109"/>
      <c r="X559" s="3109"/>
      <c r="Y559" s="3109"/>
      <c r="Z559" s="3109"/>
      <c r="AA559" s="3109"/>
      <c r="AB559" s="3109"/>
      <c r="AC559" s="3109"/>
      <c r="AD559" s="3109"/>
      <c r="AE559" s="3109"/>
      <c r="AF559" s="3109"/>
      <c r="AG559" s="3109"/>
      <c r="AH559" s="3109"/>
      <c r="AI559" s="3109"/>
      <c r="AJ559" s="3109"/>
      <c r="AK559" s="1021"/>
      <c r="AL559" s="1021"/>
      <c r="AM559" s="1021"/>
      <c r="AN559" s="994"/>
    </row>
    <row r="560" spans="1:81" s="937" customFormat="1" ht="12.75" customHeight="1">
      <c r="A560" s="1021"/>
      <c r="B560" s="1022"/>
      <c r="C560" s="3109"/>
      <c r="D560" s="3109"/>
      <c r="E560" s="3109"/>
      <c r="F560" s="3109"/>
      <c r="G560" s="3109"/>
      <c r="H560" s="3109"/>
      <c r="I560" s="3109"/>
      <c r="J560" s="3109"/>
      <c r="K560" s="3109"/>
      <c r="L560" s="3109"/>
      <c r="M560" s="3109"/>
      <c r="N560" s="3109"/>
      <c r="O560" s="3109"/>
      <c r="P560" s="3109"/>
      <c r="Q560" s="3109"/>
      <c r="R560" s="3109"/>
      <c r="S560" s="3109"/>
      <c r="T560" s="3109"/>
      <c r="U560" s="3109"/>
      <c r="V560" s="3109"/>
      <c r="W560" s="3109"/>
      <c r="X560" s="3109"/>
      <c r="Y560" s="3109"/>
      <c r="Z560" s="3109"/>
      <c r="AA560" s="3109"/>
      <c r="AB560" s="3109"/>
      <c r="AC560" s="3109"/>
      <c r="AD560" s="3109"/>
      <c r="AE560" s="3109"/>
      <c r="AF560" s="3109"/>
      <c r="AG560" s="3109"/>
      <c r="AH560" s="3109"/>
      <c r="AI560" s="3109"/>
      <c r="AJ560" s="3109"/>
      <c r="AK560" s="1021"/>
      <c r="AL560" s="1021"/>
      <c r="AM560" s="1021"/>
      <c r="AN560" s="994"/>
      <c r="AQ560" s="1129"/>
      <c r="AR560" s="996"/>
    </row>
    <row r="561" spans="1:46" s="937" customFormat="1" ht="12.75" customHeight="1">
      <c r="A561" s="1021"/>
      <c r="B561" s="1112"/>
      <c r="C561" s="3109"/>
      <c r="D561" s="3109"/>
      <c r="E561" s="3109"/>
      <c r="F561" s="3109"/>
      <c r="G561" s="3109"/>
      <c r="H561" s="3109"/>
      <c r="I561" s="3109"/>
      <c r="J561" s="3109"/>
      <c r="K561" s="3109"/>
      <c r="L561" s="3109"/>
      <c r="M561" s="3109"/>
      <c r="N561" s="3109"/>
      <c r="O561" s="3109"/>
      <c r="P561" s="3109"/>
      <c r="Q561" s="3109"/>
      <c r="R561" s="3109"/>
      <c r="S561" s="3109"/>
      <c r="T561" s="3109"/>
      <c r="U561" s="3109"/>
      <c r="V561" s="3109"/>
      <c r="W561" s="3109"/>
      <c r="X561" s="3109"/>
      <c r="Y561" s="3109"/>
      <c r="Z561" s="3109"/>
      <c r="AA561" s="3109"/>
      <c r="AB561" s="3109"/>
      <c r="AC561" s="3109"/>
      <c r="AD561" s="3109"/>
      <c r="AE561" s="3109"/>
      <c r="AF561" s="3109"/>
      <c r="AG561" s="3109"/>
      <c r="AH561" s="3109"/>
      <c r="AI561" s="3109"/>
      <c r="AJ561" s="3109"/>
      <c r="AK561" s="1021"/>
      <c r="AL561" s="1021"/>
      <c r="AM561" s="1021"/>
      <c r="AN561" s="994"/>
      <c r="AQ561" s="1129"/>
      <c r="AR561" s="996"/>
    </row>
    <row r="562" spans="1:46" s="937" customFormat="1" ht="12.45" customHeight="1">
      <c r="A562" s="1021"/>
      <c r="B562" s="1112"/>
      <c r="C562" s="3109"/>
      <c r="D562" s="3109"/>
      <c r="E562" s="3109"/>
      <c r="F562" s="3109"/>
      <c r="G562" s="3109"/>
      <c r="H562" s="3109"/>
      <c r="I562" s="3109"/>
      <c r="J562" s="3109"/>
      <c r="K562" s="3109"/>
      <c r="L562" s="3109"/>
      <c r="M562" s="3109"/>
      <c r="N562" s="3109"/>
      <c r="O562" s="3109"/>
      <c r="P562" s="3109"/>
      <c r="Q562" s="3109"/>
      <c r="R562" s="3109"/>
      <c r="S562" s="3109"/>
      <c r="T562" s="3109"/>
      <c r="U562" s="3109"/>
      <c r="V562" s="3109"/>
      <c r="W562" s="3109"/>
      <c r="X562" s="3109"/>
      <c r="Y562" s="3109"/>
      <c r="Z562" s="3109"/>
      <c r="AA562" s="3109"/>
      <c r="AB562" s="3109"/>
      <c r="AC562" s="3109"/>
      <c r="AD562" s="3109"/>
      <c r="AE562" s="3109"/>
      <c r="AF562" s="3109"/>
      <c r="AG562" s="3109"/>
      <c r="AH562" s="3109"/>
      <c r="AI562" s="3109"/>
      <c r="AJ562" s="3109"/>
      <c r="AK562" s="1021"/>
      <c r="AL562" s="1021"/>
      <c r="AM562" s="1021"/>
      <c r="AN562" s="994"/>
      <c r="AQ562" s="1129"/>
      <c r="AR562" s="1129"/>
    </row>
    <row r="563" spans="1:46" s="937" customFormat="1" ht="25.05" customHeight="1">
      <c r="A563" s="1021"/>
      <c r="B563" s="1112"/>
      <c r="C563" s="3109" t="s">
        <v>1737</v>
      </c>
      <c r="D563" s="3109"/>
      <c r="E563" s="3109"/>
      <c r="F563" s="3109"/>
      <c r="G563" s="3109"/>
      <c r="H563" s="3109"/>
      <c r="I563" s="3109"/>
      <c r="J563" s="3109"/>
      <c r="K563" s="3109"/>
      <c r="L563" s="3109"/>
      <c r="M563" s="3109"/>
      <c r="N563" s="3109"/>
      <c r="O563" s="3109"/>
      <c r="P563" s="3109"/>
      <c r="Q563" s="3109"/>
      <c r="R563" s="3109"/>
      <c r="S563" s="3109"/>
      <c r="T563" s="3109"/>
      <c r="U563" s="3109"/>
      <c r="V563" s="3109"/>
      <c r="W563" s="3109"/>
      <c r="X563" s="3109"/>
      <c r="Y563" s="3109"/>
      <c r="Z563" s="3109"/>
      <c r="AA563" s="3109"/>
      <c r="AB563" s="3109"/>
      <c r="AC563" s="3109"/>
      <c r="AD563" s="3109"/>
      <c r="AE563" s="3109"/>
      <c r="AF563" s="3109"/>
      <c r="AG563" s="3109"/>
      <c r="AH563" s="3109"/>
      <c r="AI563" s="3109"/>
      <c r="AJ563" s="3109"/>
      <c r="AK563" s="1021"/>
      <c r="AL563" s="1021"/>
      <c r="AM563" s="1021"/>
      <c r="AN563" s="994"/>
      <c r="AQ563" s="1129"/>
      <c r="AR563" s="1129"/>
    </row>
    <row r="564" spans="1:46" s="937" customFormat="1" ht="12.45" customHeight="1">
      <c r="A564" s="1021"/>
      <c r="B564" s="1112"/>
      <c r="C564" s="1143"/>
      <c r="D564" s="1143"/>
      <c r="E564" s="1143"/>
      <c r="F564" s="1143"/>
      <c r="G564" s="1143"/>
      <c r="H564" s="1143"/>
      <c r="I564" s="1143"/>
      <c r="J564" s="1143"/>
      <c r="K564" s="1143"/>
      <c r="L564" s="1143"/>
      <c r="M564" s="1143"/>
      <c r="N564" s="1143"/>
      <c r="O564" s="1143"/>
      <c r="P564" s="1143"/>
      <c r="Q564" s="1143"/>
      <c r="R564" s="1143"/>
      <c r="S564" s="1143"/>
      <c r="T564" s="1143"/>
      <c r="U564" s="1143"/>
      <c r="V564" s="1143"/>
      <c r="W564" s="1143"/>
      <c r="X564" s="1143"/>
      <c r="Y564" s="1143"/>
      <c r="Z564" s="1143"/>
      <c r="AA564" s="1143"/>
      <c r="AB564" s="1143"/>
      <c r="AC564" s="1143"/>
      <c r="AD564" s="1143"/>
      <c r="AE564" s="1143"/>
      <c r="AF564" s="1143"/>
      <c r="AG564" s="1143"/>
      <c r="AH564" s="1143"/>
      <c r="AI564" s="1143"/>
      <c r="AJ564" s="1143"/>
      <c r="AK564" s="1021"/>
      <c r="AL564" s="1021"/>
      <c r="AM564" s="1021"/>
      <c r="AN564" s="994"/>
      <c r="AQ564" s="1129"/>
      <c r="AR564" s="1129"/>
    </row>
    <row r="565" spans="1:46" s="937" customFormat="1" ht="12.75" customHeight="1">
      <c r="A565" s="1021"/>
      <c r="B565" s="1112"/>
      <c r="C565" s="3109" t="s">
        <v>2388</v>
      </c>
      <c r="D565" s="3109"/>
      <c r="E565" s="3109"/>
      <c r="F565" s="3109"/>
      <c r="G565" s="3109"/>
      <c r="H565" s="3109"/>
      <c r="I565" s="3109"/>
      <c r="J565" s="3109"/>
      <c r="K565" s="3109"/>
      <c r="L565" s="3109"/>
      <c r="M565" s="3109"/>
      <c r="N565" s="3109"/>
      <c r="O565" s="3109"/>
      <c r="P565" s="3109"/>
      <c r="Q565" s="3109"/>
      <c r="R565" s="3109"/>
      <c r="S565" s="3109"/>
      <c r="T565" s="3109"/>
      <c r="U565" s="3109"/>
      <c r="V565" s="3109"/>
      <c r="W565" s="3109"/>
      <c r="X565" s="3109"/>
      <c r="Y565" s="3109"/>
      <c r="Z565" s="3109"/>
      <c r="AA565" s="3109"/>
      <c r="AB565" s="3109"/>
      <c r="AC565" s="3109"/>
      <c r="AD565" s="3109"/>
      <c r="AE565" s="3109"/>
      <c r="AF565" s="3109"/>
      <c r="AG565" s="3109"/>
      <c r="AH565" s="3109"/>
      <c r="AI565" s="3109"/>
      <c r="AJ565" s="3109"/>
      <c r="AK565" s="1021"/>
      <c r="AL565" s="1021"/>
      <c r="AM565" s="1021"/>
      <c r="AN565" s="994"/>
      <c r="AQ565" s="1129"/>
      <c r="AR565" s="1129"/>
    </row>
    <row r="566" spans="1:46" s="937" customFormat="1" ht="30" customHeight="1">
      <c r="A566" s="1021"/>
      <c r="B566" s="1112"/>
      <c r="C566" s="3109"/>
      <c r="D566" s="3109"/>
      <c r="E566" s="3109"/>
      <c r="F566" s="3109"/>
      <c r="G566" s="3109"/>
      <c r="H566" s="3109"/>
      <c r="I566" s="3109"/>
      <c r="J566" s="3109"/>
      <c r="K566" s="3109"/>
      <c r="L566" s="3109"/>
      <c r="M566" s="3109"/>
      <c r="N566" s="3109"/>
      <c r="O566" s="3109"/>
      <c r="P566" s="3109"/>
      <c r="Q566" s="3109"/>
      <c r="R566" s="3109"/>
      <c r="S566" s="3109"/>
      <c r="T566" s="3109"/>
      <c r="U566" s="3109"/>
      <c r="V566" s="3109"/>
      <c r="W566" s="3109"/>
      <c r="X566" s="3109"/>
      <c r="Y566" s="3109"/>
      <c r="Z566" s="3109"/>
      <c r="AA566" s="3109"/>
      <c r="AB566" s="3109"/>
      <c r="AC566" s="3109"/>
      <c r="AD566" s="3109"/>
      <c r="AE566" s="3109"/>
      <c r="AF566" s="3109"/>
      <c r="AG566" s="3109"/>
      <c r="AH566" s="3109"/>
      <c r="AI566" s="3109"/>
      <c r="AJ566" s="3109"/>
      <c r="AK566" s="1021"/>
      <c r="AL566" s="1021"/>
      <c r="AM566" s="1021"/>
      <c r="AN566" s="994"/>
      <c r="AQ566" s="996"/>
      <c r="AR566" s="1129"/>
    </row>
    <row r="567" spans="1:46" s="937" customFormat="1" ht="12.75" customHeight="1">
      <c r="A567" s="1021"/>
      <c r="B567" s="1112"/>
      <c r="C567" s="3109"/>
      <c r="D567" s="3109"/>
      <c r="E567" s="3109"/>
      <c r="F567" s="3109"/>
      <c r="G567" s="3109"/>
      <c r="H567" s="3109"/>
      <c r="I567" s="3109"/>
      <c r="J567" s="3109"/>
      <c r="K567" s="3109"/>
      <c r="L567" s="3109"/>
      <c r="M567" s="3109"/>
      <c r="N567" s="3109"/>
      <c r="O567" s="3109"/>
      <c r="P567" s="3109"/>
      <c r="Q567" s="3109"/>
      <c r="R567" s="3109"/>
      <c r="S567" s="3109"/>
      <c r="T567" s="3109"/>
      <c r="U567" s="3109"/>
      <c r="V567" s="3109"/>
      <c r="W567" s="3109"/>
      <c r="X567" s="3109"/>
      <c r="Y567" s="3109"/>
      <c r="Z567" s="3109"/>
      <c r="AA567" s="3109"/>
      <c r="AB567" s="3109"/>
      <c r="AC567" s="3109"/>
      <c r="AD567" s="3109"/>
      <c r="AE567" s="3109"/>
      <c r="AF567" s="3109"/>
      <c r="AG567" s="3109"/>
      <c r="AH567" s="3109"/>
      <c r="AI567" s="3109"/>
      <c r="AJ567" s="3109"/>
      <c r="AK567" s="1021"/>
      <c r="AL567" s="1021"/>
      <c r="AM567" s="1021"/>
      <c r="AN567" s="994"/>
      <c r="AQ567" s="996"/>
      <c r="AR567" s="1129"/>
    </row>
    <row r="568" spans="1:46" s="937" customFormat="1" ht="12.75" customHeight="1">
      <c r="A568" s="1021"/>
      <c r="B568" s="1112"/>
      <c r="C568" s="3109" t="s">
        <v>1738</v>
      </c>
      <c r="D568" s="3109"/>
      <c r="E568" s="3109"/>
      <c r="F568" s="3109"/>
      <c r="G568" s="3109"/>
      <c r="H568" s="3109"/>
      <c r="I568" s="3109"/>
      <c r="J568" s="3109"/>
      <c r="K568" s="3109"/>
      <c r="L568" s="3109"/>
      <c r="M568" s="3109"/>
      <c r="N568" s="3109"/>
      <c r="O568" s="3109"/>
      <c r="P568" s="3109"/>
      <c r="Q568" s="3109"/>
      <c r="R568" s="3109"/>
      <c r="S568" s="3109"/>
      <c r="T568" s="3109"/>
      <c r="U568" s="3109"/>
      <c r="V568" s="3109"/>
      <c r="W568" s="3109"/>
      <c r="X568" s="3109"/>
      <c r="Y568" s="3109"/>
      <c r="Z568" s="3109"/>
      <c r="AA568" s="3109"/>
      <c r="AB568" s="3109"/>
      <c r="AC568" s="3109"/>
      <c r="AD568" s="3109"/>
      <c r="AE568" s="3109"/>
      <c r="AF568" s="3109"/>
      <c r="AG568" s="3109"/>
      <c r="AH568" s="3109"/>
      <c r="AI568" s="3109"/>
      <c r="AJ568" s="3109"/>
      <c r="AK568" s="1021"/>
      <c r="AL568" s="1021"/>
      <c r="AM568" s="1021"/>
      <c r="AN568" s="994"/>
      <c r="AQ568" s="1129"/>
      <c r="AR568" s="1129"/>
    </row>
    <row r="569" spans="1:46" s="937" customFormat="1" ht="12.75" customHeight="1">
      <c r="A569" s="1021"/>
      <c r="B569" s="1112"/>
      <c r="C569" s="3109"/>
      <c r="D569" s="3109"/>
      <c r="E569" s="3109"/>
      <c r="F569" s="3109"/>
      <c r="G569" s="3109"/>
      <c r="H569" s="3109"/>
      <c r="I569" s="3109"/>
      <c r="J569" s="3109"/>
      <c r="K569" s="3109"/>
      <c r="L569" s="3109"/>
      <c r="M569" s="3109"/>
      <c r="N569" s="3109"/>
      <c r="O569" s="3109"/>
      <c r="P569" s="3109"/>
      <c r="Q569" s="3109"/>
      <c r="R569" s="3109"/>
      <c r="S569" s="3109"/>
      <c r="T569" s="3109"/>
      <c r="U569" s="3109"/>
      <c r="V569" s="3109"/>
      <c r="W569" s="3109"/>
      <c r="X569" s="3109"/>
      <c r="Y569" s="3109"/>
      <c r="Z569" s="3109"/>
      <c r="AA569" s="3109"/>
      <c r="AB569" s="3109"/>
      <c r="AC569" s="3109"/>
      <c r="AD569" s="3109"/>
      <c r="AE569" s="3109"/>
      <c r="AF569" s="3109"/>
      <c r="AG569" s="3109"/>
      <c r="AH569" s="3109"/>
      <c r="AI569" s="3109"/>
      <c r="AJ569" s="3109"/>
      <c r="AK569" s="1021"/>
      <c r="AL569" s="1021"/>
      <c r="AM569" s="1021"/>
      <c r="AN569" s="994"/>
      <c r="AQ569" s="1129"/>
      <c r="AR569" s="1129"/>
    </row>
    <row r="570" spans="1:46" s="937" customFormat="1" ht="13.2" customHeight="1">
      <c r="A570" s="1021"/>
      <c r="B570" s="1112"/>
      <c r="C570" s="3109"/>
      <c r="D570" s="3109"/>
      <c r="E570" s="3109"/>
      <c r="F570" s="3109"/>
      <c r="G570" s="3109"/>
      <c r="H570" s="3109"/>
      <c r="I570" s="3109"/>
      <c r="J570" s="3109"/>
      <c r="K570" s="3109"/>
      <c r="L570" s="3109"/>
      <c r="M570" s="3109"/>
      <c r="N570" s="3109"/>
      <c r="O570" s="3109"/>
      <c r="P570" s="3109"/>
      <c r="Q570" s="3109"/>
      <c r="R570" s="3109"/>
      <c r="S570" s="3109"/>
      <c r="T570" s="3109"/>
      <c r="U570" s="3109"/>
      <c r="V570" s="3109"/>
      <c r="W570" s="3109"/>
      <c r="X570" s="3109"/>
      <c r="Y570" s="3109"/>
      <c r="Z570" s="3109"/>
      <c r="AA570" s="3109"/>
      <c r="AB570" s="3109"/>
      <c r="AC570" s="3109"/>
      <c r="AD570" s="3109"/>
      <c r="AE570" s="3109"/>
      <c r="AF570" s="3109"/>
      <c r="AG570" s="3109"/>
      <c r="AH570" s="3109"/>
      <c r="AI570" s="3109"/>
      <c r="AJ570" s="3109"/>
      <c r="AK570" s="1021"/>
      <c r="AL570" s="1021"/>
      <c r="AM570" s="1021"/>
      <c r="AN570" s="994"/>
      <c r="AQ570" s="1129"/>
      <c r="AR570" s="1129"/>
    </row>
    <row r="571" spans="1:46" s="937" customFormat="1" ht="12.75" customHeight="1">
      <c r="A571" s="1021"/>
      <c r="B571" s="1112"/>
      <c r="C571" s="3109"/>
      <c r="D571" s="3109"/>
      <c r="E571" s="3109"/>
      <c r="F571" s="3109"/>
      <c r="G571" s="3109"/>
      <c r="H571" s="3109"/>
      <c r="I571" s="3109"/>
      <c r="J571" s="3109"/>
      <c r="K571" s="3109"/>
      <c r="L571" s="3109"/>
      <c r="M571" s="3109"/>
      <c r="N571" s="3109"/>
      <c r="O571" s="3109"/>
      <c r="P571" s="3109"/>
      <c r="Q571" s="3109"/>
      <c r="R571" s="3109"/>
      <c r="S571" s="3109"/>
      <c r="T571" s="3109"/>
      <c r="U571" s="3109"/>
      <c r="V571" s="3109"/>
      <c r="W571" s="3109"/>
      <c r="X571" s="3109"/>
      <c r="Y571" s="3109"/>
      <c r="Z571" s="3109"/>
      <c r="AA571" s="3109"/>
      <c r="AB571" s="3109"/>
      <c r="AC571" s="3109"/>
      <c r="AD571" s="3109"/>
      <c r="AE571" s="3109"/>
      <c r="AF571" s="3109"/>
      <c r="AG571" s="3109"/>
      <c r="AH571" s="3109"/>
      <c r="AI571" s="3109"/>
      <c r="AJ571" s="3109"/>
      <c r="AK571" s="1021"/>
      <c r="AL571" s="1021"/>
      <c r="AM571" s="1021"/>
      <c r="AN571" s="994"/>
      <c r="AO571" s="1144"/>
      <c r="AP571" s="1144"/>
      <c r="AQ571" s="1129"/>
      <c r="AR571" s="996"/>
    </row>
    <row r="572" spans="1:46" s="937" customFormat="1" ht="12" customHeight="1">
      <c r="A572" s="1021"/>
      <c r="B572" s="1112"/>
      <c r="C572" s="3109"/>
      <c r="D572" s="3109"/>
      <c r="E572" s="3109"/>
      <c r="F572" s="3109"/>
      <c r="G572" s="3109"/>
      <c r="H572" s="3109"/>
      <c r="I572" s="3109"/>
      <c r="J572" s="3109"/>
      <c r="K572" s="3109"/>
      <c r="L572" s="3109"/>
      <c r="M572" s="3109"/>
      <c r="N572" s="3109"/>
      <c r="O572" s="3109"/>
      <c r="P572" s="3109"/>
      <c r="Q572" s="3109"/>
      <c r="R572" s="3109"/>
      <c r="S572" s="3109"/>
      <c r="T572" s="3109"/>
      <c r="U572" s="3109"/>
      <c r="V572" s="3109"/>
      <c r="W572" s="3109"/>
      <c r="X572" s="3109"/>
      <c r="Y572" s="3109"/>
      <c r="Z572" s="3109"/>
      <c r="AA572" s="3109"/>
      <c r="AB572" s="3109"/>
      <c r="AC572" s="3109"/>
      <c r="AD572" s="3109"/>
      <c r="AE572" s="3109"/>
      <c r="AF572" s="3109"/>
      <c r="AG572" s="3109"/>
      <c r="AH572" s="3109"/>
      <c r="AI572" s="3109"/>
      <c r="AJ572" s="3109"/>
      <c r="AK572" s="1021"/>
      <c r="AL572" s="1021"/>
      <c r="AM572" s="1021"/>
      <c r="AN572" s="994"/>
      <c r="AO572" s="1145" t="s">
        <v>117</v>
      </c>
      <c r="AP572" s="1146">
        <f>IF(C596="Yes",5,0)</f>
        <v>5</v>
      </c>
      <c r="AQ572" s="996"/>
      <c r="AR572" s="996"/>
      <c r="AS572" s="926" t="s">
        <v>1739</v>
      </c>
    </row>
    <row r="573" spans="1:46" s="937" customFormat="1" ht="12.75" customHeight="1">
      <c r="A573" s="1021"/>
      <c r="B573" s="1112"/>
      <c r="C573" s="3109"/>
      <c r="D573" s="3109"/>
      <c r="E573" s="3109"/>
      <c r="F573" s="3109"/>
      <c r="G573" s="3109"/>
      <c r="H573" s="3109"/>
      <c r="I573" s="3109"/>
      <c r="J573" s="3109"/>
      <c r="K573" s="3109"/>
      <c r="L573" s="3109"/>
      <c r="M573" s="3109"/>
      <c r="N573" s="3109"/>
      <c r="O573" s="3109"/>
      <c r="P573" s="3109"/>
      <c r="Q573" s="3109"/>
      <c r="R573" s="3109"/>
      <c r="S573" s="3109"/>
      <c r="T573" s="3109"/>
      <c r="U573" s="3109"/>
      <c r="V573" s="3109"/>
      <c r="W573" s="3109"/>
      <c r="X573" s="3109"/>
      <c r="Y573" s="3109"/>
      <c r="Z573" s="3109"/>
      <c r="AA573" s="3109"/>
      <c r="AB573" s="3109"/>
      <c r="AC573" s="3109"/>
      <c r="AD573" s="3109"/>
      <c r="AE573" s="3109"/>
      <c r="AF573" s="3109"/>
      <c r="AG573" s="3109"/>
      <c r="AH573" s="3109"/>
      <c r="AI573" s="3109"/>
      <c r="AJ573" s="3109"/>
      <c r="AK573" s="1021"/>
      <c r="AL573" s="1021"/>
      <c r="AM573" s="1021"/>
      <c r="AN573" s="994"/>
      <c r="AO573" s="1145" t="s">
        <v>118</v>
      </c>
      <c r="AP573" s="1146">
        <f>IF(C604="Yes",5,0)</f>
        <v>0</v>
      </c>
      <c r="AQ573" s="996"/>
      <c r="AR573" s="996"/>
      <c r="AS573" s="3074">
        <f>IF(Application!D210="Non-Targeted",(SUM(AQ581+AQ590)),AS577)</f>
        <v>10</v>
      </c>
      <c r="AT573" s="3074"/>
    </row>
    <row r="574" spans="1:46" s="937" customFormat="1" ht="12.75" customHeight="1">
      <c r="A574" s="1021"/>
      <c r="B574" s="1112"/>
      <c r="C574" s="3109"/>
      <c r="D574" s="3109"/>
      <c r="E574" s="3109"/>
      <c r="F574" s="3109"/>
      <c r="G574" s="3109"/>
      <c r="H574" s="3109"/>
      <c r="I574" s="3109"/>
      <c r="J574" s="3109"/>
      <c r="K574" s="3109"/>
      <c r="L574" s="3109"/>
      <c r="M574" s="3109"/>
      <c r="N574" s="3109"/>
      <c r="O574" s="3109"/>
      <c r="P574" s="3109"/>
      <c r="Q574" s="3109"/>
      <c r="R574" s="3109"/>
      <c r="S574" s="3109"/>
      <c r="T574" s="3109"/>
      <c r="U574" s="3109"/>
      <c r="V574" s="3109"/>
      <c r="W574" s="3109"/>
      <c r="X574" s="3109"/>
      <c r="Y574" s="3109"/>
      <c r="Z574" s="3109"/>
      <c r="AA574" s="3109"/>
      <c r="AB574" s="3109"/>
      <c r="AC574" s="3109"/>
      <c r="AD574" s="3109"/>
      <c r="AE574" s="3109"/>
      <c r="AF574" s="3109"/>
      <c r="AG574" s="3109"/>
      <c r="AH574" s="3109"/>
      <c r="AI574" s="3109"/>
      <c r="AJ574" s="3109"/>
      <c r="AK574" s="1021"/>
      <c r="AL574" s="1021"/>
      <c r="AM574" s="1021"/>
      <c r="AN574" s="994"/>
      <c r="AO574" s="1145" t="s">
        <v>124</v>
      </c>
      <c r="AP574" s="1146">
        <f>IF(C612="Yes",7,0)</f>
        <v>0</v>
      </c>
      <c r="AS574" s="926" t="s">
        <v>1740</v>
      </c>
    </row>
    <row r="575" spans="1:46" s="937" customFormat="1" ht="12.75" customHeight="1">
      <c r="A575" s="1021"/>
      <c r="B575" s="1112"/>
      <c r="C575" s="3109"/>
      <c r="D575" s="3109"/>
      <c r="E575" s="3109"/>
      <c r="F575" s="3109"/>
      <c r="G575" s="3109"/>
      <c r="H575" s="3109"/>
      <c r="I575" s="3109"/>
      <c r="J575" s="3109"/>
      <c r="K575" s="3109"/>
      <c r="L575" s="3109"/>
      <c r="M575" s="3109"/>
      <c r="N575" s="3109"/>
      <c r="O575" s="3109"/>
      <c r="P575" s="3109"/>
      <c r="Q575" s="3109"/>
      <c r="R575" s="3109"/>
      <c r="S575" s="3109"/>
      <c r="T575" s="3109"/>
      <c r="U575" s="3109"/>
      <c r="V575" s="3109"/>
      <c r="W575" s="3109"/>
      <c r="X575" s="3109"/>
      <c r="Y575" s="3109"/>
      <c r="Z575" s="3109"/>
      <c r="AA575" s="3109"/>
      <c r="AB575" s="3109"/>
      <c r="AC575" s="3109"/>
      <c r="AD575" s="3109"/>
      <c r="AE575" s="3109"/>
      <c r="AF575" s="3109"/>
      <c r="AG575" s="3109"/>
      <c r="AH575" s="3109"/>
      <c r="AI575" s="3109"/>
      <c r="AJ575" s="3109"/>
      <c r="AK575" s="1021"/>
      <c r="AL575" s="1021"/>
      <c r="AM575" s="1021"/>
      <c r="AN575" s="994"/>
      <c r="AO575" s="994"/>
      <c r="AP575" s="1146">
        <f>IF(C614="Yes",5,0)</f>
        <v>0</v>
      </c>
      <c r="AS575" s="3074">
        <f>IF(AND(AQ581&gt;0,AQ590&gt;0),(AQ581+AQ590)/2,0)</f>
        <v>0</v>
      </c>
      <c r="AT575" s="3074"/>
    </row>
    <row r="576" spans="1:46" s="937" customFormat="1" ht="12.75" customHeight="1">
      <c r="A576" s="1021"/>
      <c r="B576" s="1112"/>
      <c r="C576" s="3109"/>
      <c r="D576" s="3109"/>
      <c r="E576" s="3109"/>
      <c r="F576" s="3109"/>
      <c r="G576" s="3109"/>
      <c r="H576" s="3109"/>
      <c r="I576" s="3109"/>
      <c r="J576" s="3109"/>
      <c r="K576" s="3109"/>
      <c r="L576" s="3109"/>
      <c r="M576" s="3109"/>
      <c r="N576" s="3109"/>
      <c r="O576" s="3109"/>
      <c r="P576" s="3109"/>
      <c r="Q576" s="3109"/>
      <c r="R576" s="3109"/>
      <c r="S576" s="3109"/>
      <c r="T576" s="3109"/>
      <c r="U576" s="3109"/>
      <c r="V576" s="3109"/>
      <c r="W576" s="3109"/>
      <c r="X576" s="3109"/>
      <c r="Y576" s="3109"/>
      <c r="Z576" s="3109"/>
      <c r="AA576" s="3109"/>
      <c r="AB576" s="3109"/>
      <c r="AC576" s="3109"/>
      <c r="AD576" s="3109"/>
      <c r="AE576" s="3109"/>
      <c r="AF576" s="3109"/>
      <c r="AG576" s="3109"/>
      <c r="AH576" s="3109"/>
      <c r="AI576" s="3109"/>
      <c r="AJ576" s="3109"/>
      <c r="AK576" s="1021"/>
      <c r="AL576" s="1021"/>
      <c r="AM576" s="1021"/>
      <c r="AN576" s="994"/>
      <c r="AO576" s="1145" t="s">
        <v>616</v>
      </c>
      <c r="AP576" s="1146">
        <f>IF(C622="Yes",5,0)</f>
        <v>0</v>
      </c>
      <c r="AQ576" s="996"/>
      <c r="AR576" s="996"/>
      <c r="AS576" s="926" t="s">
        <v>2411</v>
      </c>
    </row>
    <row r="577" spans="1:81" s="937" customFormat="1" ht="12.75" customHeight="1">
      <c r="A577" s="1021"/>
      <c r="B577" s="1112"/>
      <c r="C577" s="3216" t="s">
        <v>1741</v>
      </c>
      <c r="D577" s="3216"/>
      <c r="E577" s="3216"/>
      <c r="F577" s="3216"/>
      <c r="G577" s="3216"/>
      <c r="H577" s="3216"/>
      <c r="I577" s="3216"/>
      <c r="J577" s="3216"/>
      <c r="K577" s="3216"/>
      <c r="L577" s="3216"/>
      <c r="M577" s="3216"/>
      <c r="N577" s="3216"/>
      <c r="O577" s="3216"/>
      <c r="P577" s="3216"/>
      <c r="Q577" s="3216"/>
      <c r="R577" s="3216"/>
      <c r="S577" s="3216"/>
      <c r="T577" s="3216"/>
      <c r="U577" s="3216"/>
      <c r="V577" s="3216"/>
      <c r="W577" s="3216"/>
      <c r="X577" s="3216"/>
      <c r="Y577" s="3216"/>
      <c r="Z577" s="3216"/>
      <c r="AA577" s="3216"/>
      <c r="AB577" s="3216"/>
      <c r="AC577" s="3216"/>
      <c r="AD577" s="3216"/>
      <c r="AE577" s="3216"/>
      <c r="AF577" s="3216"/>
      <c r="AG577" s="3216"/>
      <c r="AH577" s="3216"/>
      <c r="AI577" s="3216"/>
      <c r="AJ577" s="3216"/>
      <c r="AK577" s="1021"/>
      <c r="AL577" s="1021"/>
      <c r="AM577" s="1021"/>
      <c r="AN577" s="994"/>
      <c r="AO577" s="994"/>
      <c r="AP577" s="1146">
        <f>IF(C624="Yes",3,0)</f>
        <v>0</v>
      </c>
      <c r="AS577" s="3074">
        <f>IF(AQ581=0,AQ590,AQ581)</f>
        <v>10</v>
      </c>
      <c r="AT577" s="3074"/>
    </row>
    <row r="578" spans="1:81" s="937" customFormat="1" ht="12.75" customHeight="1">
      <c r="A578" s="1021"/>
      <c r="B578" s="1112"/>
      <c r="C578" s="3216"/>
      <c r="D578" s="3216"/>
      <c r="E578" s="3216"/>
      <c r="F578" s="3216"/>
      <c r="G578" s="3216"/>
      <c r="H578" s="3216"/>
      <c r="I578" s="3216"/>
      <c r="J578" s="3216"/>
      <c r="K578" s="3216"/>
      <c r="L578" s="3216"/>
      <c r="M578" s="3216"/>
      <c r="N578" s="3216"/>
      <c r="O578" s="3216"/>
      <c r="P578" s="3216"/>
      <c r="Q578" s="3216"/>
      <c r="R578" s="3216"/>
      <c r="S578" s="3216"/>
      <c r="T578" s="3216"/>
      <c r="U578" s="3216"/>
      <c r="V578" s="3216"/>
      <c r="W578" s="3216"/>
      <c r="X578" s="3216"/>
      <c r="Y578" s="3216"/>
      <c r="Z578" s="3216"/>
      <c r="AA578" s="3216"/>
      <c r="AB578" s="3216"/>
      <c r="AC578" s="3216"/>
      <c r="AD578" s="3216"/>
      <c r="AE578" s="3216"/>
      <c r="AF578" s="3216"/>
      <c r="AG578" s="3216"/>
      <c r="AH578" s="3216"/>
      <c r="AI578" s="3216"/>
      <c r="AJ578" s="3216"/>
      <c r="AK578" s="1021"/>
      <c r="AL578" s="1021"/>
      <c r="AM578" s="1021"/>
      <c r="AN578" s="994"/>
      <c r="AO578" s="1145" t="s">
        <v>821</v>
      </c>
      <c r="AP578" s="1146">
        <f>IF(C627="Yes",5,0)</f>
        <v>0</v>
      </c>
    </row>
    <row r="579" spans="1:81" s="937" customFormat="1" ht="12.75" customHeight="1">
      <c r="A579" s="1021"/>
      <c r="B579" s="1112"/>
      <c r="C579" s="3216"/>
      <c r="D579" s="3216"/>
      <c r="E579" s="3216"/>
      <c r="F579" s="3216"/>
      <c r="G579" s="3216"/>
      <c r="H579" s="3216"/>
      <c r="I579" s="3216"/>
      <c r="J579" s="3216"/>
      <c r="K579" s="3216"/>
      <c r="L579" s="3216"/>
      <c r="M579" s="3216"/>
      <c r="N579" s="3216"/>
      <c r="O579" s="3216"/>
      <c r="P579" s="3216"/>
      <c r="Q579" s="3216"/>
      <c r="R579" s="3216"/>
      <c r="S579" s="3216"/>
      <c r="T579" s="3216"/>
      <c r="U579" s="3216"/>
      <c r="V579" s="3216"/>
      <c r="W579" s="3216"/>
      <c r="X579" s="3216"/>
      <c r="Y579" s="3216"/>
      <c r="Z579" s="3216"/>
      <c r="AA579" s="3216"/>
      <c r="AB579" s="3216"/>
      <c r="AC579" s="3216"/>
      <c r="AD579" s="3216"/>
      <c r="AE579" s="3216"/>
      <c r="AF579" s="3216"/>
      <c r="AG579" s="3216"/>
      <c r="AH579" s="3216"/>
      <c r="AI579" s="3216"/>
      <c r="AJ579" s="3216"/>
      <c r="AK579" s="1021"/>
      <c r="AL579" s="1021"/>
      <c r="AM579" s="1021"/>
      <c r="AN579" s="994"/>
      <c r="AO579" s="1145" t="s">
        <v>619</v>
      </c>
      <c r="AP579" s="1146">
        <f>IF(C636="Yes",5,0)</f>
        <v>5</v>
      </c>
    </row>
    <row r="580" spans="1:81" s="937" customFormat="1" ht="12" customHeight="1">
      <c r="A580" s="1021"/>
      <c r="B580" s="1112"/>
      <c r="C580" s="3216"/>
      <c r="D580" s="3216"/>
      <c r="E580" s="3216"/>
      <c r="F580" s="3216"/>
      <c r="G580" s="3216"/>
      <c r="H580" s="3216"/>
      <c r="I580" s="3216"/>
      <c r="J580" s="3216"/>
      <c r="K580" s="3216"/>
      <c r="L580" s="3216"/>
      <c r="M580" s="3216"/>
      <c r="N580" s="3216"/>
      <c r="O580" s="3216"/>
      <c r="P580" s="3216"/>
      <c r="Q580" s="3216"/>
      <c r="R580" s="3216"/>
      <c r="S580" s="3216"/>
      <c r="T580" s="3216"/>
      <c r="U580" s="3216"/>
      <c r="V580" s="3216"/>
      <c r="W580" s="3216"/>
      <c r="X580" s="3216"/>
      <c r="Y580" s="3216"/>
      <c r="Z580" s="3216"/>
      <c r="AA580" s="3216"/>
      <c r="AB580" s="3216"/>
      <c r="AC580" s="3216"/>
      <c r="AD580" s="3216"/>
      <c r="AE580" s="3216"/>
      <c r="AF580" s="3216"/>
      <c r="AG580" s="3216"/>
      <c r="AH580" s="3216"/>
      <c r="AI580" s="3216"/>
      <c r="AJ580" s="3216"/>
      <c r="AK580" s="1021"/>
      <c r="AL580" s="1021"/>
      <c r="AM580" s="1021"/>
      <c r="AN580" s="994"/>
      <c r="AO580" s="1147"/>
      <c r="AP580" s="1148">
        <f>IF(C638="Yes",3,0)</f>
        <v>0</v>
      </c>
    </row>
    <row r="581" spans="1:81" s="937" customFormat="1" ht="12.45" customHeight="1">
      <c r="A581" s="1021"/>
      <c r="B581" s="1112"/>
      <c r="C581" s="3216"/>
      <c r="D581" s="3216"/>
      <c r="E581" s="3216"/>
      <c r="F581" s="3216"/>
      <c r="G581" s="3216"/>
      <c r="H581" s="3216"/>
      <c r="I581" s="3216"/>
      <c r="J581" s="3216"/>
      <c r="K581" s="3216"/>
      <c r="L581" s="3216"/>
      <c r="M581" s="3216"/>
      <c r="N581" s="3216"/>
      <c r="O581" s="3216"/>
      <c r="P581" s="3216"/>
      <c r="Q581" s="3216"/>
      <c r="R581" s="3216"/>
      <c r="S581" s="3216"/>
      <c r="T581" s="3216"/>
      <c r="U581" s="3216"/>
      <c r="V581" s="3216"/>
      <c r="W581" s="3216"/>
      <c r="X581" s="3216"/>
      <c r="Y581" s="3216"/>
      <c r="Z581" s="3216"/>
      <c r="AA581" s="3216"/>
      <c r="AB581" s="3216"/>
      <c r="AC581" s="3216"/>
      <c r="AD581" s="3216"/>
      <c r="AE581" s="3216"/>
      <c r="AF581" s="3216"/>
      <c r="AG581" s="3216"/>
      <c r="AH581" s="3216"/>
      <c r="AI581" s="3216"/>
      <c r="AJ581" s="3216"/>
      <c r="AK581" s="1021"/>
      <c r="AL581" s="1021"/>
      <c r="AM581" s="1021"/>
      <c r="AN581" s="994"/>
      <c r="AO581" s="1149" t="s">
        <v>233</v>
      </c>
      <c r="AP581" s="1150">
        <f>SUM(AP572:AP580)</f>
        <v>10</v>
      </c>
      <c r="AQ581" s="3112">
        <f>IF(AP581&gt;0,AP581,0)</f>
        <v>10</v>
      </c>
      <c r="AR581" s="3112"/>
    </row>
    <row r="582" spans="1:81" s="937" customFormat="1" ht="12.75" customHeight="1">
      <c r="A582" s="1021"/>
      <c r="B582" s="1112"/>
      <c r="C582" s="3216"/>
      <c r="D582" s="3216"/>
      <c r="E582" s="3216"/>
      <c r="F582" s="3216"/>
      <c r="G582" s="3216"/>
      <c r="H582" s="3216"/>
      <c r="I582" s="3216"/>
      <c r="J582" s="3216"/>
      <c r="K582" s="3216"/>
      <c r="L582" s="3216"/>
      <c r="M582" s="3216"/>
      <c r="N582" s="3216"/>
      <c r="O582" s="3216"/>
      <c r="P582" s="3216"/>
      <c r="Q582" s="3216"/>
      <c r="R582" s="3216"/>
      <c r="S582" s="3216"/>
      <c r="T582" s="3216"/>
      <c r="U582" s="3216"/>
      <c r="V582" s="3216"/>
      <c r="W582" s="3216"/>
      <c r="X582" s="3216"/>
      <c r="Y582" s="3216"/>
      <c r="Z582" s="3216"/>
      <c r="AA582" s="3216"/>
      <c r="AB582" s="3216"/>
      <c r="AC582" s="3216"/>
      <c r="AD582" s="3216"/>
      <c r="AE582" s="3216"/>
      <c r="AF582" s="3216"/>
      <c r="AG582" s="3216"/>
      <c r="AH582" s="3216"/>
      <c r="AI582" s="3216"/>
      <c r="AJ582" s="3216"/>
      <c r="AK582" s="1021"/>
      <c r="AL582" s="1021"/>
      <c r="AM582" s="1021"/>
      <c r="AN582" s="994"/>
      <c r="AO582" s="1019"/>
      <c r="AP582" s="1151"/>
    </row>
    <row r="583" spans="1:81" s="937" customFormat="1" ht="12.75" customHeight="1">
      <c r="A583" s="1021"/>
      <c r="B583" s="1112"/>
      <c r="C583" s="1142"/>
      <c r="D583" s="1142"/>
      <c r="E583" s="1142"/>
      <c r="F583" s="1142"/>
      <c r="G583" s="1142"/>
      <c r="H583" s="1142"/>
      <c r="I583" s="1142"/>
      <c r="J583" s="1142"/>
      <c r="K583" s="1142"/>
      <c r="L583" s="1142"/>
      <c r="M583" s="1142"/>
      <c r="N583" s="1142"/>
      <c r="O583" s="1142"/>
      <c r="P583" s="1142"/>
      <c r="Q583" s="1142"/>
      <c r="R583" s="1142"/>
      <c r="S583" s="1142"/>
      <c r="T583" s="1142"/>
      <c r="U583" s="1142"/>
      <c r="V583" s="1142"/>
      <c r="W583" s="1142"/>
      <c r="X583" s="1142"/>
      <c r="Y583" s="1142"/>
      <c r="Z583" s="1142"/>
      <c r="AA583" s="1142"/>
      <c r="AB583" s="1142"/>
      <c r="AC583" s="1142"/>
      <c r="AD583" s="1142"/>
      <c r="AE583" s="1142"/>
      <c r="AF583" s="1142"/>
      <c r="AG583" s="1142"/>
      <c r="AH583" s="1142"/>
      <c r="AI583" s="1142"/>
      <c r="AJ583" s="1142"/>
      <c r="AK583" s="1021"/>
      <c r="AL583" s="1021"/>
      <c r="AM583" s="1021"/>
      <c r="AN583" s="994"/>
      <c r="AO583" s="1145" t="s">
        <v>487</v>
      </c>
      <c r="AP583" s="1146">
        <f>IF(C645="Yes",5,0)</f>
        <v>0</v>
      </c>
    </row>
    <row r="584" spans="1:81" s="937" customFormat="1" ht="12.75" customHeight="1">
      <c r="A584" s="1021"/>
      <c r="B584" s="1112"/>
      <c r="C584" s="3109" t="s">
        <v>1742</v>
      </c>
      <c r="D584" s="3109"/>
      <c r="E584" s="3109"/>
      <c r="F584" s="3109"/>
      <c r="G584" s="3109"/>
      <c r="H584" s="3109"/>
      <c r="I584" s="3109"/>
      <c r="J584" s="3109"/>
      <c r="K584" s="3109"/>
      <c r="L584" s="3109"/>
      <c r="M584" s="3109"/>
      <c r="N584" s="3109"/>
      <c r="O584" s="3109"/>
      <c r="P584" s="3109"/>
      <c r="Q584" s="3109"/>
      <c r="R584" s="3109"/>
      <c r="S584" s="3109"/>
      <c r="T584" s="3109"/>
      <c r="U584" s="3109"/>
      <c r="V584" s="3109"/>
      <c r="W584" s="3109"/>
      <c r="X584" s="3109"/>
      <c r="Y584" s="3109"/>
      <c r="Z584" s="3109"/>
      <c r="AA584" s="3109"/>
      <c r="AB584" s="3109"/>
      <c r="AC584" s="3109"/>
      <c r="AD584" s="3109"/>
      <c r="AE584" s="3109"/>
      <c r="AF584" s="3109"/>
      <c r="AG584" s="3109"/>
      <c r="AH584" s="3109"/>
      <c r="AI584" s="3109"/>
      <c r="AJ584" s="3109"/>
      <c r="AK584" s="1021"/>
      <c r="AL584" s="1021"/>
      <c r="AM584" s="1021"/>
      <c r="AN584" s="994"/>
      <c r="AO584" s="1145" t="s">
        <v>488</v>
      </c>
      <c r="AP584" s="1146">
        <f>IF(C657="Yes",5,0)</f>
        <v>0</v>
      </c>
    </row>
    <row r="585" spans="1:81" s="937" customFormat="1" ht="12.75" customHeight="1">
      <c r="A585" s="1021"/>
      <c r="B585" s="1112"/>
      <c r="C585" s="3109"/>
      <c r="D585" s="3109"/>
      <c r="E585" s="3109"/>
      <c r="F585" s="3109"/>
      <c r="G585" s="3109"/>
      <c r="H585" s="3109"/>
      <c r="I585" s="3109"/>
      <c r="J585" s="3109"/>
      <c r="K585" s="3109"/>
      <c r="L585" s="3109"/>
      <c r="M585" s="3109"/>
      <c r="N585" s="3109"/>
      <c r="O585" s="3109"/>
      <c r="P585" s="3109"/>
      <c r="Q585" s="3109"/>
      <c r="R585" s="3109"/>
      <c r="S585" s="3109"/>
      <c r="T585" s="3109"/>
      <c r="U585" s="3109"/>
      <c r="V585" s="3109"/>
      <c r="W585" s="3109"/>
      <c r="X585" s="3109"/>
      <c r="Y585" s="3109"/>
      <c r="Z585" s="3109"/>
      <c r="AA585" s="3109"/>
      <c r="AB585" s="3109"/>
      <c r="AC585" s="3109"/>
      <c r="AD585" s="3109"/>
      <c r="AE585" s="3109"/>
      <c r="AF585" s="3109"/>
      <c r="AG585" s="3109"/>
      <c r="AH585" s="3109"/>
      <c r="AI585" s="3109"/>
      <c r="AJ585" s="3109"/>
      <c r="AK585" s="1021"/>
      <c r="AL585" s="1021"/>
      <c r="AM585" s="1021"/>
      <c r="AN585" s="994"/>
      <c r="AO585" s="1145" t="s">
        <v>494</v>
      </c>
      <c r="AP585" s="1146">
        <f>IF(C664="Yes",5,0)</f>
        <v>0</v>
      </c>
    </row>
    <row r="586" spans="1:81" s="937" customFormat="1" ht="68.25" customHeight="1">
      <c r="A586" s="1021"/>
      <c r="B586" s="1112"/>
      <c r="C586" s="3109"/>
      <c r="D586" s="3109"/>
      <c r="E586" s="3109"/>
      <c r="F586" s="3109"/>
      <c r="G586" s="3109"/>
      <c r="H586" s="3109"/>
      <c r="I586" s="3109"/>
      <c r="J586" s="3109"/>
      <c r="K586" s="3109"/>
      <c r="L586" s="3109"/>
      <c r="M586" s="3109"/>
      <c r="N586" s="3109"/>
      <c r="O586" s="3109"/>
      <c r="P586" s="3109"/>
      <c r="Q586" s="3109"/>
      <c r="R586" s="3109"/>
      <c r="S586" s="3109"/>
      <c r="T586" s="3109"/>
      <c r="U586" s="3109"/>
      <c r="V586" s="3109"/>
      <c r="W586" s="3109"/>
      <c r="X586" s="3109"/>
      <c r="Y586" s="3109"/>
      <c r="Z586" s="3109"/>
      <c r="AA586" s="3109"/>
      <c r="AB586" s="3109"/>
      <c r="AC586" s="3109"/>
      <c r="AD586" s="3109"/>
      <c r="AE586" s="3109"/>
      <c r="AF586" s="3109"/>
      <c r="AG586" s="3109"/>
      <c r="AH586" s="3109"/>
      <c r="AI586" s="3109"/>
      <c r="AJ586" s="3109"/>
      <c r="AK586" s="1021"/>
      <c r="AL586" s="1021"/>
      <c r="AM586" s="1021"/>
      <c r="AN586" s="994"/>
      <c r="AO586" s="1145" t="s">
        <v>681</v>
      </c>
      <c r="AP586" s="1152">
        <f>IF(C668="Yes",5,0)</f>
        <v>0</v>
      </c>
      <c r="AQ586" s="996"/>
      <c r="AR586" s="996"/>
    </row>
    <row r="587" spans="1:81" s="937" customFormat="1" ht="12.45" customHeight="1">
      <c r="A587" s="1021"/>
      <c r="B587" s="1112"/>
      <c r="C587" s="1153" t="s">
        <v>1743</v>
      </c>
      <c r="AF587" s="1021"/>
      <c r="AG587" s="1021"/>
      <c r="AH587" s="1021"/>
      <c r="AI587" s="1021"/>
      <c r="AJ587" s="1021"/>
      <c r="AK587" s="1021"/>
      <c r="AL587" s="1021"/>
      <c r="AM587" s="1021"/>
      <c r="AN587" s="994"/>
      <c r="AO587" s="1145" t="s">
        <v>372</v>
      </c>
      <c r="AP587" s="1146">
        <f>IF(C672="Yes",5,0)</f>
        <v>0</v>
      </c>
    </row>
    <row r="588" spans="1:81" s="937" customFormat="1" ht="12.75" customHeight="1">
      <c r="A588" s="1021"/>
      <c r="B588" s="1112"/>
      <c r="C588" s="1154" t="s">
        <v>1744</v>
      </c>
      <c r="D588" s="1155"/>
      <c r="E588" s="1155"/>
      <c r="F588" s="1155"/>
      <c r="G588" s="1155"/>
      <c r="H588" s="1155"/>
      <c r="I588" s="1155"/>
      <c r="J588" s="1155"/>
      <c r="K588" s="1155"/>
      <c r="L588" s="1155"/>
      <c r="M588" s="1104"/>
      <c r="N588" s="1104"/>
      <c r="O588" s="1156"/>
      <c r="P588" s="1155"/>
      <c r="Q588" s="1155"/>
      <c r="R588" s="1104"/>
      <c r="S588" s="1104"/>
      <c r="T588" s="1155"/>
      <c r="U588" s="3110">
        <f>'Service Amenities Budget'!J10</f>
        <v>407</v>
      </c>
      <c r="V588" s="3110"/>
      <c r="W588" s="3110"/>
      <c r="X588" s="1155"/>
      <c r="Y588" s="1155"/>
      <c r="Z588" s="1155"/>
      <c r="AA588" s="1157"/>
      <c r="AB588" s="1158"/>
      <c r="AC588" s="1158"/>
      <c r="AD588" s="1158"/>
      <c r="AE588" s="1021"/>
      <c r="AF588" s="1021"/>
      <c r="AG588" s="1021"/>
      <c r="AH588" s="1021"/>
      <c r="AI588" s="1021"/>
      <c r="AJ588" s="1021"/>
      <c r="AK588" s="1021"/>
      <c r="AL588" s="1021"/>
      <c r="AM588" s="1021"/>
      <c r="AN588" s="994"/>
      <c r="AO588" s="1145" t="s">
        <v>373</v>
      </c>
      <c r="AP588" s="1146">
        <f>IF(C681="Yes",5,0)</f>
        <v>0</v>
      </c>
    </row>
    <row r="589" spans="1:81" s="937" customFormat="1" ht="12.75" customHeight="1">
      <c r="A589" s="1021"/>
      <c r="B589" s="1112"/>
      <c r="C589" s="1159" t="s">
        <v>1745</v>
      </c>
      <c r="D589" s="1160"/>
      <c r="E589" s="1160"/>
      <c r="F589" s="1160"/>
      <c r="G589" s="1160"/>
      <c r="H589" s="1160"/>
      <c r="I589" s="1160"/>
      <c r="J589" s="1160"/>
      <c r="K589" s="1160"/>
      <c r="L589" s="1160"/>
      <c r="M589" s="1144"/>
      <c r="N589" s="1144"/>
      <c r="O589" s="1160"/>
      <c r="P589" s="1160"/>
      <c r="Q589" s="1160"/>
      <c r="R589" s="1160"/>
      <c r="S589" s="1160"/>
      <c r="T589" s="1160"/>
      <c r="U589" s="3111">
        <f>'Service Amenities Budget'!J9</f>
        <v>0</v>
      </c>
      <c r="V589" s="3111"/>
      <c r="W589" s="3111"/>
      <c r="X589" s="1160"/>
      <c r="Y589" s="1160"/>
      <c r="Z589" s="1160"/>
      <c r="AA589" s="1161"/>
      <c r="AB589" s="1153"/>
      <c r="AC589" s="1162"/>
      <c r="AD589" s="1162"/>
      <c r="AE589" s="1021"/>
      <c r="AF589" s="1021"/>
      <c r="AG589" s="1021"/>
      <c r="AH589" s="1021"/>
      <c r="AI589" s="1021"/>
      <c r="AJ589" s="1021"/>
      <c r="AK589" s="1021"/>
      <c r="AL589" s="1021"/>
      <c r="AM589" s="1021"/>
      <c r="AN589" s="994"/>
      <c r="AO589" s="1147"/>
      <c r="AP589" s="1148"/>
    </row>
    <row r="590" spans="1:81" s="937" customFormat="1" ht="12.75" customHeight="1">
      <c r="A590" s="1021"/>
      <c r="B590" s="1112"/>
      <c r="C590" s="1210"/>
      <c r="D590" s="1664"/>
      <c r="E590" s="1664"/>
      <c r="F590" s="1664"/>
      <c r="G590" s="1664"/>
      <c r="H590" s="1664"/>
      <c r="I590" s="1664"/>
      <c r="J590" s="1664"/>
      <c r="K590" s="1664"/>
      <c r="L590" s="1664"/>
      <c r="M590" s="1019"/>
      <c r="N590" s="1019"/>
      <c r="O590" s="1664"/>
      <c r="P590" s="1664"/>
      <c r="Q590" s="1664"/>
      <c r="R590" s="1664"/>
      <c r="S590" s="1664"/>
      <c r="T590" s="1664"/>
      <c r="U590" s="1665"/>
      <c r="V590" s="1665"/>
      <c r="W590" s="1665"/>
      <c r="X590" s="1664"/>
      <c r="Y590" s="1664"/>
      <c r="Z590" s="1664"/>
      <c r="AA590" s="1664"/>
      <c r="AB590" s="1153"/>
      <c r="AC590" s="1162"/>
      <c r="AD590" s="1162"/>
      <c r="AE590" s="1021"/>
      <c r="AF590" s="1021"/>
      <c r="AG590" s="1021"/>
      <c r="AH590" s="1021"/>
      <c r="AI590" s="1021"/>
      <c r="AJ590" s="1021"/>
      <c r="AK590" s="1021"/>
      <c r="AL590" s="1021"/>
      <c r="AM590" s="1021"/>
      <c r="AN590" s="994"/>
      <c r="AO590" s="1163" t="s">
        <v>233</v>
      </c>
      <c r="AP590" s="1164">
        <f>SUM(AP583:AP588)</f>
        <v>0</v>
      </c>
      <c r="AQ590" s="3112">
        <f>IF(AP590&gt;0,AP590,0)</f>
        <v>0</v>
      </c>
      <c r="AR590" s="3112"/>
    </row>
    <row r="591" spans="1:81" s="937" customFormat="1" ht="12.75" customHeight="1">
      <c r="A591" s="1021"/>
      <c r="B591" s="51"/>
      <c r="C591" s="1165" t="s">
        <v>1746</v>
      </c>
      <c r="D591" s="1021"/>
      <c r="E591" s="1021"/>
      <c r="F591" s="1021"/>
      <c r="G591" s="1021"/>
      <c r="H591" s="1021"/>
      <c r="I591" s="1021"/>
      <c r="J591" s="1021"/>
      <c r="K591" s="1021"/>
      <c r="L591" s="1021"/>
      <c r="M591" s="1021"/>
      <c r="N591" s="1021"/>
      <c r="O591" s="1021"/>
      <c r="P591" s="1021"/>
      <c r="Q591" s="1021"/>
      <c r="R591" s="1021"/>
      <c r="S591" s="1021"/>
      <c r="T591" s="1021"/>
      <c r="U591" s="1021"/>
      <c r="V591" s="1021"/>
      <c r="W591" s="1021"/>
      <c r="X591" s="1021"/>
      <c r="Y591" s="1021"/>
      <c r="Z591" s="1021"/>
      <c r="AA591" s="1021"/>
      <c r="AB591" s="1021"/>
      <c r="AC591" s="1021"/>
      <c r="AD591" s="1021"/>
      <c r="AE591" s="1021"/>
      <c r="AF591" s="1021"/>
      <c r="AG591" s="1021"/>
      <c r="AH591" s="1021"/>
      <c r="AI591" s="1021"/>
      <c r="AJ591" s="1021"/>
      <c r="AK591" s="1021"/>
      <c r="AL591" s="1021"/>
      <c r="AM591" s="1021"/>
      <c r="AN591" s="994"/>
      <c r="AO591" s="1019"/>
      <c r="AP591" s="1019"/>
      <c r="BS591" s="126"/>
      <c r="BT591" s="126"/>
      <c r="BU591" s="51"/>
      <c r="BV591" s="51"/>
      <c r="BW591" s="51"/>
    </row>
    <row r="592" spans="1:81" s="937" customFormat="1" ht="12.75" customHeight="1">
      <c r="A592" s="921"/>
      <c r="B592" s="51"/>
      <c r="C592" s="1166"/>
      <c r="D592" s="1167"/>
      <c r="E592" s="1168" t="s">
        <v>1584</v>
      </c>
      <c r="F592" s="3104" t="s">
        <v>1747</v>
      </c>
      <c r="G592" s="3104"/>
      <c r="H592" s="3104"/>
      <c r="I592" s="3104"/>
      <c r="J592" s="3104"/>
      <c r="K592" s="3104"/>
      <c r="L592" s="3104"/>
      <c r="M592" s="3104"/>
      <c r="N592" s="3104"/>
      <c r="O592" s="3104"/>
      <c r="P592" s="3104"/>
      <c r="Q592" s="3104"/>
      <c r="R592" s="3104"/>
      <c r="S592" s="3104"/>
      <c r="T592" s="3104"/>
      <c r="U592" s="3104"/>
      <c r="V592" s="3104"/>
      <c r="W592" s="3104"/>
      <c r="X592" s="3104"/>
      <c r="Y592" s="3104"/>
      <c r="Z592" s="3104"/>
      <c r="AA592" s="3104"/>
      <c r="AB592" s="3104"/>
      <c r="AC592" s="3104"/>
      <c r="AD592" s="3104"/>
      <c r="AE592" s="3104"/>
      <c r="AF592" s="3104"/>
      <c r="AG592" s="1169"/>
      <c r="AH592" s="1169"/>
      <c r="AI592" s="1169"/>
      <c r="AJ592" s="1169"/>
      <c r="AK592" s="1169"/>
      <c r="AL592" s="1170"/>
      <c r="AM592" s="1128"/>
      <c r="AN592" s="994"/>
      <c r="AO592" s="1019"/>
      <c r="AP592" s="1151"/>
      <c r="BS592" s="126"/>
      <c r="BT592" s="126"/>
      <c r="BU592" s="51"/>
      <c r="BV592" s="51"/>
      <c r="BW592" s="51"/>
      <c r="BX592" s="51"/>
      <c r="BY592" s="51"/>
      <c r="BZ592" s="51"/>
      <c r="CA592" s="51"/>
      <c r="CB592" s="51"/>
      <c r="CC592" s="51"/>
    </row>
    <row r="593" spans="1:81" s="937" customFormat="1" ht="12.75" customHeight="1">
      <c r="A593" s="921"/>
      <c r="B593" s="51"/>
      <c r="C593" s="1171"/>
      <c r="D593" s="985"/>
      <c r="E593" s="1172"/>
      <c r="F593" s="3105"/>
      <c r="G593" s="3105"/>
      <c r="H593" s="3105"/>
      <c r="I593" s="3105"/>
      <c r="J593" s="3105"/>
      <c r="K593" s="3105"/>
      <c r="L593" s="3105"/>
      <c r="M593" s="3105"/>
      <c r="N593" s="3105"/>
      <c r="O593" s="3105"/>
      <c r="P593" s="3105"/>
      <c r="Q593" s="3105"/>
      <c r="R593" s="3105"/>
      <c r="S593" s="3105"/>
      <c r="T593" s="3105"/>
      <c r="U593" s="3105"/>
      <c r="V593" s="3105"/>
      <c r="W593" s="3105"/>
      <c r="X593" s="3105"/>
      <c r="Y593" s="3105"/>
      <c r="Z593" s="3105"/>
      <c r="AA593" s="3105"/>
      <c r="AB593" s="3105"/>
      <c r="AC593" s="3105"/>
      <c r="AD593" s="3105"/>
      <c r="AE593" s="3105"/>
      <c r="AF593" s="3105"/>
      <c r="AG593" s="1173"/>
      <c r="AH593" s="1173"/>
      <c r="AI593" s="1173"/>
      <c r="AJ593" s="1173"/>
      <c r="AK593" s="1173"/>
      <c r="AL593" s="1594"/>
      <c r="AM593" s="1128"/>
      <c r="AN593" s="994"/>
      <c r="AO593" s="1019"/>
      <c r="AP593" s="1151"/>
      <c r="BS593" s="126"/>
      <c r="BT593" s="126"/>
      <c r="BU593" s="51"/>
      <c r="BV593" s="51"/>
      <c r="BW593" s="51"/>
      <c r="BX593" s="51"/>
      <c r="BY593" s="51"/>
      <c r="BZ593" s="51"/>
      <c r="CA593" s="51"/>
      <c r="CB593" s="51"/>
      <c r="CC593" s="51"/>
    </row>
    <row r="594" spans="1:81" s="937" customFormat="1" ht="12.75" customHeight="1">
      <c r="A594" s="921"/>
      <c r="B594" s="51"/>
      <c r="C594" s="1171"/>
      <c r="D594" s="985"/>
      <c r="E594" s="1172"/>
      <c r="F594" s="3105"/>
      <c r="G594" s="3105"/>
      <c r="H594" s="3105"/>
      <c r="I594" s="3105"/>
      <c r="J594" s="3105"/>
      <c r="K594" s="3105"/>
      <c r="L594" s="3105"/>
      <c r="M594" s="3105"/>
      <c r="N594" s="3105"/>
      <c r="O594" s="3105"/>
      <c r="P594" s="3105"/>
      <c r="Q594" s="3105"/>
      <c r="R594" s="3105"/>
      <c r="S594" s="3105"/>
      <c r="T594" s="3105"/>
      <c r="U594" s="3105"/>
      <c r="V594" s="3105"/>
      <c r="W594" s="3105"/>
      <c r="X594" s="3105"/>
      <c r="Y594" s="3105"/>
      <c r="Z594" s="3105"/>
      <c r="AA594" s="3105"/>
      <c r="AB594" s="3105"/>
      <c r="AC594" s="3105"/>
      <c r="AD594" s="3105"/>
      <c r="AE594" s="3105"/>
      <c r="AF594" s="3105"/>
      <c r="AG594" s="1173"/>
      <c r="AH594" s="1173"/>
      <c r="AI594" s="1173"/>
      <c r="AJ594" s="1173"/>
      <c r="AK594" s="1173"/>
      <c r="AL594" s="1594"/>
      <c r="AM594" s="1128"/>
      <c r="AN594" s="994"/>
      <c r="AO594" s="1019"/>
      <c r="AP594" s="1019"/>
      <c r="BS594" s="126"/>
      <c r="BT594" s="126"/>
      <c r="BU594" s="51"/>
      <c r="BV594" s="51"/>
      <c r="BW594" s="51"/>
      <c r="BX594" s="51"/>
      <c r="BY594" s="51"/>
      <c r="BZ594" s="51"/>
      <c r="CA594" s="51"/>
      <c r="CB594" s="51"/>
      <c r="CC594" s="51"/>
    </row>
    <row r="595" spans="1:81" s="937" customFormat="1" ht="12.75" customHeight="1">
      <c r="A595" s="921"/>
      <c r="B595" s="51"/>
      <c r="C595" s="1171"/>
      <c r="D595" s="985"/>
      <c r="E595" s="1172"/>
      <c r="F595" s="3105"/>
      <c r="G595" s="3105"/>
      <c r="H595" s="3105"/>
      <c r="I595" s="3105"/>
      <c r="J595" s="3105"/>
      <c r="K595" s="3105"/>
      <c r="L595" s="3105"/>
      <c r="M595" s="3105"/>
      <c r="N595" s="3105"/>
      <c r="O595" s="3105"/>
      <c r="P595" s="3105"/>
      <c r="Q595" s="3105"/>
      <c r="R595" s="3105"/>
      <c r="S595" s="3105"/>
      <c r="T595" s="3105"/>
      <c r="U595" s="3105"/>
      <c r="V595" s="3105"/>
      <c r="W595" s="3105"/>
      <c r="X595" s="3105"/>
      <c r="Y595" s="3105"/>
      <c r="Z595" s="3105"/>
      <c r="AA595" s="3105"/>
      <c r="AB595" s="3105"/>
      <c r="AC595" s="3105"/>
      <c r="AD595" s="3105"/>
      <c r="AE595" s="3105"/>
      <c r="AF595" s="3105"/>
      <c r="AG595" s="1173"/>
      <c r="AH595" s="1173"/>
      <c r="AI595" s="1173"/>
      <c r="AJ595" s="1173"/>
      <c r="AK595" s="1173"/>
      <c r="AL595" s="1594"/>
      <c r="AM595" s="1128"/>
      <c r="AN595" s="994"/>
      <c r="AO595" s="1019"/>
      <c r="AP595" s="1019"/>
      <c r="BS595" s="126"/>
      <c r="BT595" s="126"/>
      <c r="BU595" s="51"/>
      <c r="BV595" s="51"/>
      <c r="BW595" s="51"/>
      <c r="BX595" s="51"/>
      <c r="BY595" s="51"/>
      <c r="BZ595" s="51"/>
      <c r="CA595" s="51"/>
      <c r="CB595" s="51"/>
      <c r="CC595" s="51"/>
    </row>
    <row r="596" spans="1:81" s="937" customFormat="1" ht="12.75" customHeight="1">
      <c r="A596" s="921"/>
      <c r="B596" s="51"/>
      <c r="C596" s="3113" t="s">
        <v>578</v>
      </c>
      <c r="D596" s="3114"/>
      <c r="E596" s="1172"/>
      <c r="F596" s="1175" t="s">
        <v>1748</v>
      </c>
      <c r="G596" s="1176"/>
      <c r="H596" s="1176"/>
      <c r="I596" s="1176"/>
      <c r="J596" s="1176"/>
      <c r="K596" s="1176"/>
      <c r="L596" s="1176"/>
      <c r="M596" s="1176"/>
      <c r="N596" s="1176"/>
      <c r="O596" s="1176"/>
      <c r="P596" s="1176"/>
      <c r="Q596" s="1176"/>
      <c r="R596" s="1176"/>
      <c r="S596" s="1176"/>
      <c r="T596" s="1176"/>
      <c r="U596" s="1176"/>
      <c r="V596" s="1176"/>
      <c r="W596" s="1176"/>
      <c r="X596" s="1176"/>
      <c r="Y596" s="1176"/>
      <c r="Z596" s="1176"/>
      <c r="AA596" s="1176"/>
      <c r="AB596" s="1176"/>
      <c r="AC596" s="1176"/>
      <c r="AD596" s="1176"/>
      <c r="AE596" s="1019"/>
      <c r="AF596" s="3115" t="s">
        <v>1749</v>
      </c>
      <c r="AG596" s="3115"/>
      <c r="AH596" s="3115"/>
      <c r="AI596" s="3115"/>
      <c r="AJ596" s="3115"/>
      <c r="AK596" s="3115"/>
      <c r="AL596" s="3116"/>
      <c r="AM596" s="1177"/>
      <c r="BS596" s="126"/>
      <c r="BT596" s="126"/>
      <c r="BU596" s="51"/>
      <c r="BV596" s="51"/>
      <c r="BW596" s="51"/>
      <c r="BX596" s="51"/>
      <c r="BY596" s="51"/>
      <c r="BZ596" s="51"/>
      <c r="CA596" s="51"/>
      <c r="CB596" s="51"/>
      <c r="CC596" s="51"/>
    </row>
    <row r="597" spans="1:81" s="937" customFormat="1" ht="12.75" customHeight="1">
      <c r="A597" s="921"/>
      <c r="B597" s="56"/>
      <c r="C597" s="1230"/>
      <c r="D597" s="1178"/>
      <c r="E597" s="1179"/>
      <c r="F597" s="1180"/>
      <c r="G597" s="1181"/>
      <c r="H597" s="1181"/>
      <c r="I597" s="1181"/>
      <c r="J597" s="1181"/>
      <c r="K597" s="1181"/>
      <c r="L597" s="1181"/>
      <c r="M597" s="1181"/>
      <c r="N597" s="1181"/>
      <c r="O597" s="1181"/>
      <c r="P597" s="1181"/>
      <c r="Q597" s="1181"/>
      <c r="R597" s="1181"/>
      <c r="S597" s="1181"/>
      <c r="T597" s="1181"/>
      <c r="U597" s="1181"/>
      <c r="V597" s="1181"/>
      <c r="W597" s="1181"/>
      <c r="X597" s="1181"/>
      <c r="Y597" s="1181"/>
      <c r="Z597" s="1181"/>
      <c r="AA597" s="1181"/>
      <c r="AB597" s="1181"/>
      <c r="AC597" s="1181"/>
      <c r="AD597" s="1181"/>
      <c r="AE597" s="1182"/>
      <c r="AF597" s="1182"/>
      <c r="AG597" s="1182"/>
      <c r="AH597" s="1182"/>
      <c r="AI597" s="1182"/>
      <c r="AJ597" s="1182"/>
      <c r="AK597" s="1182"/>
      <c r="AL597" s="1231"/>
      <c r="AM597" s="1184"/>
      <c r="AN597" s="994"/>
      <c r="CC597" s="51"/>
    </row>
    <row r="598" spans="1:81" s="937" customFormat="1" ht="12.75" customHeight="1">
      <c r="A598" s="921"/>
      <c r="B598" s="51"/>
      <c r="C598" s="1185"/>
      <c r="D598" s="1185"/>
      <c r="E598" s="1172"/>
      <c r="F598" s="1117"/>
      <c r="G598" s="1117"/>
      <c r="H598" s="1117"/>
      <c r="I598" s="1117"/>
      <c r="J598" s="1117"/>
      <c r="K598" s="1117"/>
      <c r="L598" s="1117"/>
      <c r="M598" s="1117"/>
      <c r="N598" s="1117"/>
      <c r="O598" s="1117"/>
      <c r="P598" s="1117"/>
      <c r="Q598" s="1117"/>
      <c r="R598" s="1117"/>
      <c r="S598" s="1117"/>
      <c r="T598" s="1117"/>
      <c r="U598" s="1117"/>
      <c r="V598" s="1117"/>
      <c r="W598" s="1117"/>
      <c r="X598" s="1117"/>
      <c r="Y598" s="1117"/>
      <c r="Z598" s="1117"/>
      <c r="AA598" s="1117"/>
      <c r="AB598" s="1117"/>
      <c r="AC598" s="1117"/>
      <c r="AD598" s="1117"/>
      <c r="AE598" s="979"/>
      <c r="AF598" s="979"/>
      <c r="AG598" s="979"/>
      <c r="AH598" s="979"/>
      <c r="AI598" s="979"/>
      <c r="AJ598" s="979"/>
      <c r="AK598" s="979"/>
      <c r="AL598" s="979"/>
      <c r="AM598" s="1128"/>
      <c r="AN598" s="994"/>
      <c r="BS598" s="126"/>
      <c r="BT598" s="126"/>
      <c r="BU598" s="51"/>
      <c r="BV598" s="51"/>
      <c r="BW598" s="51"/>
      <c r="BX598" s="51"/>
      <c r="BY598" s="51"/>
      <c r="BZ598" s="51"/>
      <c r="CA598" s="51"/>
      <c r="CB598" s="51"/>
      <c r="CC598" s="51"/>
    </row>
    <row r="599" spans="1:81" s="937" customFormat="1" ht="12.75" customHeight="1">
      <c r="A599" s="921"/>
      <c r="B599" s="51"/>
      <c r="C599" s="1166"/>
      <c r="D599" s="1167"/>
      <c r="E599" s="1168" t="s">
        <v>1586</v>
      </c>
      <c r="F599" s="3104" t="s">
        <v>1750</v>
      </c>
      <c r="G599" s="3104"/>
      <c r="H599" s="3104"/>
      <c r="I599" s="3104"/>
      <c r="J599" s="3104"/>
      <c r="K599" s="3104"/>
      <c r="L599" s="3104"/>
      <c r="M599" s="3104"/>
      <c r="N599" s="3104"/>
      <c r="O599" s="3104"/>
      <c r="P599" s="3104"/>
      <c r="Q599" s="3104"/>
      <c r="R599" s="3104"/>
      <c r="S599" s="3104"/>
      <c r="T599" s="3104"/>
      <c r="U599" s="3104"/>
      <c r="V599" s="3104"/>
      <c r="W599" s="3104"/>
      <c r="X599" s="3104"/>
      <c r="Y599" s="3104"/>
      <c r="Z599" s="3104"/>
      <c r="AA599" s="3104"/>
      <c r="AB599" s="3104"/>
      <c r="AC599" s="3104"/>
      <c r="AD599" s="3104"/>
      <c r="AE599" s="3104"/>
      <c r="AF599" s="3104"/>
      <c r="AG599" s="1169"/>
      <c r="AH599" s="1169"/>
      <c r="AI599" s="1169"/>
      <c r="AJ599" s="1169"/>
      <c r="AK599" s="1169"/>
      <c r="AL599" s="1170"/>
      <c r="AM599" s="1128"/>
      <c r="AN599" s="994"/>
      <c r="BS599" s="126"/>
      <c r="BT599" s="126"/>
      <c r="BU599" s="51"/>
      <c r="BV599" s="51"/>
      <c r="BW599" s="51"/>
      <c r="BX599" s="51"/>
      <c r="BY599" s="51"/>
      <c r="BZ599" s="51"/>
      <c r="CA599" s="51"/>
      <c r="CB599" s="51"/>
      <c r="CC599" s="51"/>
    </row>
    <row r="600" spans="1:81" s="937" customFormat="1" ht="12.75" customHeight="1">
      <c r="A600" s="921"/>
      <c r="B600" s="51"/>
      <c r="C600" s="1186"/>
      <c r="D600" s="112"/>
      <c r="E600" s="1140"/>
      <c r="F600" s="3105"/>
      <c r="G600" s="3105"/>
      <c r="H600" s="3105"/>
      <c r="I600" s="3105"/>
      <c r="J600" s="3105"/>
      <c r="K600" s="3105"/>
      <c r="L600" s="3105"/>
      <c r="M600" s="3105"/>
      <c r="N600" s="3105"/>
      <c r="O600" s="3105"/>
      <c r="P600" s="3105"/>
      <c r="Q600" s="3105"/>
      <c r="R600" s="3105"/>
      <c r="S600" s="3105"/>
      <c r="T600" s="3105"/>
      <c r="U600" s="3105"/>
      <c r="V600" s="3105"/>
      <c r="W600" s="3105"/>
      <c r="X600" s="3105"/>
      <c r="Y600" s="3105"/>
      <c r="Z600" s="3105"/>
      <c r="AA600" s="3105"/>
      <c r="AB600" s="3105"/>
      <c r="AC600" s="3105"/>
      <c r="AD600" s="3105"/>
      <c r="AE600" s="3105"/>
      <c r="AF600" s="3105"/>
      <c r="AG600" s="1173"/>
      <c r="AH600" s="1173"/>
      <c r="AI600" s="1173"/>
      <c r="AJ600" s="1173"/>
      <c r="AK600" s="1173"/>
      <c r="AL600" s="1594"/>
      <c r="AM600" s="1128"/>
      <c r="AN600" s="994"/>
      <c r="BS600" s="126"/>
      <c r="BT600" s="126"/>
      <c r="BU600" s="51"/>
      <c r="BV600" s="51"/>
      <c r="BW600" s="51"/>
      <c r="BX600" s="51"/>
      <c r="BY600" s="51"/>
      <c r="BZ600" s="51"/>
      <c r="CA600" s="51"/>
      <c r="CB600" s="51"/>
      <c r="CC600" s="51"/>
    </row>
    <row r="601" spans="1:81" s="937" customFormat="1" ht="12.75" customHeight="1">
      <c r="A601" s="921"/>
      <c r="B601" s="51"/>
      <c r="C601" s="1186"/>
      <c r="D601" s="112"/>
      <c r="E601" s="1140"/>
      <c r="F601" s="3105"/>
      <c r="G601" s="3105"/>
      <c r="H601" s="3105"/>
      <c r="I601" s="3105"/>
      <c r="J601" s="3105"/>
      <c r="K601" s="3105"/>
      <c r="L601" s="3105"/>
      <c r="M601" s="3105"/>
      <c r="N601" s="3105"/>
      <c r="O601" s="3105"/>
      <c r="P601" s="3105"/>
      <c r="Q601" s="3105"/>
      <c r="R601" s="3105"/>
      <c r="S601" s="3105"/>
      <c r="T601" s="3105"/>
      <c r="U601" s="3105"/>
      <c r="V601" s="3105"/>
      <c r="W601" s="3105"/>
      <c r="X601" s="3105"/>
      <c r="Y601" s="3105"/>
      <c r="Z601" s="3105"/>
      <c r="AA601" s="3105"/>
      <c r="AB601" s="3105"/>
      <c r="AC601" s="3105"/>
      <c r="AD601" s="3105"/>
      <c r="AE601" s="3105"/>
      <c r="AF601" s="3105"/>
      <c r="AG601" s="1173"/>
      <c r="AH601" s="1173"/>
      <c r="AI601" s="1173"/>
      <c r="AJ601" s="1173"/>
      <c r="AK601" s="1173"/>
      <c r="AL601" s="1594"/>
      <c r="AM601" s="1128"/>
      <c r="AN601" s="994"/>
      <c r="BS601" s="126"/>
      <c r="BT601" s="126"/>
      <c r="BU601" s="51"/>
      <c r="BV601" s="51"/>
      <c r="BW601" s="51"/>
      <c r="BX601" s="51"/>
      <c r="BY601" s="51"/>
      <c r="BZ601" s="51"/>
      <c r="CA601" s="51"/>
      <c r="CB601" s="51"/>
      <c r="CC601" s="51"/>
    </row>
    <row r="602" spans="1:81" s="937" customFormat="1" ht="12.75" customHeight="1">
      <c r="A602" s="921"/>
      <c r="B602" s="51"/>
      <c r="C602" s="1186"/>
      <c r="D602" s="112"/>
      <c r="E602" s="1140"/>
      <c r="F602" s="3105"/>
      <c r="G602" s="3105"/>
      <c r="H602" s="3105"/>
      <c r="I602" s="3105"/>
      <c r="J602" s="3105"/>
      <c r="K602" s="3105"/>
      <c r="L602" s="3105"/>
      <c r="M602" s="3105"/>
      <c r="N602" s="3105"/>
      <c r="O602" s="3105"/>
      <c r="P602" s="3105"/>
      <c r="Q602" s="3105"/>
      <c r="R602" s="3105"/>
      <c r="S602" s="3105"/>
      <c r="T602" s="3105"/>
      <c r="U602" s="3105"/>
      <c r="V602" s="3105"/>
      <c r="W602" s="3105"/>
      <c r="X602" s="3105"/>
      <c r="Y602" s="3105"/>
      <c r="Z602" s="3105"/>
      <c r="AA602" s="3105"/>
      <c r="AB602" s="3105"/>
      <c r="AC602" s="3105"/>
      <c r="AD602" s="3105"/>
      <c r="AE602" s="3105"/>
      <c r="AF602" s="3105"/>
      <c r="AG602" s="1173"/>
      <c r="AH602" s="1173"/>
      <c r="AI602" s="1173"/>
      <c r="AJ602" s="1173"/>
      <c r="AK602" s="1173"/>
      <c r="AL602" s="1594"/>
      <c r="AM602" s="1128"/>
      <c r="AN602" s="994"/>
      <c r="BS602" s="126"/>
      <c r="BT602" s="126"/>
      <c r="BU602" s="51"/>
      <c r="BV602" s="51"/>
      <c r="BW602" s="51"/>
      <c r="BX602" s="51"/>
      <c r="BY602" s="51"/>
      <c r="BZ602" s="51"/>
      <c r="CA602" s="51"/>
      <c r="CB602" s="51"/>
      <c r="CC602" s="51"/>
    </row>
    <row r="603" spans="1:81" s="937" customFormat="1" ht="12.75" customHeight="1">
      <c r="A603" s="921"/>
      <c r="B603" s="51"/>
      <c r="C603" s="1186"/>
      <c r="D603" s="112"/>
      <c r="E603" s="1140"/>
      <c r="F603" s="3105"/>
      <c r="G603" s="3105"/>
      <c r="H603" s="3105"/>
      <c r="I603" s="3105"/>
      <c r="J603" s="3105"/>
      <c r="K603" s="3105"/>
      <c r="L603" s="3105"/>
      <c r="M603" s="3105"/>
      <c r="N603" s="3105"/>
      <c r="O603" s="3105"/>
      <c r="P603" s="3105"/>
      <c r="Q603" s="3105"/>
      <c r="R603" s="3105"/>
      <c r="S603" s="3105"/>
      <c r="T603" s="3105"/>
      <c r="U603" s="3105"/>
      <c r="V603" s="3105"/>
      <c r="W603" s="3105"/>
      <c r="X603" s="3105"/>
      <c r="Y603" s="3105"/>
      <c r="Z603" s="3105"/>
      <c r="AA603" s="3105"/>
      <c r="AB603" s="3105"/>
      <c r="AC603" s="3105"/>
      <c r="AD603" s="3105"/>
      <c r="AE603" s="3105"/>
      <c r="AF603" s="3105"/>
      <c r="AG603" s="1019"/>
      <c r="AH603" s="1019"/>
      <c r="AI603" s="1019"/>
      <c r="AJ603" s="1019"/>
      <c r="AK603" s="1019"/>
      <c r="AL603" s="1187"/>
      <c r="AN603" s="994"/>
      <c r="BS603" s="126"/>
      <c r="BT603" s="126"/>
      <c r="BU603" s="51"/>
      <c r="BV603" s="51"/>
      <c r="BW603" s="51"/>
      <c r="BX603" s="51"/>
      <c r="BY603" s="51"/>
      <c r="BZ603" s="51"/>
      <c r="CA603" s="51"/>
      <c r="CB603" s="51"/>
      <c r="CC603" s="51"/>
    </row>
    <row r="604" spans="1:81" s="937" customFormat="1" ht="12.75" customHeight="1">
      <c r="A604" s="985"/>
      <c r="B604" s="112"/>
      <c r="C604" s="3113" t="s">
        <v>626</v>
      </c>
      <c r="D604" s="3114"/>
      <c r="E604" s="1140"/>
      <c r="F604" s="1175" t="s">
        <v>1751</v>
      </c>
      <c r="G604" s="1176"/>
      <c r="H604" s="1176"/>
      <c r="I604" s="1176"/>
      <c r="J604" s="1176"/>
      <c r="K604" s="1176"/>
      <c r="L604" s="1176"/>
      <c r="M604" s="1176"/>
      <c r="N604" s="1176"/>
      <c r="O604" s="1176"/>
      <c r="P604" s="1176"/>
      <c r="Q604" s="1176"/>
      <c r="R604" s="1176"/>
      <c r="S604" s="1176"/>
      <c r="T604" s="1176"/>
      <c r="U604" s="1176"/>
      <c r="V604" s="1176"/>
      <c r="W604" s="1176"/>
      <c r="X604" s="1176"/>
      <c r="Y604" s="1176"/>
      <c r="Z604" s="1176"/>
      <c r="AA604" s="1176"/>
      <c r="AB604" s="1176"/>
      <c r="AC604" s="1176"/>
      <c r="AD604" s="1176"/>
      <c r="AE604" s="1019"/>
      <c r="AF604" s="3115" t="s">
        <v>1749</v>
      </c>
      <c r="AG604" s="3115"/>
      <c r="AH604" s="3115"/>
      <c r="AI604" s="3115"/>
      <c r="AJ604" s="3115"/>
      <c r="AK604" s="3115"/>
      <c r="AL604" s="3116"/>
      <c r="AM604" s="1184"/>
      <c r="AN604" s="994"/>
      <c r="BS604" s="126"/>
      <c r="BT604" s="126"/>
      <c r="BU604" s="51"/>
      <c r="BV604" s="51"/>
      <c r="BW604" s="51"/>
      <c r="BX604" s="51"/>
      <c r="BY604" s="51"/>
      <c r="BZ604" s="51"/>
      <c r="CA604" s="51"/>
      <c r="CB604" s="51"/>
      <c r="CC604" s="51"/>
    </row>
    <row r="605" spans="1:81" s="937" customFormat="1" ht="12.75" customHeight="1">
      <c r="A605" s="985"/>
      <c r="B605" s="112"/>
      <c r="C605" s="1196"/>
      <c r="D605" s="1188"/>
      <c r="E605" s="1189"/>
      <c r="F605" s="1190"/>
      <c r="G605" s="1191"/>
      <c r="H605" s="1191"/>
      <c r="I605" s="1191"/>
      <c r="J605" s="1191"/>
      <c r="K605" s="1191"/>
      <c r="L605" s="1191"/>
      <c r="M605" s="1191"/>
      <c r="N605" s="1191"/>
      <c r="O605" s="1191"/>
      <c r="P605" s="1191"/>
      <c r="Q605" s="1191"/>
      <c r="R605" s="1191"/>
      <c r="S605" s="1191"/>
      <c r="T605" s="1191"/>
      <c r="U605" s="1191"/>
      <c r="V605" s="1191"/>
      <c r="W605" s="1191"/>
      <c r="X605" s="1191"/>
      <c r="Y605" s="1191"/>
      <c r="Z605" s="1191"/>
      <c r="AA605" s="1191"/>
      <c r="AB605" s="1191"/>
      <c r="AC605" s="1191"/>
      <c r="AD605" s="1191"/>
      <c r="AE605" s="1192"/>
      <c r="AF605" s="971"/>
      <c r="AG605" s="1192"/>
      <c r="AH605" s="1182"/>
      <c r="AI605" s="1182"/>
      <c r="AJ605" s="1182"/>
      <c r="AK605" s="1182"/>
      <c r="AL605" s="1198"/>
      <c r="AM605" s="1184"/>
      <c r="AN605" s="994"/>
      <c r="BS605" s="126"/>
      <c r="BT605" s="126"/>
      <c r="BU605" s="51"/>
      <c r="BV605" s="51"/>
      <c r="BW605" s="51"/>
      <c r="BX605" s="51"/>
      <c r="BY605" s="51"/>
      <c r="BZ605" s="51"/>
      <c r="CA605" s="51"/>
      <c r="CB605" s="51"/>
      <c r="CC605" s="51"/>
    </row>
    <row r="606" spans="1:81" s="937" customFormat="1" ht="12.75" customHeight="1">
      <c r="A606" s="921"/>
      <c r="B606" s="51"/>
      <c r="C606" s="51"/>
      <c r="D606" s="51"/>
      <c r="E606" s="1140"/>
      <c r="F606" s="1117"/>
      <c r="G606" s="1117"/>
      <c r="H606" s="1117"/>
      <c r="I606" s="1117"/>
      <c r="J606" s="1117"/>
      <c r="K606" s="1117"/>
      <c r="L606" s="1117"/>
      <c r="M606" s="1117"/>
      <c r="N606" s="1117"/>
      <c r="O606" s="1117"/>
      <c r="P606" s="1117"/>
      <c r="Q606" s="1117"/>
      <c r="R606" s="1117"/>
      <c r="S606" s="1117"/>
      <c r="T606" s="1117"/>
      <c r="U606" s="1117"/>
      <c r="V606" s="1117"/>
      <c r="W606" s="1117"/>
      <c r="X606" s="1117"/>
      <c r="Y606" s="1117"/>
      <c r="Z606" s="1117"/>
      <c r="AA606" s="1117"/>
      <c r="AB606" s="1117"/>
      <c r="AC606" s="1117"/>
      <c r="AD606" s="1117"/>
      <c r="AE606" s="921"/>
      <c r="AF606" s="926"/>
      <c r="AG606" s="921"/>
      <c r="AM606" s="1128"/>
      <c r="AN606" s="994"/>
      <c r="BS606" s="126"/>
      <c r="BT606" s="126"/>
      <c r="BU606" s="51"/>
      <c r="BV606" s="51"/>
      <c r="BW606" s="51"/>
      <c r="BX606" s="51"/>
      <c r="BY606" s="51"/>
      <c r="BZ606" s="51"/>
      <c r="CA606" s="51"/>
      <c r="CB606" s="51"/>
      <c r="CC606" s="51"/>
    </row>
    <row r="607" spans="1:81" s="937" customFormat="1" ht="12.75" customHeight="1">
      <c r="A607" s="921"/>
      <c r="B607" s="51"/>
      <c r="C607" s="1166"/>
      <c r="D607" s="1167"/>
      <c r="E607" s="1168" t="s">
        <v>1589</v>
      </c>
      <c r="F607" s="3104" t="s">
        <v>1752</v>
      </c>
      <c r="G607" s="3104"/>
      <c r="H607" s="3104"/>
      <c r="I607" s="3104"/>
      <c r="J607" s="3104"/>
      <c r="K607" s="3104"/>
      <c r="L607" s="3104"/>
      <c r="M607" s="3104"/>
      <c r="N607" s="3104"/>
      <c r="O607" s="3104"/>
      <c r="P607" s="3104"/>
      <c r="Q607" s="3104"/>
      <c r="R607" s="3104"/>
      <c r="S607" s="3104"/>
      <c r="T607" s="3104"/>
      <c r="U607" s="3104"/>
      <c r="V607" s="3104"/>
      <c r="W607" s="3104"/>
      <c r="X607" s="3104"/>
      <c r="Y607" s="3104"/>
      <c r="Z607" s="3104"/>
      <c r="AA607" s="3104"/>
      <c r="AB607" s="3104"/>
      <c r="AC607" s="3104"/>
      <c r="AD607" s="3104"/>
      <c r="AE607" s="3104"/>
      <c r="AF607" s="3104"/>
      <c r="AG607" s="1169"/>
      <c r="AH607" s="1169"/>
      <c r="AI607" s="1169"/>
      <c r="AJ607" s="1169"/>
      <c r="AK607" s="1169"/>
      <c r="AL607" s="1170"/>
      <c r="AM607" s="1128"/>
      <c r="AN607" s="994"/>
      <c r="BS607" s="1128"/>
      <c r="BT607" s="1128"/>
      <c r="BU607" s="1128"/>
      <c r="BV607" s="1128"/>
      <c r="BW607" s="1128"/>
      <c r="BX607" s="1128"/>
      <c r="BY607" s="1128"/>
      <c r="BZ607" s="1128"/>
      <c r="CA607" s="1128"/>
      <c r="CB607" s="1128"/>
      <c r="CC607" s="1128"/>
    </row>
    <row r="608" spans="1:81" s="937" customFormat="1" ht="12.75" customHeight="1">
      <c r="A608" s="921"/>
      <c r="B608" s="51"/>
      <c r="C608" s="1186"/>
      <c r="D608" s="112"/>
      <c r="E608" s="1140"/>
      <c r="F608" s="3105"/>
      <c r="G608" s="3105"/>
      <c r="H608" s="3105"/>
      <c r="I608" s="3105"/>
      <c r="J608" s="3105"/>
      <c r="K608" s="3105"/>
      <c r="L608" s="3105"/>
      <c r="M608" s="3105"/>
      <c r="N608" s="3105"/>
      <c r="O608" s="3105"/>
      <c r="P608" s="3105"/>
      <c r="Q608" s="3105"/>
      <c r="R608" s="3105"/>
      <c r="S608" s="3105"/>
      <c r="T608" s="3105"/>
      <c r="U608" s="3105"/>
      <c r="V608" s="3105"/>
      <c r="W608" s="3105"/>
      <c r="X608" s="3105"/>
      <c r="Y608" s="3105"/>
      <c r="Z608" s="3105"/>
      <c r="AA608" s="3105"/>
      <c r="AB608" s="3105"/>
      <c r="AC608" s="3105"/>
      <c r="AD608" s="3105"/>
      <c r="AE608" s="3105"/>
      <c r="AF608" s="3105"/>
      <c r="AG608" s="1173"/>
      <c r="AH608" s="1173"/>
      <c r="AI608" s="1173"/>
      <c r="AJ608" s="1173"/>
      <c r="AK608" s="1173"/>
      <c r="AL608" s="1174"/>
      <c r="AM608" s="1128"/>
      <c r="AN608" s="994"/>
      <c r="BS608" s="1128"/>
      <c r="BT608" s="1128"/>
      <c r="BU608" s="1128"/>
      <c r="BV608" s="1128"/>
      <c r="BW608" s="1128"/>
      <c r="BX608" s="1128"/>
      <c r="BY608" s="1128"/>
      <c r="BZ608" s="1128"/>
      <c r="CA608" s="1128"/>
      <c r="CB608" s="1128"/>
      <c r="CC608" s="1128"/>
    </row>
    <row r="609" spans="1:81" s="937" customFormat="1" ht="12.75" customHeight="1">
      <c r="A609" s="921"/>
      <c r="B609" s="51"/>
      <c r="C609" s="1186"/>
      <c r="D609" s="112"/>
      <c r="E609" s="1140"/>
      <c r="F609" s="3105"/>
      <c r="G609" s="3105"/>
      <c r="H609" s="3105"/>
      <c r="I609" s="3105"/>
      <c r="J609" s="3105"/>
      <c r="K609" s="3105"/>
      <c r="L609" s="3105"/>
      <c r="M609" s="3105"/>
      <c r="N609" s="3105"/>
      <c r="O609" s="3105"/>
      <c r="P609" s="3105"/>
      <c r="Q609" s="3105"/>
      <c r="R609" s="3105"/>
      <c r="S609" s="3105"/>
      <c r="T609" s="3105"/>
      <c r="U609" s="3105"/>
      <c r="V609" s="3105"/>
      <c r="W609" s="3105"/>
      <c r="X609" s="3105"/>
      <c r="Y609" s="3105"/>
      <c r="Z609" s="3105"/>
      <c r="AA609" s="3105"/>
      <c r="AB609" s="3105"/>
      <c r="AC609" s="3105"/>
      <c r="AD609" s="3105"/>
      <c r="AE609" s="3105"/>
      <c r="AF609" s="3105"/>
      <c r="AG609" s="1173"/>
      <c r="AH609" s="1173"/>
      <c r="AI609" s="1173"/>
      <c r="AJ609" s="1173"/>
      <c r="AK609" s="1173"/>
      <c r="AL609" s="1174"/>
      <c r="AM609" s="1128"/>
      <c r="AN609" s="994"/>
      <c r="BS609" s="1128"/>
      <c r="BT609" s="1128"/>
      <c r="BU609" s="1128"/>
      <c r="BV609" s="1128"/>
      <c r="BW609" s="1128"/>
      <c r="BX609" s="1128"/>
      <c r="BY609" s="1128"/>
      <c r="BZ609" s="1128"/>
      <c r="CA609" s="1128"/>
      <c r="CB609" s="1128"/>
      <c r="CC609" s="1128"/>
    </row>
    <row r="610" spans="1:81" s="937" customFormat="1" ht="12.75" customHeight="1">
      <c r="A610" s="921"/>
      <c r="B610" s="51"/>
      <c r="C610" s="1186"/>
      <c r="D610" s="112"/>
      <c r="E610" s="1140"/>
      <c r="F610" s="3105"/>
      <c r="G610" s="3105"/>
      <c r="H610" s="3105"/>
      <c r="I610" s="3105"/>
      <c r="J610" s="3105"/>
      <c r="K610" s="3105"/>
      <c r="L610" s="3105"/>
      <c r="M610" s="3105"/>
      <c r="N610" s="3105"/>
      <c r="O610" s="3105"/>
      <c r="P610" s="3105"/>
      <c r="Q610" s="3105"/>
      <c r="R610" s="3105"/>
      <c r="S610" s="3105"/>
      <c r="T610" s="3105"/>
      <c r="U610" s="3105"/>
      <c r="V610" s="3105"/>
      <c r="W610" s="3105"/>
      <c r="X610" s="3105"/>
      <c r="Y610" s="3105"/>
      <c r="Z610" s="3105"/>
      <c r="AA610" s="3105"/>
      <c r="AB610" s="3105"/>
      <c r="AC610" s="3105"/>
      <c r="AD610" s="3105"/>
      <c r="AE610" s="3105"/>
      <c r="AF610" s="3105"/>
      <c r="AG610" s="1173"/>
      <c r="AH610" s="1173"/>
      <c r="AI610" s="1173"/>
      <c r="AJ610" s="1173"/>
      <c r="AK610" s="1173"/>
      <c r="AL610" s="1174"/>
      <c r="AM610" s="1128"/>
      <c r="AN610" s="994"/>
      <c r="BS610" s="1128"/>
      <c r="BT610" s="1128"/>
      <c r="BU610" s="1128"/>
      <c r="BV610" s="1128"/>
      <c r="BW610" s="1128"/>
      <c r="BX610" s="1128"/>
      <c r="BY610" s="1128"/>
      <c r="BZ610" s="1128"/>
      <c r="CA610" s="1128"/>
      <c r="CB610" s="1128"/>
      <c r="CC610" s="1128"/>
    </row>
    <row r="611" spans="1:81" s="937" customFormat="1" ht="12.75" customHeight="1">
      <c r="A611" s="921"/>
      <c r="B611" s="51"/>
      <c r="C611" s="1186"/>
      <c r="D611" s="112"/>
      <c r="E611" s="1140"/>
      <c r="F611" s="3105"/>
      <c r="G611" s="3105"/>
      <c r="H611" s="3105"/>
      <c r="I611" s="3105"/>
      <c r="J611" s="3105"/>
      <c r="K611" s="3105"/>
      <c r="L611" s="3105"/>
      <c r="M611" s="3105"/>
      <c r="N611" s="3105"/>
      <c r="O611" s="3105"/>
      <c r="P611" s="3105"/>
      <c r="Q611" s="3105"/>
      <c r="R611" s="3105"/>
      <c r="S611" s="3105"/>
      <c r="T611" s="3105"/>
      <c r="U611" s="3105"/>
      <c r="V611" s="3105"/>
      <c r="W611" s="3105"/>
      <c r="X611" s="3105"/>
      <c r="Y611" s="3105"/>
      <c r="Z611" s="3105"/>
      <c r="AA611" s="3105"/>
      <c r="AB611" s="3105"/>
      <c r="AC611" s="3105"/>
      <c r="AD611" s="3105"/>
      <c r="AE611" s="3105"/>
      <c r="AF611" s="3105"/>
      <c r="AG611" s="1173"/>
      <c r="AH611" s="1173"/>
      <c r="AI611" s="1173"/>
      <c r="AJ611" s="1173"/>
      <c r="AK611" s="1173"/>
      <c r="AL611" s="1174"/>
      <c r="AM611" s="1128"/>
      <c r="AN611" s="994"/>
      <c r="BS611" s="1128"/>
      <c r="BT611" s="1128"/>
      <c r="BU611" s="1128"/>
      <c r="BV611" s="1128"/>
      <c r="BW611" s="1128"/>
      <c r="BX611" s="1128"/>
      <c r="BY611" s="1128"/>
      <c r="BZ611" s="1128"/>
      <c r="CA611" s="1128"/>
      <c r="CB611" s="1128"/>
      <c r="CC611" s="1128"/>
    </row>
    <row r="612" spans="1:81" s="937" customFormat="1" ht="12.75" customHeight="1">
      <c r="A612" s="921"/>
      <c r="B612" s="51"/>
      <c r="C612" s="3113" t="s">
        <v>626</v>
      </c>
      <c r="D612" s="3114"/>
      <c r="E612" s="1140"/>
      <c r="F612" s="1175" t="s">
        <v>1753</v>
      </c>
      <c r="G612" s="1176"/>
      <c r="H612" s="1176"/>
      <c r="I612" s="1176"/>
      <c r="J612" s="1176"/>
      <c r="K612" s="1176"/>
      <c r="L612" s="1176"/>
      <c r="M612" s="1176"/>
      <c r="N612" s="1176"/>
      <c r="O612" s="1176"/>
      <c r="P612" s="1176"/>
      <c r="Q612" s="1176"/>
      <c r="R612" s="1176"/>
      <c r="S612" s="1176"/>
      <c r="T612" s="1176"/>
      <c r="U612" s="1176"/>
      <c r="V612" s="1176"/>
      <c r="W612" s="1176"/>
      <c r="X612" s="1176"/>
      <c r="Y612" s="1176"/>
      <c r="Z612" s="1176"/>
      <c r="AA612" s="1176"/>
      <c r="AB612" s="1176"/>
      <c r="AC612" s="1176"/>
      <c r="AD612" s="1176"/>
      <c r="AE612" s="1019"/>
      <c r="AF612" s="3115" t="s">
        <v>1754</v>
      </c>
      <c r="AG612" s="3115"/>
      <c r="AH612" s="3115"/>
      <c r="AI612" s="3115"/>
      <c r="AJ612" s="3115"/>
      <c r="AK612" s="3115"/>
      <c r="AL612" s="3116"/>
      <c r="AM612" s="1177"/>
      <c r="BS612" s="1128"/>
      <c r="BT612" s="1128"/>
      <c r="BU612" s="1128"/>
      <c r="BV612" s="1128"/>
      <c r="BW612" s="1128"/>
      <c r="BX612" s="1128"/>
      <c r="BY612" s="1128"/>
      <c r="BZ612" s="1128"/>
      <c r="CA612" s="1128"/>
      <c r="CB612" s="1128"/>
      <c r="CC612" s="1128"/>
    </row>
    <row r="613" spans="1:81" s="937" customFormat="1" ht="12.75" customHeight="1">
      <c r="A613" s="921"/>
      <c r="B613" s="51"/>
      <c r="C613" s="1186"/>
      <c r="D613" s="112"/>
      <c r="E613" s="1140"/>
      <c r="F613" s="1193"/>
      <c r="G613" s="1193"/>
      <c r="H613" s="1193"/>
      <c r="I613" s="1193"/>
      <c r="J613" s="1193"/>
      <c r="K613" s="1193"/>
      <c r="L613" s="1193"/>
      <c r="M613" s="1193"/>
      <c r="N613" s="1193"/>
      <c r="O613" s="1193"/>
      <c r="P613" s="1193"/>
      <c r="Q613" s="1193"/>
      <c r="R613" s="1193"/>
      <c r="S613" s="1193"/>
      <c r="T613" s="1193"/>
      <c r="U613" s="1193"/>
      <c r="V613" s="1193"/>
      <c r="W613" s="1193"/>
      <c r="X613" s="1193"/>
      <c r="Y613" s="1193"/>
      <c r="Z613" s="1193"/>
      <c r="AA613" s="1193"/>
      <c r="AB613" s="1193"/>
      <c r="AC613" s="1193"/>
      <c r="AD613" s="1193"/>
      <c r="AE613" s="1019"/>
      <c r="AF613" s="1019"/>
      <c r="AG613" s="1019"/>
      <c r="AH613" s="1019"/>
      <c r="AI613" s="1019"/>
      <c r="AJ613" s="1019"/>
      <c r="AK613" s="1019"/>
      <c r="AL613" s="1187"/>
      <c r="AM613" s="1128"/>
      <c r="AN613" s="994"/>
      <c r="BS613" s="1128"/>
      <c r="BT613" s="1128"/>
      <c r="BU613" s="1128"/>
      <c r="BV613" s="1128"/>
      <c r="BW613" s="1128"/>
      <c r="BX613" s="1128"/>
      <c r="BY613" s="1128"/>
      <c r="BZ613" s="1128"/>
      <c r="CA613" s="1128"/>
      <c r="CB613" s="1128"/>
      <c r="CC613" s="1128"/>
    </row>
    <row r="614" spans="1:81" s="937" customFormat="1" ht="12.75" customHeight="1">
      <c r="A614" s="921"/>
      <c r="B614" s="51"/>
      <c r="C614" s="3113" t="s">
        <v>626</v>
      </c>
      <c r="D614" s="3114"/>
      <c r="E614" s="1140"/>
      <c r="F614" s="1194" t="s">
        <v>1755</v>
      </c>
      <c r="G614" s="1193"/>
      <c r="H614" s="1193"/>
      <c r="I614" s="1193"/>
      <c r="J614" s="1193"/>
      <c r="K614" s="1193"/>
      <c r="L614" s="1193"/>
      <c r="M614" s="1193"/>
      <c r="N614" s="1193"/>
      <c r="O614" s="1193"/>
      <c r="P614" s="1193"/>
      <c r="Q614" s="1193"/>
      <c r="R614" s="1193"/>
      <c r="S614" s="1193"/>
      <c r="T614" s="1193"/>
      <c r="U614" s="1193"/>
      <c r="V614" s="1193"/>
      <c r="W614" s="1193"/>
      <c r="X614" s="1193"/>
      <c r="Y614" s="1193"/>
      <c r="Z614" s="1193"/>
      <c r="AA614" s="1193"/>
      <c r="AB614" s="1193"/>
      <c r="AC614" s="1193"/>
      <c r="AD614" s="1193"/>
      <c r="AE614" s="1019"/>
      <c r="AF614" s="3115" t="s">
        <v>1749</v>
      </c>
      <c r="AG614" s="3115"/>
      <c r="AH614" s="3115"/>
      <c r="AI614" s="3115"/>
      <c r="AJ614" s="3115"/>
      <c r="AK614" s="3115"/>
      <c r="AL614" s="3116"/>
      <c r="AM614" s="1128"/>
      <c r="AN614" s="994"/>
      <c r="BS614" s="1128"/>
      <c r="BT614" s="1128"/>
      <c r="BU614" s="1128"/>
    </row>
    <row r="615" spans="1:81" s="937" customFormat="1" ht="12.75" customHeight="1">
      <c r="A615" s="921"/>
      <c r="B615" s="51"/>
      <c r="C615" s="1195"/>
      <c r="D615" s="1019"/>
      <c r="E615" s="1140"/>
      <c r="F615" s="1019"/>
      <c r="G615" s="1193"/>
      <c r="H615" s="1193"/>
      <c r="I615" s="1193"/>
      <c r="J615" s="1193"/>
      <c r="K615" s="1193"/>
      <c r="L615" s="1193"/>
      <c r="M615" s="1193"/>
      <c r="N615" s="1193"/>
      <c r="O615" s="1193"/>
      <c r="P615" s="1193"/>
      <c r="Q615" s="1193"/>
      <c r="R615" s="1193"/>
      <c r="S615" s="1193"/>
      <c r="T615" s="1193"/>
      <c r="U615" s="1193"/>
      <c r="V615" s="1193"/>
      <c r="W615" s="1193"/>
      <c r="X615" s="1193"/>
      <c r="Y615" s="1193"/>
      <c r="Z615" s="1193"/>
      <c r="AA615" s="1193"/>
      <c r="AB615" s="1193"/>
      <c r="AC615" s="1193"/>
      <c r="AD615" s="1193"/>
      <c r="AE615" s="1019"/>
      <c r="AF615" s="1019"/>
      <c r="AG615" s="1019"/>
      <c r="AH615" s="1019"/>
      <c r="AI615" s="1019"/>
      <c r="AJ615" s="1019"/>
      <c r="AK615" s="1019"/>
      <c r="AL615" s="1187"/>
      <c r="AM615" s="1128"/>
      <c r="AN615" s="994"/>
      <c r="BS615" s="1128"/>
      <c r="BT615" s="1128"/>
      <c r="BU615" s="1128"/>
    </row>
    <row r="616" spans="1:81" s="937" customFormat="1" ht="12.75" customHeight="1">
      <c r="A616" s="921"/>
      <c r="B616" s="51"/>
      <c r="C616" s="1196"/>
      <c r="D616" s="1188"/>
      <c r="E616" s="1189"/>
      <c r="F616" s="1197" t="s">
        <v>1756</v>
      </c>
      <c r="G616" s="1190"/>
      <c r="H616" s="1190"/>
      <c r="I616" s="1190"/>
      <c r="J616" s="1190"/>
      <c r="K616" s="1190"/>
      <c r="L616" s="1190"/>
      <c r="M616" s="1190"/>
      <c r="N616" s="1190"/>
      <c r="O616" s="1190"/>
      <c r="P616" s="1190"/>
      <c r="Q616" s="1190"/>
      <c r="R616" s="1190"/>
      <c r="S616" s="1190"/>
      <c r="T616" s="1190"/>
      <c r="U616" s="1190"/>
      <c r="V616" s="1190"/>
      <c r="W616" s="1190"/>
      <c r="X616" s="1190"/>
      <c r="Y616" s="1190"/>
      <c r="Z616" s="1190"/>
      <c r="AA616" s="1190"/>
      <c r="AB616" s="1190"/>
      <c r="AC616" s="1190"/>
      <c r="AD616" s="1190"/>
      <c r="AE616" s="1192"/>
      <c r="AF616" s="971"/>
      <c r="AG616" s="1192"/>
      <c r="AH616" s="1182"/>
      <c r="AI616" s="1182"/>
      <c r="AJ616" s="1182"/>
      <c r="AK616" s="1182"/>
      <c r="AL616" s="1198"/>
      <c r="AM616" s="1128"/>
      <c r="AN616" s="994"/>
      <c r="BS616" s="1128"/>
      <c r="BT616" s="1128"/>
      <c r="BU616" s="1128"/>
    </row>
    <row r="617" spans="1:81" s="937" customFormat="1" ht="12.75" customHeight="1">
      <c r="A617" s="921"/>
      <c r="B617" s="51"/>
      <c r="C617" s="51"/>
      <c r="D617" s="51"/>
      <c r="E617" s="1140"/>
      <c r="F617" s="1117"/>
      <c r="G617" s="1117"/>
      <c r="H617" s="1117"/>
      <c r="I617" s="1117"/>
      <c r="J617" s="1117"/>
      <c r="K617" s="1117"/>
      <c r="L617" s="1117"/>
      <c r="M617" s="1117"/>
      <c r="N617" s="1117"/>
      <c r="O617" s="1117"/>
      <c r="P617" s="1117"/>
      <c r="Q617" s="1117"/>
      <c r="R617" s="1117"/>
      <c r="S617" s="1117"/>
      <c r="T617" s="1117"/>
      <c r="U617" s="1117"/>
      <c r="V617" s="1117"/>
      <c r="W617" s="1117"/>
      <c r="X617" s="1117"/>
      <c r="Y617" s="1117"/>
      <c r="Z617" s="1117"/>
      <c r="AA617" s="1117"/>
      <c r="AB617" s="1117"/>
      <c r="AC617" s="1117"/>
      <c r="AD617" s="1117"/>
      <c r="AE617" s="921"/>
      <c r="AF617" s="926"/>
      <c r="AG617" s="921"/>
      <c r="AM617" s="1128"/>
      <c r="AN617" s="994"/>
      <c r="BS617" s="1128"/>
      <c r="BT617" s="1128"/>
      <c r="BU617" s="1128"/>
    </row>
    <row r="618" spans="1:81" s="937" customFormat="1" ht="12.75" customHeight="1">
      <c r="A618" s="921"/>
      <c r="B618" s="51"/>
      <c r="C618" s="1166"/>
      <c r="D618" s="1167"/>
      <c r="E618" s="1168" t="s">
        <v>1757</v>
      </c>
      <c r="F618" s="3104" t="s">
        <v>1758</v>
      </c>
      <c r="G618" s="3104"/>
      <c r="H618" s="3104"/>
      <c r="I618" s="3104"/>
      <c r="J618" s="3104"/>
      <c r="K618" s="3104"/>
      <c r="L618" s="3104"/>
      <c r="M618" s="3104"/>
      <c r="N618" s="3104"/>
      <c r="O618" s="3104"/>
      <c r="P618" s="3104"/>
      <c r="Q618" s="3104"/>
      <c r="R618" s="3104"/>
      <c r="S618" s="3104"/>
      <c r="T618" s="3104"/>
      <c r="U618" s="3104"/>
      <c r="V618" s="3104"/>
      <c r="W618" s="3104"/>
      <c r="X618" s="3104"/>
      <c r="Y618" s="3104"/>
      <c r="Z618" s="3104"/>
      <c r="AA618" s="3104"/>
      <c r="AB618" s="3104"/>
      <c r="AC618" s="3104"/>
      <c r="AD618" s="3104"/>
      <c r="AE618" s="3104"/>
      <c r="AF618" s="3104"/>
      <c r="AG618" s="1169"/>
      <c r="AH618" s="1169"/>
      <c r="AI618" s="1169"/>
      <c r="AJ618" s="1169"/>
      <c r="AK618" s="1169"/>
      <c r="AL618" s="1170"/>
      <c r="AM618" s="1128"/>
      <c r="AN618" s="994"/>
      <c r="BS618" s="1128"/>
      <c r="BT618" s="1128"/>
      <c r="BU618" s="1128"/>
      <c r="BV618" s="1128"/>
      <c r="BW618" s="1128"/>
      <c r="BX618" s="1128"/>
      <c r="BY618" s="1128"/>
      <c r="BZ618" s="1128"/>
      <c r="CA618" s="1128"/>
      <c r="CB618" s="1128"/>
      <c r="CC618" s="1128"/>
    </row>
    <row r="619" spans="1:81" s="937" customFormat="1" ht="12.75" customHeight="1">
      <c r="A619" s="921"/>
      <c r="B619" s="51"/>
      <c r="C619" s="1186"/>
      <c r="D619" s="112"/>
      <c r="E619" s="1140"/>
      <c r="F619" s="3105"/>
      <c r="G619" s="3105"/>
      <c r="H619" s="3105"/>
      <c r="I619" s="3105"/>
      <c r="J619" s="3105"/>
      <c r="K619" s="3105"/>
      <c r="L619" s="3105"/>
      <c r="M619" s="3105"/>
      <c r="N619" s="3105"/>
      <c r="O619" s="3105"/>
      <c r="P619" s="3105"/>
      <c r="Q619" s="3105"/>
      <c r="R619" s="3105"/>
      <c r="S619" s="3105"/>
      <c r="T619" s="3105"/>
      <c r="U619" s="3105"/>
      <c r="V619" s="3105"/>
      <c r="W619" s="3105"/>
      <c r="X619" s="3105"/>
      <c r="Y619" s="3105"/>
      <c r="Z619" s="3105"/>
      <c r="AA619" s="3105"/>
      <c r="AB619" s="3105"/>
      <c r="AC619" s="3105"/>
      <c r="AD619" s="3105"/>
      <c r="AE619" s="3105"/>
      <c r="AF619" s="3105"/>
      <c r="AG619" s="1173"/>
      <c r="AH619" s="1173"/>
      <c r="AI619" s="1173"/>
      <c r="AJ619" s="1173"/>
      <c r="AK619" s="1173"/>
      <c r="AL619" s="1174"/>
      <c r="AM619" s="1128"/>
      <c r="AN619" s="994"/>
      <c r="BS619" s="1128"/>
      <c r="BT619" s="1128"/>
      <c r="BU619" s="1128"/>
      <c r="BV619" s="1128"/>
      <c r="BW619" s="1128"/>
      <c r="BX619" s="1128"/>
      <c r="BY619" s="1128"/>
      <c r="BZ619" s="1128"/>
      <c r="CA619" s="1128"/>
      <c r="CB619" s="1128"/>
      <c r="CC619" s="1128"/>
    </row>
    <row r="620" spans="1:81">
      <c r="A620" s="921"/>
      <c r="C620" s="1186"/>
      <c r="D620" s="112"/>
      <c r="E620" s="1140"/>
      <c r="F620" s="3105"/>
      <c r="G620" s="3105"/>
      <c r="H620" s="3105"/>
      <c r="I620" s="3105"/>
      <c r="J620" s="3105"/>
      <c r="K620" s="3105"/>
      <c r="L620" s="3105"/>
      <c r="M620" s="3105"/>
      <c r="N620" s="3105"/>
      <c r="O620" s="3105"/>
      <c r="P620" s="3105"/>
      <c r="Q620" s="3105"/>
      <c r="R620" s="3105"/>
      <c r="S620" s="3105"/>
      <c r="T620" s="3105"/>
      <c r="U620" s="3105"/>
      <c r="V620" s="3105"/>
      <c r="W620" s="3105"/>
      <c r="X620" s="3105"/>
      <c r="Y620" s="3105"/>
      <c r="Z620" s="3105"/>
      <c r="AA620" s="3105"/>
      <c r="AB620" s="3105"/>
      <c r="AC620" s="3105"/>
      <c r="AD620" s="3105"/>
      <c r="AE620" s="3105"/>
      <c r="AF620" s="3105"/>
      <c r="AG620" s="1173"/>
      <c r="AH620" s="1173"/>
      <c r="AI620" s="1173"/>
      <c r="AJ620" s="1173"/>
      <c r="AK620" s="1173"/>
      <c r="AL620" s="1174"/>
      <c r="AM620" s="1128"/>
      <c r="BS620" s="1128"/>
      <c r="BT620" s="1128"/>
      <c r="BU620" s="1128"/>
      <c r="BV620" s="1128"/>
      <c r="BW620" s="1128"/>
      <c r="BX620" s="1128"/>
      <c r="BY620" s="1128"/>
      <c r="BZ620" s="1128"/>
      <c r="CA620" s="1128"/>
      <c r="CB620" s="1128"/>
      <c r="CC620" s="1128"/>
    </row>
    <row r="621" spans="1:81" s="937" customFormat="1" ht="12.75" customHeight="1">
      <c r="A621" s="921"/>
      <c r="B621" s="51"/>
      <c r="C621" s="1186"/>
      <c r="D621" s="112"/>
      <c r="E621" s="1140"/>
      <c r="F621" s="3105"/>
      <c r="G621" s="3105"/>
      <c r="H621" s="3105"/>
      <c r="I621" s="3105"/>
      <c r="J621" s="3105"/>
      <c r="K621" s="3105"/>
      <c r="L621" s="3105"/>
      <c r="M621" s="3105"/>
      <c r="N621" s="3105"/>
      <c r="O621" s="3105"/>
      <c r="P621" s="3105"/>
      <c r="Q621" s="3105"/>
      <c r="R621" s="3105"/>
      <c r="S621" s="3105"/>
      <c r="T621" s="3105"/>
      <c r="U621" s="3105"/>
      <c r="V621" s="3105"/>
      <c r="W621" s="3105"/>
      <c r="X621" s="3105"/>
      <c r="Y621" s="3105"/>
      <c r="Z621" s="3105"/>
      <c r="AA621" s="3105"/>
      <c r="AB621" s="3105"/>
      <c r="AC621" s="3105"/>
      <c r="AD621" s="3105"/>
      <c r="AE621" s="3105"/>
      <c r="AF621" s="3105"/>
      <c r="AG621" s="1173"/>
      <c r="AH621" s="1173"/>
      <c r="AI621" s="1173"/>
      <c r="AJ621" s="1173"/>
      <c r="AK621" s="1173"/>
      <c r="AL621" s="1174"/>
      <c r="AM621" s="1128"/>
      <c r="AN621" s="994"/>
      <c r="BS621" s="1128"/>
      <c r="BT621" s="1128"/>
      <c r="BY621" s="1128"/>
      <c r="BZ621" s="1128"/>
      <c r="CA621" s="1128"/>
      <c r="CB621" s="1128"/>
      <c r="CC621" s="1128"/>
    </row>
    <row r="622" spans="1:81" s="937" customFormat="1" ht="12.75" customHeight="1">
      <c r="A622" s="921"/>
      <c r="B622" s="51"/>
      <c r="C622" s="3113" t="s">
        <v>626</v>
      </c>
      <c r="D622" s="3114"/>
      <c r="E622" s="1140"/>
      <c r="F622" s="1175" t="s">
        <v>1759</v>
      </c>
      <c r="G622" s="1176"/>
      <c r="H622" s="1176"/>
      <c r="I622" s="1176"/>
      <c r="J622" s="1176"/>
      <c r="K622" s="1176"/>
      <c r="L622" s="1176"/>
      <c r="M622" s="1176"/>
      <c r="N622" s="1176"/>
      <c r="O622" s="1176"/>
      <c r="P622" s="1176"/>
      <c r="Q622" s="1176"/>
      <c r="R622" s="1176"/>
      <c r="S622" s="1176"/>
      <c r="T622" s="1176"/>
      <c r="U622" s="1176"/>
      <c r="V622" s="1176"/>
      <c r="W622" s="1176"/>
      <c r="X622" s="1176"/>
      <c r="Y622" s="1176"/>
      <c r="Z622" s="1176"/>
      <c r="AA622" s="1176"/>
      <c r="AB622" s="1176"/>
      <c r="AC622" s="1176"/>
      <c r="AD622" s="1176"/>
      <c r="AE622" s="1019"/>
      <c r="AF622" s="3115" t="s">
        <v>1749</v>
      </c>
      <c r="AG622" s="3115"/>
      <c r="AH622" s="3115"/>
      <c r="AI622" s="3115"/>
      <c r="AJ622" s="3115"/>
      <c r="AK622" s="3115"/>
      <c r="AL622" s="3116"/>
      <c r="AM622" s="1128"/>
      <c r="AN622" s="994"/>
      <c r="BS622" s="1128"/>
      <c r="BT622" s="1128"/>
      <c r="BY622" s="1128"/>
      <c r="BZ622" s="1128"/>
      <c r="CA622" s="1128"/>
      <c r="CB622" s="1128"/>
      <c r="CC622" s="1128"/>
    </row>
    <row r="623" spans="1:81" s="937" customFormat="1" ht="12.75" customHeight="1">
      <c r="A623" s="921"/>
      <c r="B623" s="51"/>
      <c r="C623" s="1186"/>
      <c r="D623" s="112"/>
      <c r="E623" s="1140"/>
      <c r="F623" s="1019"/>
      <c r="G623" s="1176"/>
      <c r="H623" s="1176"/>
      <c r="I623" s="1176"/>
      <c r="J623" s="1176"/>
      <c r="K623" s="1176"/>
      <c r="L623" s="1176"/>
      <c r="M623" s="1176"/>
      <c r="N623" s="1176"/>
      <c r="O623" s="1176"/>
      <c r="P623" s="1176"/>
      <c r="Q623" s="1176"/>
      <c r="R623" s="1176"/>
      <c r="S623" s="1176"/>
      <c r="T623" s="1176"/>
      <c r="U623" s="1176"/>
      <c r="V623" s="1176"/>
      <c r="W623" s="1176"/>
      <c r="X623" s="1176"/>
      <c r="Y623" s="1176"/>
      <c r="Z623" s="1176"/>
      <c r="AA623" s="1176"/>
      <c r="AB623" s="1176"/>
      <c r="AC623" s="1176"/>
      <c r="AD623" s="1176"/>
      <c r="AE623" s="1019"/>
      <c r="AF623" s="1019"/>
      <c r="AG623" s="1019"/>
      <c r="AH623" s="1019"/>
      <c r="AI623" s="1019"/>
      <c r="AJ623" s="1019"/>
      <c r="AK623" s="1019"/>
      <c r="AL623" s="1187"/>
      <c r="AM623" s="1128"/>
      <c r="AN623" s="994"/>
      <c r="BS623" s="1128"/>
      <c r="BT623" s="1128"/>
      <c r="BY623" s="1128"/>
      <c r="BZ623" s="1128"/>
      <c r="CA623" s="1128"/>
      <c r="CB623" s="1128"/>
      <c r="CC623" s="1128"/>
    </row>
    <row r="624" spans="1:81" s="937" customFormat="1" ht="12.75" customHeight="1">
      <c r="A624" s="921"/>
      <c r="B624" s="51"/>
      <c r="C624" s="3113" t="s">
        <v>626</v>
      </c>
      <c r="D624" s="3114"/>
      <c r="E624" s="1172"/>
      <c r="F624" s="1175" t="s">
        <v>1760</v>
      </c>
      <c r="G624" s="1176"/>
      <c r="H624" s="1176"/>
      <c r="I624" s="1176"/>
      <c r="J624" s="1176"/>
      <c r="K624" s="1176"/>
      <c r="L624" s="1176"/>
      <c r="M624" s="1176"/>
      <c r="N624" s="1176"/>
      <c r="O624" s="1176"/>
      <c r="P624" s="1176"/>
      <c r="Q624" s="1176"/>
      <c r="R624" s="1176"/>
      <c r="S624" s="1176"/>
      <c r="T624" s="1176"/>
      <c r="U624" s="1176"/>
      <c r="V624" s="1176"/>
      <c r="W624" s="1176"/>
      <c r="X624" s="1176"/>
      <c r="Y624" s="1176"/>
      <c r="Z624" s="1176"/>
      <c r="AA624" s="1176"/>
      <c r="AB624" s="1176"/>
      <c r="AC624" s="1176"/>
      <c r="AD624" s="1176"/>
      <c r="AE624" s="1019"/>
      <c r="AF624" s="3115" t="s">
        <v>1761</v>
      </c>
      <c r="AG624" s="3115"/>
      <c r="AH624" s="3115"/>
      <c r="AI624" s="3115"/>
      <c r="AJ624" s="3115"/>
      <c r="AK624" s="3115"/>
      <c r="AL624" s="3116"/>
      <c r="AM624" s="1128"/>
      <c r="AN624" s="994"/>
      <c r="AO624" s="1019"/>
      <c r="AP624" s="1019"/>
      <c r="BS624" s="1128"/>
      <c r="BT624" s="1128"/>
      <c r="BY624" s="1128"/>
      <c r="BZ624" s="1128"/>
      <c r="CA624" s="1128"/>
      <c r="CB624" s="1128"/>
      <c r="CC624" s="1128"/>
    </row>
    <row r="625" spans="1:81" s="937" customFormat="1" ht="12.75" customHeight="1">
      <c r="A625" s="921"/>
      <c r="B625" s="51"/>
      <c r="C625" s="1199"/>
      <c r="D625" s="1182"/>
      <c r="E625" s="1179"/>
      <c r="F625" s="1182"/>
      <c r="G625" s="1181"/>
      <c r="H625" s="1181"/>
      <c r="I625" s="1181"/>
      <c r="J625" s="1181"/>
      <c r="K625" s="1181"/>
      <c r="L625" s="1181"/>
      <c r="M625" s="1181"/>
      <c r="N625" s="1181"/>
      <c r="O625" s="1181"/>
      <c r="P625" s="1181"/>
      <c r="Q625" s="1181"/>
      <c r="R625" s="1181"/>
      <c r="S625" s="1181"/>
      <c r="T625" s="1181"/>
      <c r="U625" s="1181"/>
      <c r="V625" s="1181"/>
      <c r="W625" s="1181"/>
      <c r="X625" s="1181"/>
      <c r="Y625" s="1181"/>
      <c r="Z625" s="1181"/>
      <c r="AA625" s="1181"/>
      <c r="AB625" s="1181"/>
      <c r="AC625" s="1181"/>
      <c r="AD625" s="1181"/>
      <c r="AE625" s="1182"/>
      <c r="AF625" s="1182"/>
      <c r="AG625" s="1182"/>
      <c r="AH625" s="1182"/>
      <c r="AI625" s="1182"/>
      <c r="AJ625" s="1182"/>
      <c r="AK625" s="1182"/>
      <c r="AL625" s="1198"/>
      <c r="AM625" s="1128"/>
      <c r="AN625" s="994"/>
      <c r="BS625" s="1128"/>
      <c r="BT625" s="1128"/>
      <c r="BY625" s="1128"/>
      <c r="BZ625" s="1128"/>
      <c r="CA625" s="1128"/>
      <c r="CB625" s="1128"/>
      <c r="CC625" s="1128"/>
    </row>
    <row r="626" spans="1:81" s="937" customFormat="1" ht="12.75" customHeight="1">
      <c r="A626" s="921"/>
      <c r="B626" s="51"/>
      <c r="C626" s="51"/>
      <c r="D626" s="51"/>
      <c r="E626" s="1140"/>
      <c r="G626" s="1200"/>
      <c r="H626" s="1200"/>
      <c r="I626" s="1200"/>
      <c r="J626" s="1200"/>
      <c r="K626" s="1200"/>
      <c r="L626" s="1200"/>
      <c r="M626" s="1200"/>
      <c r="N626" s="1200"/>
      <c r="O626" s="1200"/>
      <c r="P626" s="1200"/>
      <c r="Q626" s="1200"/>
      <c r="R626" s="1200"/>
      <c r="S626" s="1200"/>
      <c r="T626" s="1200"/>
      <c r="U626" s="1200"/>
      <c r="V626" s="1200"/>
      <c r="W626" s="1200"/>
      <c r="X626" s="1200"/>
      <c r="Y626" s="1200"/>
      <c r="Z626" s="1200"/>
      <c r="AA626" s="1200"/>
      <c r="AB626" s="1200"/>
      <c r="AC626" s="1200"/>
      <c r="AD626" s="1200"/>
      <c r="AE626" s="921"/>
      <c r="AF626" s="926"/>
      <c r="AG626" s="921"/>
      <c r="AM626" s="1128"/>
      <c r="AN626" s="994"/>
      <c r="BS626" s="1128"/>
      <c r="BT626" s="1128"/>
      <c r="BY626" s="1128"/>
      <c r="BZ626" s="1128"/>
      <c r="CA626" s="1128"/>
      <c r="CB626" s="1128"/>
      <c r="CC626" s="1128"/>
    </row>
    <row r="627" spans="1:81" s="937" customFormat="1" ht="12.75" customHeight="1">
      <c r="A627" s="921"/>
      <c r="B627" s="51"/>
      <c r="C627" s="3113" t="s">
        <v>626</v>
      </c>
      <c r="D627" s="3114"/>
      <c r="E627" s="1168" t="s">
        <v>1762</v>
      </c>
      <c r="F627" s="3104" t="s">
        <v>1763</v>
      </c>
      <c r="G627" s="3104"/>
      <c r="H627" s="3104"/>
      <c r="I627" s="3104"/>
      <c r="J627" s="3104"/>
      <c r="K627" s="3104"/>
      <c r="L627" s="3104"/>
      <c r="M627" s="3104"/>
      <c r="N627" s="3104"/>
      <c r="O627" s="3104"/>
      <c r="P627" s="3104"/>
      <c r="Q627" s="3104"/>
      <c r="R627" s="3104"/>
      <c r="S627" s="3104"/>
      <c r="T627" s="3104"/>
      <c r="U627" s="3104"/>
      <c r="V627" s="3104"/>
      <c r="W627" s="3104"/>
      <c r="X627" s="3104"/>
      <c r="Y627" s="3104"/>
      <c r="Z627" s="3104"/>
      <c r="AA627" s="3104"/>
      <c r="AB627" s="3104"/>
      <c r="AC627" s="3104"/>
      <c r="AD627" s="3104"/>
      <c r="AE627" s="3104"/>
      <c r="AF627" s="1201"/>
      <c r="AG627" s="1202"/>
      <c r="AH627" s="1167"/>
      <c r="AI627" s="1167"/>
      <c r="AJ627" s="1167"/>
      <c r="AK627" s="1167"/>
      <c r="AL627" s="1203"/>
      <c r="AM627" s="1128"/>
      <c r="AN627" s="994"/>
      <c r="BS627" s="1128"/>
      <c r="BT627" s="1128"/>
      <c r="BY627" s="1128"/>
      <c r="BZ627" s="1128"/>
      <c r="CA627" s="1128"/>
      <c r="CB627" s="1128"/>
      <c r="CC627" s="1128"/>
    </row>
    <row r="628" spans="1:81" s="937" customFormat="1" ht="12.75" customHeight="1">
      <c r="A628" s="921"/>
      <c r="B628" s="51"/>
      <c r="C628" s="1195"/>
      <c r="D628" s="1019"/>
      <c r="E628" s="1019"/>
      <c r="F628" s="3105"/>
      <c r="G628" s="3105"/>
      <c r="H628" s="3105"/>
      <c r="I628" s="3105"/>
      <c r="J628" s="3105"/>
      <c r="K628" s="3105"/>
      <c r="L628" s="3105"/>
      <c r="M628" s="3105"/>
      <c r="N628" s="3105"/>
      <c r="O628" s="3105"/>
      <c r="P628" s="3105"/>
      <c r="Q628" s="3105"/>
      <c r="R628" s="3105"/>
      <c r="S628" s="3105"/>
      <c r="T628" s="3105"/>
      <c r="U628" s="3105"/>
      <c r="V628" s="3105"/>
      <c r="W628" s="3105"/>
      <c r="X628" s="3105"/>
      <c r="Y628" s="3105"/>
      <c r="Z628" s="3105"/>
      <c r="AA628" s="3105"/>
      <c r="AB628" s="3105"/>
      <c r="AC628" s="3105"/>
      <c r="AD628" s="3105"/>
      <c r="AE628" s="3105"/>
      <c r="AF628" s="3212" t="s">
        <v>1749</v>
      </c>
      <c r="AG628" s="3212"/>
      <c r="AH628" s="3212"/>
      <c r="AI628" s="3212"/>
      <c r="AJ628" s="3212"/>
      <c r="AK628" s="3212"/>
      <c r="AL628" s="3213"/>
      <c r="AM628" s="1128"/>
      <c r="AN628" s="994"/>
      <c r="BS628" s="1128"/>
      <c r="BT628" s="1128"/>
      <c r="BY628" s="1128"/>
      <c r="BZ628" s="1128"/>
      <c r="CA628" s="1128"/>
      <c r="CB628" s="1128"/>
      <c r="CC628" s="1128"/>
    </row>
    <row r="629" spans="1:81" s="937" customFormat="1" ht="12.75" customHeight="1">
      <c r="A629" s="921"/>
      <c r="B629" s="51"/>
      <c r="C629" s="1186"/>
      <c r="D629" s="112"/>
      <c r="E629" s="1140"/>
      <c r="F629" s="3105"/>
      <c r="G629" s="3105"/>
      <c r="H629" s="3105"/>
      <c r="I629" s="3105"/>
      <c r="J629" s="3105"/>
      <c r="K629" s="3105"/>
      <c r="L629" s="3105"/>
      <c r="M629" s="3105"/>
      <c r="N629" s="3105"/>
      <c r="O629" s="3105"/>
      <c r="P629" s="3105"/>
      <c r="Q629" s="3105"/>
      <c r="R629" s="3105"/>
      <c r="S629" s="3105"/>
      <c r="T629" s="3105"/>
      <c r="U629" s="3105"/>
      <c r="V629" s="3105"/>
      <c r="W629" s="3105"/>
      <c r="X629" s="3105"/>
      <c r="Y629" s="3105"/>
      <c r="Z629" s="3105"/>
      <c r="AA629" s="3105"/>
      <c r="AB629" s="3105"/>
      <c r="AC629" s="3105"/>
      <c r="AD629" s="3105"/>
      <c r="AE629" s="3105"/>
      <c r="AF629" s="1019"/>
      <c r="AG629" s="1019"/>
      <c r="AH629" s="1019"/>
      <c r="AI629" s="1019"/>
      <c r="AJ629" s="1019"/>
      <c r="AK629" s="1019"/>
      <c r="AL629" s="1187"/>
      <c r="AM629" s="1128"/>
      <c r="AN629" s="994"/>
      <c r="BS629" s="1128"/>
      <c r="BT629" s="1128"/>
      <c r="BU629" s="1128"/>
      <c r="BV629" s="1128"/>
      <c r="BW629" s="1128"/>
      <c r="BX629" s="1128"/>
      <c r="BY629" s="1128"/>
      <c r="BZ629" s="1128"/>
      <c r="CA629" s="1128"/>
      <c r="CB629" s="1128"/>
      <c r="CC629" s="1128"/>
    </row>
    <row r="630" spans="1:81" s="937" customFormat="1" ht="12.75" customHeight="1">
      <c r="A630" s="921"/>
      <c r="B630" s="51"/>
      <c r="C630" s="1196"/>
      <c r="D630" s="1188"/>
      <c r="E630" s="1189"/>
      <c r="F630" s="3207"/>
      <c r="G630" s="3207"/>
      <c r="H630" s="3207"/>
      <c r="I630" s="3207"/>
      <c r="J630" s="3207"/>
      <c r="K630" s="3207"/>
      <c r="L630" s="3207"/>
      <c r="M630" s="3207"/>
      <c r="N630" s="3207"/>
      <c r="O630" s="3207"/>
      <c r="P630" s="3207"/>
      <c r="Q630" s="3207"/>
      <c r="R630" s="3207"/>
      <c r="S630" s="3207"/>
      <c r="T630" s="3207"/>
      <c r="U630" s="3207"/>
      <c r="V630" s="3207"/>
      <c r="W630" s="3207"/>
      <c r="X630" s="3207"/>
      <c r="Y630" s="3207"/>
      <c r="Z630" s="3207"/>
      <c r="AA630" s="3207"/>
      <c r="AB630" s="3207"/>
      <c r="AC630" s="3207"/>
      <c r="AD630" s="3207"/>
      <c r="AE630" s="3207"/>
      <c r="AF630" s="971"/>
      <c r="AG630" s="1192"/>
      <c r="AH630" s="1182"/>
      <c r="AI630" s="1182"/>
      <c r="AJ630" s="1182"/>
      <c r="AK630" s="1182"/>
      <c r="AL630" s="1198"/>
      <c r="AM630" s="1128"/>
      <c r="AN630" s="994"/>
    </row>
    <row r="631" spans="1:81">
      <c r="A631" s="921"/>
      <c r="E631" s="1140"/>
      <c r="F631" s="1200"/>
      <c r="G631" s="1200"/>
      <c r="H631" s="1200"/>
      <c r="I631" s="1200"/>
      <c r="J631" s="1200"/>
      <c r="K631" s="1200"/>
      <c r="L631" s="1200"/>
      <c r="M631" s="1200"/>
      <c r="N631" s="1200"/>
      <c r="O631" s="1200"/>
      <c r="P631" s="1200"/>
      <c r="Q631" s="1200"/>
      <c r="R631" s="1200"/>
      <c r="S631" s="1200"/>
      <c r="T631" s="1200"/>
      <c r="U631" s="1200"/>
      <c r="V631" s="1200"/>
      <c r="W631" s="1200"/>
      <c r="X631" s="1200"/>
      <c r="Y631" s="1200"/>
      <c r="Z631" s="1200"/>
      <c r="AA631" s="1200"/>
      <c r="AB631" s="1200"/>
      <c r="AC631" s="1200"/>
      <c r="AD631" s="1200"/>
      <c r="AE631" s="921"/>
      <c r="AF631" s="926"/>
      <c r="AG631" s="921"/>
      <c r="AH631" s="937"/>
      <c r="AI631" s="937"/>
      <c r="AJ631" s="937"/>
      <c r="AK631" s="937"/>
      <c r="AL631" s="937"/>
      <c r="AM631" s="1128"/>
    </row>
    <row r="632" spans="1:81" ht="12.75" customHeight="1">
      <c r="A632" s="921"/>
      <c r="C632" s="1204"/>
      <c r="D632" s="1205"/>
      <c r="E632" s="1168" t="s">
        <v>1764</v>
      </c>
      <c r="F632" s="3210" t="s">
        <v>1765</v>
      </c>
      <c r="G632" s="3210"/>
      <c r="H632" s="3210"/>
      <c r="I632" s="3210"/>
      <c r="J632" s="3210"/>
      <c r="K632" s="3210"/>
      <c r="L632" s="3210"/>
      <c r="M632" s="3210"/>
      <c r="N632" s="3210"/>
      <c r="O632" s="3210"/>
      <c r="P632" s="3210"/>
      <c r="Q632" s="3210"/>
      <c r="R632" s="3210"/>
      <c r="S632" s="3210"/>
      <c r="T632" s="3210"/>
      <c r="U632" s="3210"/>
      <c r="V632" s="3210"/>
      <c r="W632" s="3210"/>
      <c r="X632" s="3210"/>
      <c r="Y632" s="3210"/>
      <c r="Z632" s="3210"/>
      <c r="AA632" s="3210"/>
      <c r="AB632" s="3210"/>
      <c r="AC632" s="3210"/>
      <c r="AD632" s="3210"/>
      <c r="AE632" s="3210"/>
      <c r="AF632" s="1205"/>
      <c r="AG632" s="1205"/>
      <c r="AH632" s="1205"/>
      <c r="AI632" s="1205"/>
      <c r="AJ632" s="1205"/>
      <c r="AK632" s="1205"/>
      <c r="AL632" s="1206"/>
      <c r="AM632" s="1128"/>
    </row>
    <row r="633" spans="1:81">
      <c r="A633" s="921"/>
      <c r="C633" s="1186"/>
      <c r="D633" s="112"/>
      <c r="E633" s="1140"/>
      <c r="F633" s="3211"/>
      <c r="G633" s="3211"/>
      <c r="H633" s="3211"/>
      <c r="I633" s="3211"/>
      <c r="J633" s="3211"/>
      <c r="K633" s="3211"/>
      <c r="L633" s="3211"/>
      <c r="M633" s="3211"/>
      <c r="N633" s="3211"/>
      <c r="O633" s="3211"/>
      <c r="P633" s="3211"/>
      <c r="Q633" s="3211"/>
      <c r="R633" s="3211"/>
      <c r="S633" s="3211"/>
      <c r="T633" s="3211"/>
      <c r="U633" s="3211"/>
      <c r="V633" s="3211"/>
      <c r="W633" s="3211"/>
      <c r="X633" s="3211"/>
      <c r="Y633" s="3211"/>
      <c r="Z633" s="3211"/>
      <c r="AA633" s="3211"/>
      <c r="AB633" s="3211"/>
      <c r="AC633" s="3211"/>
      <c r="AD633" s="3211"/>
      <c r="AE633" s="3211"/>
      <c r="AF633" s="1207"/>
      <c r="AG633" s="985"/>
      <c r="AH633" s="1019"/>
      <c r="AI633" s="1019"/>
      <c r="AJ633" s="1019"/>
      <c r="AK633" s="1019"/>
      <c r="AL633" s="1187"/>
      <c r="AM633" s="1128"/>
    </row>
    <row r="634" spans="1:81" s="937" customFormat="1" ht="12.75" customHeight="1">
      <c r="A634" s="921"/>
      <c r="B634" s="51"/>
      <c r="C634" s="1186"/>
      <c r="D634" s="112"/>
      <c r="E634" s="1140"/>
      <c r="F634" s="3211"/>
      <c r="G634" s="3211"/>
      <c r="H634" s="3211"/>
      <c r="I634" s="3211"/>
      <c r="J634" s="3211"/>
      <c r="K634" s="3211"/>
      <c r="L634" s="3211"/>
      <c r="M634" s="3211"/>
      <c r="N634" s="3211"/>
      <c r="O634" s="3211"/>
      <c r="P634" s="3211"/>
      <c r="Q634" s="3211"/>
      <c r="R634" s="3211"/>
      <c r="S634" s="3211"/>
      <c r="T634" s="3211"/>
      <c r="U634" s="3211"/>
      <c r="V634" s="3211"/>
      <c r="W634" s="3211"/>
      <c r="X634" s="3211"/>
      <c r="Y634" s="3211"/>
      <c r="Z634" s="3211"/>
      <c r="AA634" s="3211"/>
      <c r="AB634" s="3211"/>
      <c r="AC634" s="3211"/>
      <c r="AD634" s="3211"/>
      <c r="AE634" s="3211"/>
      <c r="AF634" s="1019"/>
      <c r="AG634" s="1019"/>
      <c r="AH634" s="1019"/>
      <c r="AI634" s="1019"/>
      <c r="AJ634" s="1019"/>
      <c r="AK634" s="1019"/>
      <c r="AL634" s="1187"/>
      <c r="AM634" s="1128"/>
      <c r="AN634" s="994"/>
    </row>
    <row r="635" spans="1:81" s="937" customFormat="1" ht="12.75" customHeight="1">
      <c r="A635" s="921"/>
      <c r="B635" s="51"/>
      <c r="C635" s="1195"/>
      <c r="D635" s="1019"/>
      <c r="E635" s="1019"/>
      <c r="F635" s="3211"/>
      <c r="G635" s="3211"/>
      <c r="H635" s="3211"/>
      <c r="I635" s="3211"/>
      <c r="J635" s="3211"/>
      <c r="K635" s="3211"/>
      <c r="L635" s="3211"/>
      <c r="M635" s="3211"/>
      <c r="N635" s="3211"/>
      <c r="O635" s="3211"/>
      <c r="P635" s="3211"/>
      <c r="Q635" s="3211"/>
      <c r="R635" s="3211"/>
      <c r="S635" s="3211"/>
      <c r="T635" s="3211"/>
      <c r="U635" s="3211"/>
      <c r="V635" s="3211"/>
      <c r="W635" s="3211"/>
      <c r="X635" s="3211"/>
      <c r="Y635" s="3211"/>
      <c r="Z635" s="3211"/>
      <c r="AA635" s="3211"/>
      <c r="AB635" s="3211"/>
      <c r="AC635" s="3211"/>
      <c r="AD635" s="3211"/>
      <c r="AE635" s="3211"/>
      <c r="AF635" s="1019"/>
      <c r="AG635" s="1019"/>
      <c r="AH635" s="1019"/>
      <c r="AI635" s="1019"/>
      <c r="AJ635" s="1019"/>
      <c r="AK635" s="1019"/>
      <c r="AL635" s="1187"/>
      <c r="AM635" s="1128"/>
      <c r="AN635" s="994"/>
    </row>
    <row r="636" spans="1:81" s="937" customFormat="1" ht="12.75" customHeight="1">
      <c r="A636" s="921"/>
      <c r="B636" s="51"/>
      <c r="C636" s="3113" t="s">
        <v>578</v>
      </c>
      <c r="D636" s="3114"/>
      <c r="E636" s="1140"/>
      <c r="F636" s="1208" t="s">
        <v>1766</v>
      </c>
      <c r="G636" s="1209"/>
      <c r="H636" s="1209"/>
      <c r="I636" s="1209"/>
      <c r="J636" s="1209"/>
      <c r="K636" s="1209"/>
      <c r="L636" s="1209"/>
      <c r="M636" s="1209"/>
      <c r="N636" s="1209"/>
      <c r="O636" s="1209"/>
      <c r="P636" s="1209"/>
      <c r="Q636" s="1209"/>
      <c r="R636" s="1209"/>
      <c r="S636" s="1209"/>
      <c r="T636" s="1209"/>
      <c r="U636" s="1209"/>
      <c r="V636" s="1209"/>
      <c r="W636" s="1209"/>
      <c r="X636" s="1209"/>
      <c r="Y636" s="1209"/>
      <c r="Z636" s="1209"/>
      <c r="AA636" s="1209"/>
      <c r="AB636" s="1209"/>
      <c r="AC636" s="1209"/>
      <c r="AD636" s="1209"/>
      <c r="AE636" s="1019"/>
      <c r="AF636" s="3212" t="s">
        <v>1749</v>
      </c>
      <c r="AG636" s="3212"/>
      <c r="AH636" s="3212"/>
      <c r="AI636" s="3212"/>
      <c r="AJ636" s="3212"/>
      <c r="AK636" s="3212"/>
      <c r="AL636" s="3213"/>
      <c r="AM636" s="1128"/>
      <c r="AN636" s="994"/>
      <c r="AO636" s="1019"/>
      <c r="AP636" s="1019"/>
    </row>
    <row r="637" spans="1:81" s="937" customFormat="1" ht="12.75" customHeight="1">
      <c r="A637" s="921"/>
      <c r="B637" s="51"/>
      <c r="C637" s="1195"/>
      <c r="D637" s="1019"/>
      <c r="E637" s="1019"/>
      <c r="F637" s="1019"/>
      <c r="G637" s="1019"/>
      <c r="H637" s="1019"/>
      <c r="I637" s="1019"/>
      <c r="J637" s="1019"/>
      <c r="K637" s="1019"/>
      <c r="L637" s="1019"/>
      <c r="M637" s="1019"/>
      <c r="N637" s="1019"/>
      <c r="O637" s="1019"/>
      <c r="P637" s="1019"/>
      <c r="Q637" s="1019"/>
      <c r="R637" s="1019"/>
      <c r="S637" s="1019"/>
      <c r="T637" s="1019"/>
      <c r="U637" s="1019"/>
      <c r="V637" s="1019"/>
      <c r="W637" s="1019"/>
      <c r="X637" s="1019"/>
      <c r="Y637" s="1019"/>
      <c r="Z637" s="1019"/>
      <c r="AA637" s="1019"/>
      <c r="AB637" s="1019"/>
      <c r="AC637" s="1019"/>
      <c r="AD637" s="1019"/>
      <c r="AE637" s="1019"/>
      <c r="AF637" s="1019"/>
      <c r="AG637" s="1019"/>
      <c r="AH637" s="1019"/>
      <c r="AI637" s="1019"/>
      <c r="AJ637" s="1019"/>
      <c r="AK637" s="1019"/>
      <c r="AL637" s="1187"/>
      <c r="AM637" s="1128"/>
      <c r="AN637" s="994"/>
      <c r="AO637" s="1019"/>
      <c r="AP637" s="1019"/>
    </row>
    <row r="638" spans="1:81" s="937" customFormat="1" ht="12.75" customHeight="1">
      <c r="A638" s="921"/>
      <c r="B638" s="51"/>
      <c r="C638" s="3113" t="s">
        <v>626</v>
      </c>
      <c r="D638" s="3114"/>
      <c r="E638" s="1172"/>
      <c r="F638" s="1208" t="s">
        <v>1767</v>
      </c>
      <c r="G638" s="1209"/>
      <c r="H638" s="1209"/>
      <c r="I638" s="1209"/>
      <c r="J638" s="1209"/>
      <c r="K638" s="1209"/>
      <c r="L638" s="1209"/>
      <c r="M638" s="1209"/>
      <c r="N638" s="1209"/>
      <c r="O638" s="1209"/>
      <c r="P638" s="1209"/>
      <c r="Q638" s="1209"/>
      <c r="R638" s="1209"/>
      <c r="S638" s="1209"/>
      <c r="T638" s="1209"/>
      <c r="U638" s="1209"/>
      <c r="V638" s="1209"/>
      <c r="W638" s="1209"/>
      <c r="X638" s="1209"/>
      <c r="Y638" s="1209"/>
      <c r="Z638" s="1209"/>
      <c r="AA638" s="1209"/>
      <c r="AB638" s="1209"/>
      <c r="AC638" s="1209"/>
      <c r="AD638" s="1209"/>
      <c r="AE638" s="1019"/>
      <c r="AF638" s="3212" t="s">
        <v>1761</v>
      </c>
      <c r="AG638" s="3212"/>
      <c r="AH638" s="3212"/>
      <c r="AI638" s="3212"/>
      <c r="AJ638" s="3212"/>
      <c r="AK638" s="3212"/>
      <c r="AL638" s="3213"/>
      <c r="AM638" s="1128"/>
      <c r="AN638" s="994"/>
      <c r="AO638" s="1210"/>
      <c r="AP638" s="1210"/>
      <c r="BC638" s="51"/>
    </row>
    <row r="639" spans="1:81" s="937" customFormat="1" ht="12.75" customHeight="1">
      <c r="A639" s="921"/>
      <c r="B639" s="51"/>
      <c r="C639" s="1188"/>
      <c r="D639" s="1188"/>
      <c r="E639" s="1189"/>
      <c r="F639" s="1211"/>
      <c r="G639" s="1212"/>
      <c r="H639" s="1212"/>
      <c r="I639" s="1212"/>
      <c r="J639" s="1212"/>
      <c r="K639" s="1212"/>
      <c r="L639" s="1212"/>
      <c r="M639" s="1212"/>
      <c r="N639" s="1212"/>
      <c r="O639" s="1212"/>
      <c r="P639" s="1212"/>
      <c r="Q639" s="1212"/>
      <c r="R639" s="1212"/>
      <c r="S639" s="1212"/>
      <c r="T639" s="1212"/>
      <c r="U639" s="1212"/>
      <c r="V639" s="1212"/>
      <c r="W639" s="1212"/>
      <c r="X639" s="1212"/>
      <c r="Y639" s="1212"/>
      <c r="Z639" s="1212"/>
      <c r="AA639" s="1212"/>
      <c r="AB639" s="1212"/>
      <c r="AC639" s="1212"/>
      <c r="AD639" s="1212"/>
      <c r="AE639" s="1192"/>
      <c r="AF639" s="971"/>
      <c r="AG639" s="1192"/>
      <c r="AH639" s="1182"/>
      <c r="AI639" s="1182"/>
      <c r="AJ639" s="1182"/>
      <c r="AK639" s="1182"/>
      <c r="AL639" s="1213"/>
      <c r="AM639" s="1128"/>
      <c r="AN639" s="994"/>
      <c r="AO639" s="1019"/>
      <c r="AP639" s="1019"/>
    </row>
    <row r="640" spans="1:81" s="937" customFormat="1" ht="12.75" customHeight="1">
      <c r="A640" s="921"/>
      <c r="B640" s="51"/>
      <c r="C640" s="51"/>
      <c r="D640" s="51"/>
      <c r="E640" s="1140"/>
      <c r="F640" s="1214"/>
      <c r="G640" s="1215"/>
      <c r="H640" s="1215"/>
      <c r="I640" s="1215"/>
      <c r="J640" s="1215"/>
      <c r="K640" s="1215"/>
      <c r="L640" s="1215"/>
      <c r="M640" s="1215"/>
      <c r="N640" s="1215"/>
      <c r="O640" s="1215"/>
      <c r="P640" s="1215"/>
      <c r="Q640" s="1215"/>
      <c r="R640" s="1215"/>
      <c r="S640" s="1215"/>
      <c r="T640" s="1215"/>
      <c r="U640" s="1215"/>
      <c r="V640" s="1215"/>
      <c r="W640" s="1215"/>
      <c r="X640" s="1215"/>
      <c r="Y640" s="1215"/>
      <c r="Z640" s="1215"/>
      <c r="AA640" s="1215"/>
      <c r="AB640" s="1215"/>
      <c r="AC640" s="1215"/>
      <c r="AD640" s="1215"/>
      <c r="AE640" s="921"/>
      <c r="AF640" s="926"/>
      <c r="AG640" s="921"/>
      <c r="AM640" s="1128"/>
      <c r="AN640" s="994"/>
      <c r="AO640" s="1019"/>
      <c r="AP640" s="1019"/>
    </row>
    <row r="641" spans="1:60" s="937" customFormat="1" ht="12.75" customHeight="1">
      <c r="A641" s="921"/>
      <c r="B641" s="51"/>
      <c r="C641" s="1165" t="s">
        <v>1768</v>
      </c>
      <c r="D641" s="51"/>
      <c r="E641" s="1140"/>
      <c r="F641" s="1215"/>
      <c r="G641" s="1215"/>
      <c r="H641" s="1215"/>
      <c r="I641" s="1215"/>
      <c r="J641" s="1215"/>
      <c r="K641" s="1215"/>
      <c r="L641" s="1215"/>
      <c r="M641" s="1215"/>
      <c r="N641" s="1215"/>
      <c r="O641" s="1215"/>
      <c r="P641" s="1215"/>
      <c r="Q641" s="1215"/>
      <c r="R641" s="1215"/>
      <c r="S641" s="1215"/>
      <c r="T641" s="1215"/>
      <c r="U641" s="1215"/>
      <c r="V641" s="1215"/>
      <c r="W641" s="1215"/>
      <c r="X641" s="1215"/>
      <c r="Y641" s="1215"/>
      <c r="Z641" s="1215"/>
      <c r="AA641" s="1215"/>
      <c r="AB641" s="1215"/>
      <c r="AC641" s="1215"/>
      <c r="AD641" s="1215"/>
      <c r="AE641" s="921"/>
      <c r="AF641" s="926"/>
      <c r="AG641" s="921"/>
      <c r="AM641" s="1128"/>
      <c r="AN641" s="994"/>
      <c r="AO641" s="1019"/>
      <c r="AP641" s="1019"/>
    </row>
    <row r="642" spans="1:60" s="937" customFormat="1" ht="12.75" customHeight="1">
      <c r="A642" s="921"/>
      <c r="B642" s="51"/>
      <c r="C642" s="1166"/>
      <c r="D642" s="1167"/>
      <c r="E642" s="1168" t="s">
        <v>1769</v>
      </c>
      <c r="F642" s="3104" t="s">
        <v>1770</v>
      </c>
      <c r="G642" s="3104"/>
      <c r="H642" s="3104"/>
      <c r="I642" s="3104"/>
      <c r="J642" s="3104"/>
      <c r="K642" s="3104"/>
      <c r="L642" s="3104"/>
      <c r="M642" s="3104"/>
      <c r="N642" s="3104"/>
      <c r="O642" s="3104"/>
      <c r="P642" s="3104"/>
      <c r="Q642" s="3104"/>
      <c r="R642" s="3104"/>
      <c r="S642" s="3104"/>
      <c r="T642" s="3104"/>
      <c r="U642" s="3104"/>
      <c r="V642" s="3104"/>
      <c r="W642" s="3104"/>
      <c r="X642" s="3104"/>
      <c r="Y642" s="3104"/>
      <c r="Z642" s="3104"/>
      <c r="AA642" s="3104"/>
      <c r="AB642" s="3104"/>
      <c r="AC642" s="3104"/>
      <c r="AD642" s="3104"/>
      <c r="AE642" s="3104"/>
      <c r="AF642" s="1167"/>
      <c r="AG642" s="1167"/>
      <c r="AH642" s="1167"/>
      <c r="AI642" s="1167"/>
      <c r="AJ642" s="1167"/>
      <c r="AK642" s="1167"/>
      <c r="AL642" s="1203"/>
      <c r="AM642" s="1128"/>
      <c r="AN642" s="994"/>
      <c r="AO642" s="1019"/>
      <c r="AP642" s="1019"/>
    </row>
    <row r="643" spans="1:60" s="996" customFormat="1" ht="12.75" customHeight="1">
      <c r="A643" s="921"/>
      <c r="B643" s="51"/>
      <c r="C643" s="1186"/>
      <c r="D643" s="112"/>
      <c r="E643" s="1140"/>
      <c r="F643" s="3105"/>
      <c r="G643" s="3105"/>
      <c r="H643" s="3105"/>
      <c r="I643" s="3105"/>
      <c r="J643" s="3105"/>
      <c r="K643" s="3105"/>
      <c r="L643" s="3105"/>
      <c r="M643" s="3105"/>
      <c r="N643" s="3105"/>
      <c r="O643" s="3105"/>
      <c r="P643" s="3105"/>
      <c r="Q643" s="3105"/>
      <c r="R643" s="3105"/>
      <c r="S643" s="3105"/>
      <c r="T643" s="3105"/>
      <c r="U643" s="3105"/>
      <c r="V643" s="3105"/>
      <c r="W643" s="3105"/>
      <c r="X643" s="3105"/>
      <c r="Y643" s="3105"/>
      <c r="Z643" s="3105"/>
      <c r="AA643" s="3105"/>
      <c r="AB643" s="3105"/>
      <c r="AC643" s="3105"/>
      <c r="AD643" s="3105"/>
      <c r="AE643" s="3105"/>
      <c r="AF643" s="1207"/>
      <c r="AG643" s="985"/>
      <c r="AH643" s="1019"/>
      <c r="AI643" s="1019"/>
      <c r="AJ643" s="1019"/>
      <c r="AK643" s="1019"/>
      <c r="AL643" s="1187"/>
      <c r="AM643" s="1128"/>
      <c r="AN643" s="995"/>
      <c r="AO643" s="1019"/>
      <c r="AP643" s="1019"/>
    </row>
    <row r="644" spans="1:60" s="937" customFormat="1" ht="12.45" customHeight="1">
      <c r="A644" s="921"/>
      <c r="B644" s="51"/>
      <c r="C644" s="1186"/>
      <c r="D644" s="112"/>
      <c r="E644" s="1140"/>
      <c r="F644" s="3105"/>
      <c r="G644" s="3105"/>
      <c r="H644" s="3105"/>
      <c r="I644" s="3105"/>
      <c r="J644" s="3105"/>
      <c r="K644" s="3105"/>
      <c r="L644" s="3105"/>
      <c r="M644" s="3105"/>
      <c r="N644" s="3105"/>
      <c r="O644" s="3105"/>
      <c r="P644" s="3105"/>
      <c r="Q644" s="3105"/>
      <c r="R644" s="3105"/>
      <c r="S644" s="3105"/>
      <c r="T644" s="3105"/>
      <c r="U644" s="3105"/>
      <c r="V644" s="3105"/>
      <c r="W644" s="3105"/>
      <c r="X644" s="3105"/>
      <c r="Y644" s="3105"/>
      <c r="Z644" s="3105"/>
      <c r="AA644" s="3105"/>
      <c r="AB644" s="3105"/>
      <c r="AC644" s="3105"/>
      <c r="AD644" s="3105"/>
      <c r="AE644" s="3105"/>
      <c r="AF644" s="1019"/>
      <c r="AG644" s="1019"/>
      <c r="AH644" s="1019"/>
      <c r="AI644" s="1019"/>
      <c r="AJ644" s="1019"/>
      <c r="AK644" s="1019"/>
      <c r="AL644" s="1187"/>
      <c r="AM644" s="1128"/>
      <c r="AN644" s="994"/>
      <c r="AO644" s="1019"/>
      <c r="AP644" s="1019"/>
    </row>
    <row r="645" spans="1:60" s="937" customFormat="1" ht="12.75" customHeight="1">
      <c r="A645" s="921"/>
      <c r="B645" s="51"/>
      <c r="C645" s="3113" t="s">
        <v>626</v>
      </c>
      <c r="D645" s="3114"/>
      <c r="E645" s="1140"/>
      <c r="F645" s="1175" t="s">
        <v>1771</v>
      </c>
      <c r="G645" s="1216"/>
      <c r="H645" s="1216"/>
      <c r="I645" s="1216"/>
      <c r="J645" s="1216"/>
      <c r="K645" s="1216"/>
      <c r="L645" s="1216"/>
      <c r="M645" s="1216"/>
      <c r="N645" s="1216"/>
      <c r="O645" s="1216"/>
      <c r="P645" s="1216"/>
      <c r="Q645" s="1216"/>
      <c r="R645" s="1216"/>
      <c r="S645" s="1216"/>
      <c r="T645" s="1216"/>
      <c r="U645" s="1216"/>
      <c r="V645" s="1216"/>
      <c r="W645" s="1216"/>
      <c r="X645" s="1216"/>
      <c r="Y645" s="1216"/>
      <c r="Z645" s="1216"/>
      <c r="AA645" s="1216"/>
      <c r="AB645" s="1216"/>
      <c r="AC645" s="1216"/>
      <c r="AD645" s="1216"/>
      <c r="AE645" s="1019"/>
      <c r="AF645" s="3212" t="s">
        <v>1749</v>
      </c>
      <c r="AG645" s="3212"/>
      <c r="AH645" s="3212"/>
      <c r="AI645" s="3212"/>
      <c r="AJ645" s="3212"/>
      <c r="AK645" s="3212"/>
      <c r="AL645" s="3213"/>
      <c r="AM645" s="1128"/>
      <c r="AN645" s="994"/>
      <c r="AO645" s="1019"/>
      <c r="AP645" s="1019"/>
    </row>
    <row r="646" spans="1:60" s="937" customFormat="1" ht="12.75" customHeight="1">
      <c r="A646" s="921"/>
      <c r="B646" s="51"/>
      <c r="C646" s="1199"/>
      <c r="D646" s="1182"/>
      <c r="E646" s="1179"/>
      <c r="F646" s="1197"/>
      <c r="G646" s="1181"/>
      <c r="H646" s="1181"/>
      <c r="I646" s="1181"/>
      <c r="J646" s="1181"/>
      <c r="K646" s="1181"/>
      <c r="L646" s="1181"/>
      <c r="M646" s="1181"/>
      <c r="N646" s="1181"/>
      <c r="O646" s="1181"/>
      <c r="P646" s="1181"/>
      <c r="Q646" s="1181"/>
      <c r="R646" s="1181"/>
      <c r="S646" s="1181"/>
      <c r="T646" s="1181"/>
      <c r="U646" s="1181"/>
      <c r="V646" s="1181"/>
      <c r="W646" s="1181"/>
      <c r="X646" s="1181"/>
      <c r="Y646" s="1181"/>
      <c r="Z646" s="1181"/>
      <c r="AA646" s="1181"/>
      <c r="AB646" s="1181"/>
      <c r="AC646" s="1181"/>
      <c r="AD646" s="1181"/>
      <c r="AE646" s="1182"/>
      <c r="AF646" s="1182"/>
      <c r="AG646" s="1182"/>
      <c r="AH646" s="1182"/>
      <c r="AI646" s="1182"/>
      <c r="AJ646" s="1182"/>
      <c r="AK646" s="1182"/>
      <c r="AL646" s="1198"/>
      <c r="AM646" s="1128"/>
      <c r="AN646" s="994"/>
      <c r="AO646" s="1019"/>
      <c r="AP646" s="1019"/>
    </row>
    <row r="647" spans="1:60" s="937" customFormat="1" ht="12.75" customHeight="1">
      <c r="A647" s="921"/>
      <c r="B647" s="51"/>
      <c r="C647" s="1185"/>
      <c r="D647" s="1185"/>
      <c r="E647" s="1172"/>
      <c r="F647" s="1217"/>
      <c r="G647" s="1200"/>
      <c r="H647" s="1200"/>
      <c r="I647" s="1200"/>
      <c r="J647" s="1200"/>
      <c r="K647" s="1200"/>
      <c r="L647" s="1200"/>
      <c r="M647" s="1200"/>
      <c r="N647" s="1200"/>
      <c r="O647" s="1200"/>
      <c r="P647" s="1200"/>
      <c r="Q647" s="1200"/>
      <c r="R647" s="1200"/>
      <c r="S647" s="1200"/>
      <c r="T647" s="1200"/>
      <c r="U647" s="1200"/>
      <c r="V647" s="1200"/>
      <c r="W647" s="1200"/>
      <c r="X647" s="1200"/>
      <c r="Y647" s="1200"/>
      <c r="Z647" s="1200"/>
      <c r="AA647" s="1200"/>
      <c r="AB647" s="1200"/>
      <c r="AC647" s="1200"/>
      <c r="AD647" s="1200"/>
      <c r="AE647" s="921"/>
      <c r="AM647" s="1128"/>
      <c r="AN647" s="994"/>
      <c r="AO647" s="1019"/>
      <c r="AP647" s="1019"/>
    </row>
    <row r="648" spans="1:60" ht="13.2" customHeight="1">
      <c r="A648" s="921"/>
      <c r="C648" s="1204"/>
      <c r="D648" s="1205"/>
      <c r="E648" s="1168" t="s">
        <v>1772</v>
      </c>
      <c r="F648" s="3104" t="s">
        <v>1773</v>
      </c>
      <c r="G648" s="3104"/>
      <c r="H648" s="3104"/>
      <c r="I648" s="3104"/>
      <c r="J648" s="3104"/>
      <c r="K648" s="3104"/>
      <c r="L648" s="3104"/>
      <c r="M648" s="3104"/>
      <c r="N648" s="3104"/>
      <c r="O648" s="3104"/>
      <c r="P648" s="3104"/>
      <c r="Q648" s="3104"/>
      <c r="R648" s="3104"/>
      <c r="S648" s="3104"/>
      <c r="T648" s="3104"/>
      <c r="U648" s="3104"/>
      <c r="V648" s="3104"/>
      <c r="W648" s="3104"/>
      <c r="X648" s="3104"/>
      <c r="Y648" s="3104"/>
      <c r="Z648" s="3104"/>
      <c r="AA648" s="3104"/>
      <c r="AB648" s="3104"/>
      <c r="AC648" s="3104"/>
      <c r="AD648" s="3104"/>
      <c r="AE648" s="3104"/>
      <c r="AF648" s="1205"/>
      <c r="AG648" s="1205"/>
      <c r="AH648" s="1205"/>
      <c r="AI648" s="1205"/>
      <c r="AJ648" s="1205"/>
      <c r="AK648" s="1205"/>
      <c r="AL648" s="1206"/>
      <c r="AM648" s="1128"/>
      <c r="AO648" s="1019"/>
      <c r="AP648" s="1019"/>
      <c r="BD648" s="51"/>
      <c r="BE648" s="51"/>
      <c r="BF648" s="51"/>
      <c r="BG648" s="51"/>
      <c r="BH648" s="51"/>
    </row>
    <row r="649" spans="1:60">
      <c r="A649" s="921"/>
      <c r="C649" s="1186"/>
      <c r="D649" s="112"/>
      <c r="E649" s="1140"/>
      <c r="F649" s="3105"/>
      <c r="G649" s="3105"/>
      <c r="H649" s="3105"/>
      <c r="I649" s="3105"/>
      <c r="J649" s="3105"/>
      <c r="K649" s="3105"/>
      <c r="L649" s="3105"/>
      <c r="M649" s="3105"/>
      <c r="N649" s="3105"/>
      <c r="O649" s="3105"/>
      <c r="P649" s="3105"/>
      <c r="Q649" s="3105"/>
      <c r="R649" s="3105"/>
      <c r="S649" s="3105"/>
      <c r="T649" s="3105"/>
      <c r="U649" s="3105"/>
      <c r="V649" s="3105"/>
      <c r="W649" s="3105"/>
      <c r="X649" s="3105"/>
      <c r="Y649" s="3105"/>
      <c r="Z649" s="3105"/>
      <c r="AA649" s="3105"/>
      <c r="AB649" s="3105"/>
      <c r="AC649" s="3105"/>
      <c r="AD649" s="3105"/>
      <c r="AE649" s="3105"/>
      <c r="AF649" s="1218"/>
      <c r="AG649" s="1218"/>
      <c r="AH649" s="1218"/>
      <c r="AI649" s="1218"/>
      <c r="AJ649" s="1218"/>
      <c r="AK649" s="1218"/>
      <c r="AL649" s="1219"/>
      <c r="AM649" s="1128"/>
      <c r="AO649" s="1019"/>
      <c r="AP649" s="1019"/>
    </row>
    <row r="650" spans="1:60" s="937" customFormat="1" ht="12.75" customHeight="1">
      <c r="A650" s="921"/>
      <c r="B650" s="51"/>
      <c r="C650" s="1186"/>
      <c r="D650" s="112"/>
      <c r="E650" s="1140"/>
      <c r="F650" s="3105"/>
      <c r="G650" s="3105"/>
      <c r="H650" s="3105"/>
      <c r="I650" s="3105"/>
      <c r="J650" s="3105"/>
      <c r="K650" s="3105"/>
      <c r="L650" s="3105"/>
      <c r="M650" s="3105"/>
      <c r="N650" s="3105"/>
      <c r="O650" s="3105"/>
      <c r="P650" s="3105"/>
      <c r="Q650" s="3105"/>
      <c r="R650" s="3105"/>
      <c r="S650" s="3105"/>
      <c r="T650" s="3105"/>
      <c r="U650" s="3105"/>
      <c r="V650" s="3105"/>
      <c r="W650" s="3105"/>
      <c r="X650" s="3105"/>
      <c r="Y650" s="3105"/>
      <c r="Z650" s="3105"/>
      <c r="AA650" s="3105"/>
      <c r="AB650" s="3105"/>
      <c r="AC650" s="3105"/>
      <c r="AD650" s="3105"/>
      <c r="AE650" s="3105"/>
      <c r="AF650" s="1218"/>
      <c r="AG650" s="1218"/>
      <c r="AH650" s="1218"/>
      <c r="AI650" s="1218"/>
      <c r="AJ650" s="1218"/>
      <c r="AK650" s="1218"/>
      <c r="AL650" s="1219"/>
      <c r="AM650" s="1128"/>
      <c r="AN650" s="994"/>
      <c r="AO650" s="1019"/>
      <c r="AP650" s="1019"/>
    </row>
    <row r="651" spans="1:60" s="937" customFormat="1" ht="12.75" customHeight="1">
      <c r="A651" s="921"/>
      <c r="B651" s="51"/>
      <c r="C651" s="1220"/>
      <c r="D651" s="1185"/>
      <c r="E651" s="1172"/>
      <c r="F651" s="3105"/>
      <c r="G651" s="3105"/>
      <c r="H651" s="3105"/>
      <c r="I651" s="3105"/>
      <c r="J651" s="3105"/>
      <c r="K651" s="3105"/>
      <c r="L651" s="3105"/>
      <c r="M651" s="3105"/>
      <c r="N651" s="3105"/>
      <c r="O651" s="3105"/>
      <c r="P651" s="3105"/>
      <c r="Q651" s="3105"/>
      <c r="R651" s="3105"/>
      <c r="S651" s="3105"/>
      <c r="T651" s="3105"/>
      <c r="U651" s="3105"/>
      <c r="V651" s="3105"/>
      <c r="W651" s="3105"/>
      <c r="X651" s="3105"/>
      <c r="Y651" s="3105"/>
      <c r="Z651" s="3105"/>
      <c r="AA651" s="3105"/>
      <c r="AB651" s="3105"/>
      <c r="AC651" s="3105"/>
      <c r="AD651" s="3105"/>
      <c r="AE651" s="3105"/>
      <c r="AF651" s="1218"/>
      <c r="AG651" s="1218"/>
      <c r="AH651" s="1218"/>
      <c r="AI651" s="1218"/>
      <c r="AJ651" s="1218"/>
      <c r="AK651" s="1218"/>
      <c r="AL651" s="1219"/>
      <c r="AM651" s="1128"/>
      <c r="AN651" s="994"/>
      <c r="AO651" s="1221"/>
      <c r="AP651" s="112"/>
    </row>
    <row r="652" spans="1:60" s="937" customFormat="1" ht="12.75" customHeight="1">
      <c r="A652" s="921"/>
      <c r="B652" s="51"/>
      <c r="C652" s="1220"/>
      <c r="D652" s="1185"/>
      <c r="E652" s="1172"/>
      <c r="F652" s="3105"/>
      <c r="G652" s="3105"/>
      <c r="H652" s="3105"/>
      <c r="I652" s="3105"/>
      <c r="J652" s="3105"/>
      <c r="K652" s="3105"/>
      <c r="L652" s="3105"/>
      <c r="M652" s="3105"/>
      <c r="N652" s="3105"/>
      <c r="O652" s="3105"/>
      <c r="P652" s="3105"/>
      <c r="Q652" s="3105"/>
      <c r="R652" s="3105"/>
      <c r="S652" s="3105"/>
      <c r="T652" s="3105"/>
      <c r="U652" s="3105"/>
      <c r="V652" s="3105"/>
      <c r="W652" s="3105"/>
      <c r="X652" s="3105"/>
      <c r="Y652" s="3105"/>
      <c r="Z652" s="3105"/>
      <c r="AA652" s="3105"/>
      <c r="AB652" s="3105"/>
      <c r="AC652" s="3105"/>
      <c r="AD652" s="3105"/>
      <c r="AE652" s="3105"/>
      <c r="AF652" s="1218"/>
      <c r="AG652" s="1218"/>
      <c r="AH652" s="1218"/>
      <c r="AI652" s="1218"/>
      <c r="AJ652" s="1218"/>
      <c r="AK652" s="1218"/>
      <c r="AL652" s="1219"/>
      <c r="AM652" s="1128"/>
      <c r="AN652" s="994"/>
      <c r="AO652" s="1019"/>
      <c r="AP652" s="1019"/>
    </row>
    <row r="653" spans="1:60" s="937" customFormat="1" ht="12.75" customHeight="1">
      <c r="A653" s="921"/>
      <c r="B653" s="51"/>
      <c r="C653" s="1220"/>
      <c r="D653" s="1185"/>
      <c r="E653" s="1172"/>
      <c r="F653" s="3105"/>
      <c r="G653" s="3105"/>
      <c r="H653" s="3105"/>
      <c r="I653" s="3105"/>
      <c r="J653" s="3105"/>
      <c r="K653" s="3105"/>
      <c r="L653" s="3105"/>
      <c r="M653" s="3105"/>
      <c r="N653" s="3105"/>
      <c r="O653" s="3105"/>
      <c r="P653" s="3105"/>
      <c r="Q653" s="3105"/>
      <c r="R653" s="3105"/>
      <c r="S653" s="3105"/>
      <c r="T653" s="3105"/>
      <c r="U653" s="3105"/>
      <c r="V653" s="3105"/>
      <c r="W653" s="3105"/>
      <c r="X653" s="3105"/>
      <c r="Y653" s="3105"/>
      <c r="Z653" s="3105"/>
      <c r="AA653" s="3105"/>
      <c r="AB653" s="3105"/>
      <c r="AC653" s="3105"/>
      <c r="AD653" s="3105"/>
      <c r="AE653" s="3105"/>
      <c r="AF653" s="1218"/>
      <c r="AG653" s="1218"/>
      <c r="AH653" s="1218"/>
      <c r="AI653" s="1218"/>
      <c r="AJ653" s="1218"/>
      <c r="AK653" s="1218"/>
      <c r="AL653" s="1219"/>
      <c r="AM653" s="1128"/>
      <c r="AN653" s="994"/>
    </row>
    <row r="654" spans="1:60" s="937" customFormat="1" ht="12.75" customHeight="1">
      <c r="A654" s="921"/>
      <c r="B654" s="51"/>
      <c r="C654" s="1220"/>
      <c r="D654" s="1185"/>
      <c r="E654" s="1172"/>
      <c r="F654" s="3105"/>
      <c r="G654" s="3105"/>
      <c r="H654" s="3105"/>
      <c r="I654" s="3105"/>
      <c r="J654" s="3105"/>
      <c r="K654" s="3105"/>
      <c r="L654" s="3105"/>
      <c r="M654" s="3105"/>
      <c r="N654" s="3105"/>
      <c r="O654" s="3105"/>
      <c r="P654" s="3105"/>
      <c r="Q654" s="3105"/>
      <c r="R654" s="3105"/>
      <c r="S654" s="3105"/>
      <c r="T654" s="3105"/>
      <c r="U654" s="3105"/>
      <c r="V654" s="3105"/>
      <c r="W654" s="3105"/>
      <c r="X654" s="3105"/>
      <c r="Y654" s="3105"/>
      <c r="Z654" s="3105"/>
      <c r="AA654" s="3105"/>
      <c r="AB654" s="3105"/>
      <c r="AC654" s="3105"/>
      <c r="AD654" s="3105"/>
      <c r="AE654" s="3105"/>
      <c r="AF654" s="1218"/>
      <c r="AG654" s="1218"/>
      <c r="AH654" s="1218"/>
      <c r="AI654" s="1218"/>
      <c r="AJ654" s="1218"/>
      <c r="AK654" s="1218"/>
      <c r="AL654" s="1219"/>
      <c r="AM654" s="1128"/>
      <c r="AN654" s="994"/>
    </row>
    <row r="655" spans="1:60" s="937" customFormat="1" ht="12.75" customHeight="1">
      <c r="A655" s="921"/>
      <c r="B655" s="51"/>
      <c r="C655" s="1220"/>
      <c r="D655" s="1185"/>
      <c r="E655" s="1172"/>
      <c r="F655" s="3105"/>
      <c r="G655" s="3105"/>
      <c r="H655" s="3105"/>
      <c r="I655" s="3105"/>
      <c r="J655" s="3105"/>
      <c r="K655" s="3105"/>
      <c r="L655" s="3105"/>
      <c r="M655" s="3105"/>
      <c r="N655" s="3105"/>
      <c r="O655" s="3105"/>
      <c r="P655" s="3105"/>
      <c r="Q655" s="3105"/>
      <c r="R655" s="3105"/>
      <c r="S655" s="3105"/>
      <c r="T655" s="3105"/>
      <c r="U655" s="3105"/>
      <c r="V655" s="3105"/>
      <c r="W655" s="3105"/>
      <c r="X655" s="3105"/>
      <c r="Y655" s="3105"/>
      <c r="Z655" s="3105"/>
      <c r="AA655" s="3105"/>
      <c r="AB655" s="3105"/>
      <c r="AC655" s="3105"/>
      <c r="AD655" s="3105"/>
      <c r="AE655" s="3105"/>
      <c r="AF655" s="1218"/>
      <c r="AG655" s="1218"/>
      <c r="AH655" s="1218"/>
      <c r="AI655" s="1218"/>
      <c r="AJ655" s="1218"/>
      <c r="AK655" s="1218"/>
      <c r="AL655" s="1219"/>
      <c r="AM655" s="1128"/>
      <c r="AN655" s="994"/>
    </row>
    <row r="656" spans="1:60" s="937" customFormat="1" ht="17.25" customHeight="1">
      <c r="A656" s="921"/>
      <c r="B656" s="51"/>
      <c r="C656" s="1220"/>
      <c r="D656" s="1185"/>
      <c r="E656" s="1172"/>
      <c r="F656" s="3105"/>
      <c r="G656" s="3105"/>
      <c r="H656" s="3105"/>
      <c r="I656" s="3105"/>
      <c r="J656" s="3105"/>
      <c r="K656" s="3105"/>
      <c r="L656" s="3105"/>
      <c r="M656" s="3105"/>
      <c r="N656" s="3105"/>
      <c r="O656" s="3105"/>
      <c r="P656" s="3105"/>
      <c r="Q656" s="3105"/>
      <c r="R656" s="3105"/>
      <c r="S656" s="3105"/>
      <c r="T656" s="3105"/>
      <c r="U656" s="3105"/>
      <c r="V656" s="3105"/>
      <c r="W656" s="3105"/>
      <c r="X656" s="3105"/>
      <c r="Y656" s="3105"/>
      <c r="Z656" s="3105"/>
      <c r="AA656" s="3105"/>
      <c r="AB656" s="3105"/>
      <c r="AC656" s="3105"/>
      <c r="AD656" s="3105"/>
      <c r="AE656" s="3105"/>
      <c r="AF656" s="1019"/>
      <c r="AG656" s="1019"/>
      <c r="AH656" s="1019"/>
      <c r="AI656" s="1019"/>
      <c r="AJ656" s="1019"/>
      <c r="AK656" s="1019"/>
      <c r="AL656" s="1187"/>
      <c r="AM656" s="1128"/>
      <c r="AN656" s="994"/>
    </row>
    <row r="657" spans="1:54" s="937" customFormat="1" ht="12.75" customHeight="1">
      <c r="A657" s="921"/>
      <c r="B657" s="51"/>
      <c r="C657" s="3113" t="s">
        <v>626</v>
      </c>
      <c r="D657" s="3114"/>
      <c r="E657" s="1172"/>
      <c r="F657" s="1210" t="s">
        <v>1774</v>
      </c>
      <c r="G657" s="1222"/>
      <c r="H657" s="1222"/>
      <c r="I657" s="1222"/>
      <c r="J657" s="1222"/>
      <c r="K657" s="1222"/>
      <c r="L657" s="1222"/>
      <c r="M657" s="1222"/>
      <c r="N657" s="1222"/>
      <c r="O657" s="1222"/>
      <c r="P657" s="1222"/>
      <c r="Q657" s="1222"/>
      <c r="R657" s="1222"/>
      <c r="S657" s="1222"/>
      <c r="T657" s="1222"/>
      <c r="U657" s="1222"/>
      <c r="V657" s="1222"/>
      <c r="W657" s="1222"/>
      <c r="X657" s="1222"/>
      <c r="Y657" s="1222"/>
      <c r="Z657" s="1222"/>
      <c r="AA657" s="1222"/>
      <c r="AB657" s="1222"/>
      <c r="AC657" s="1222"/>
      <c r="AD657" s="1222"/>
      <c r="AE657" s="1019"/>
      <c r="AF657" s="3212" t="s">
        <v>1749</v>
      </c>
      <c r="AG657" s="3212"/>
      <c r="AH657" s="3212"/>
      <c r="AI657" s="3212"/>
      <c r="AJ657" s="3212"/>
      <c r="AK657" s="3212"/>
      <c r="AL657" s="3213"/>
      <c r="AM657" s="1128"/>
      <c r="AN657" s="994"/>
    </row>
    <row r="658" spans="1:54" s="937" customFormat="1" ht="12.75" customHeight="1">
      <c r="A658" s="921"/>
      <c r="B658" s="51"/>
      <c r="C658" s="1199"/>
      <c r="D658" s="1182"/>
      <c r="E658" s="1179"/>
      <c r="F658" s="1197"/>
      <c r="G658" s="1181"/>
      <c r="H658" s="1181"/>
      <c r="I658" s="1181"/>
      <c r="J658" s="1181"/>
      <c r="K658" s="1181"/>
      <c r="L658" s="1181"/>
      <c r="M658" s="1181"/>
      <c r="N658" s="1181"/>
      <c r="O658" s="1181"/>
      <c r="P658" s="1181"/>
      <c r="Q658" s="1181"/>
      <c r="R658" s="1181"/>
      <c r="S658" s="1181"/>
      <c r="T658" s="1181"/>
      <c r="U658" s="1181"/>
      <c r="V658" s="1181"/>
      <c r="W658" s="1181"/>
      <c r="X658" s="1181"/>
      <c r="Y658" s="1181"/>
      <c r="Z658" s="1181"/>
      <c r="AA658" s="1181"/>
      <c r="AB658" s="1181"/>
      <c r="AC658" s="1181"/>
      <c r="AD658" s="1181"/>
      <c r="AE658" s="1182"/>
      <c r="AF658" s="1182"/>
      <c r="AG658" s="1182"/>
      <c r="AH658" s="1182"/>
      <c r="AI658" s="1182"/>
      <c r="AJ658" s="1182"/>
      <c r="AK658" s="1182"/>
      <c r="AL658" s="1198"/>
      <c r="AM658" s="1128"/>
      <c r="AN658" s="994"/>
    </row>
    <row r="659" spans="1:54" s="937" customFormat="1" ht="12.75" customHeight="1">
      <c r="A659" s="921"/>
      <c r="B659" s="51"/>
      <c r="C659" s="1185"/>
      <c r="D659" s="1185"/>
      <c r="E659" s="1172"/>
      <c r="F659" s="1217"/>
      <c r="G659" s="1200"/>
      <c r="H659" s="1200"/>
      <c r="I659" s="1200"/>
      <c r="J659" s="1200"/>
      <c r="K659" s="1200"/>
      <c r="L659" s="1200"/>
      <c r="M659" s="1200"/>
      <c r="N659" s="1200"/>
      <c r="O659" s="1200"/>
      <c r="P659" s="1200"/>
      <c r="Q659" s="1200"/>
      <c r="R659" s="1200"/>
      <c r="S659" s="1200"/>
      <c r="T659" s="1200"/>
      <c r="U659" s="1200"/>
      <c r="V659" s="1200"/>
      <c r="W659" s="1200"/>
      <c r="X659" s="1200"/>
      <c r="Y659" s="1200"/>
      <c r="Z659" s="1200"/>
      <c r="AA659" s="1200"/>
      <c r="AB659" s="1200"/>
      <c r="AC659" s="1200"/>
      <c r="AD659" s="1200"/>
      <c r="AE659" s="979"/>
      <c r="AF659" s="979"/>
      <c r="AG659" s="979"/>
      <c r="AH659" s="979"/>
      <c r="AI659" s="979"/>
      <c r="AJ659" s="979"/>
      <c r="AK659" s="979"/>
      <c r="AL659" s="979"/>
      <c r="AM659" s="1128"/>
      <c r="AN659" s="994"/>
    </row>
    <row r="660" spans="1:54" s="937" customFormat="1" ht="12.75" customHeight="1">
      <c r="A660" s="921"/>
      <c r="B660" s="51"/>
      <c r="C660" s="1166"/>
      <c r="D660" s="1167"/>
      <c r="E660" s="1168" t="s">
        <v>1775</v>
      </c>
      <c r="F660" s="3104" t="s">
        <v>1776</v>
      </c>
      <c r="G660" s="3104"/>
      <c r="H660" s="3104"/>
      <c r="I660" s="3104"/>
      <c r="J660" s="3104"/>
      <c r="K660" s="3104"/>
      <c r="L660" s="3104"/>
      <c r="M660" s="3104"/>
      <c r="N660" s="3104"/>
      <c r="O660" s="3104"/>
      <c r="P660" s="3104"/>
      <c r="Q660" s="3104"/>
      <c r="R660" s="3104"/>
      <c r="S660" s="3104"/>
      <c r="T660" s="3104"/>
      <c r="U660" s="3104"/>
      <c r="V660" s="3104"/>
      <c r="W660" s="3104"/>
      <c r="X660" s="3104"/>
      <c r="Y660" s="3104"/>
      <c r="Z660" s="3104"/>
      <c r="AA660" s="3104"/>
      <c r="AB660" s="3104"/>
      <c r="AC660" s="3104"/>
      <c r="AD660" s="3104"/>
      <c r="AE660" s="3104"/>
      <c r="AF660" s="1167"/>
      <c r="AG660" s="1167"/>
      <c r="AH660" s="1167"/>
      <c r="AI660" s="1167"/>
      <c r="AJ660" s="1167"/>
      <c r="AK660" s="1167"/>
      <c r="AL660" s="1203"/>
      <c r="AM660" s="1128"/>
      <c r="AN660" s="994"/>
      <c r="AO660" s="937" t="s">
        <v>626</v>
      </c>
      <c r="AP660" s="1019">
        <v>0</v>
      </c>
      <c r="AQ660" s="1223"/>
      <c r="AR660" s="996"/>
      <c r="AS660" s="996"/>
      <c r="AT660" s="996"/>
      <c r="AU660" s="996"/>
      <c r="AV660" s="996"/>
      <c r="AW660" s="996"/>
      <c r="AX660" s="996"/>
      <c r="AY660" s="996"/>
      <c r="AZ660" s="996"/>
      <c r="BA660" s="996"/>
      <c r="BB660" s="996"/>
    </row>
    <row r="661" spans="1:54" s="937" customFormat="1" ht="12.75" customHeight="1">
      <c r="A661" s="921"/>
      <c r="B661" s="51"/>
      <c r="C661" s="1220"/>
      <c r="D661" s="1185"/>
      <c r="E661" s="1172"/>
      <c r="F661" s="3105"/>
      <c r="G661" s="3105"/>
      <c r="H661" s="3105"/>
      <c r="I661" s="3105"/>
      <c r="J661" s="3105"/>
      <c r="K661" s="3105"/>
      <c r="L661" s="3105"/>
      <c r="M661" s="3105"/>
      <c r="N661" s="3105"/>
      <c r="O661" s="3105"/>
      <c r="P661" s="3105"/>
      <c r="Q661" s="3105"/>
      <c r="R661" s="3105"/>
      <c r="S661" s="3105"/>
      <c r="T661" s="3105"/>
      <c r="U661" s="3105"/>
      <c r="V661" s="3105"/>
      <c r="W661" s="3105"/>
      <c r="X661" s="3105"/>
      <c r="Y661" s="3105"/>
      <c r="Z661" s="3105"/>
      <c r="AA661" s="3105"/>
      <c r="AB661" s="3105"/>
      <c r="AC661" s="3105"/>
      <c r="AD661" s="3105"/>
      <c r="AE661" s="3105"/>
      <c r="AF661" s="1224"/>
      <c r="AG661" s="1224"/>
      <c r="AH661" s="1224"/>
      <c r="AI661" s="1224"/>
      <c r="AJ661" s="1224"/>
      <c r="AK661" s="1224"/>
      <c r="AL661" s="1174"/>
      <c r="AM661" s="1128"/>
      <c r="AN661" s="994"/>
      <c r="AO661" s="937" t="s">
        <v>1777</v>
      </c>
      <c r="AP661" s="937">
        <v>5</v>
      </c>
      <c r="AQ661" s="1223"/>
    </row>
    <row r="662" spans="1:54" s="937" customFormat="1" ht="12.75" customHeight="1">
      <c r="A662" s="921"/>
      <c r="B662" s="51"/>
      <c r="C662" s="1220"/>
      <c r="D662" s="1185"/>
      <c r="E662" s="1172"/>
      <c r="F662" s="3105"/>
      <c r="G662" s="3105"/>
      <c r="H662" s="3105"/>
      <c r="I662" s="3105"/>
      <c r="J662" s="3105"/>
      <c r="K662" s="3105"/>
      <c r="L662" s="3105"/>
      <c r="M662" s="3105"/>
      <c r="N662" s="3105"/>
      <c r="O662" s="3105"/>
      <c r="P662" s="3105"/>
      <c r="Q662" s="3105"/>
      <c r="R662" s="3105"/>
      <c r="S662" s="3105"/>
      <c r="T662" s="3105"/>
      <c r="U662" s="3105"/>
      <c r="V662" s="3105"/>
      <c r="W662" s="3105"/>
      <c r="X662" s="3105"/>
      <c r="Y662" s="3105"/>
      <c r="Z662" s="3105"/>
      <c r="AA662" s="3105"/>
      <c r="AB662" s="3105"/>
      <c r="AC662" s="3105"/>
      <c r="AD662" s="3105"/>
      <c r="AE662" s="3105"/>
      <c r="AF662" s="1224"/>
      <c r="AG662" s="1224"/>
      <c r="AH662" s="1224"/>
      <c r="AI662" s="1224"/>
      <c r="AJ662" s="1224"/>
      <c r="AK662" s="1224"/>
      <c r="AL662" s="1174"/>
      <c r="AM662" s="1128"/>
      <c r="AN662" s="994"/>
      <c r="AO662" s="937" t="s">
        <v>1778</v>
      </c>
      <c r="AP662" s="937">
        <v>5</v>
      </c>
      <c r="AQ662" s="1225"/>
    </row>
    <row r="663" spans="1:54" s="937" customFormat="1" ht="12.75" customHeight="1">
      <c r="A663" s="921"/>
      <c r="B663" s="51"/>
      <c r="C663" s="1220"/>
      <c r="D663" s="1185"/>
      <c r="E663" s="1172"/>
      <c r="F663" s="3105"/>
      <c r="G663" s="3105"/>
      <c r="H663" s="3105"/>
      <c r="I663" s="3105"/>
      <c r="J663" s="3105"/>
      <c r="K663" s="3105"/>
      <c r="L663" s="3105"/>
      <c r="M663" s="3105"/>
      <c r="N663" s="3105"/>
      <c r="O663" s="3105"/>
      <c r="P663" s="3105"/>
      <c r="Q663" s="3105"/>
      <c r="R663" s="3105"/>
      <c r="S663" s="3105"/>
      <c r="T663" s="3105"/>
      <c r="U663" s="3105"/>
      <c r="V663" s="3105"/>
      <c r="W663" s="3105"/>
      <c r="X663" s="3105"/>
      <c r="Y663" s="3105"/>
      <c r="Z663" s="3105"/>
      <c r="AA663" s="3105"/>
      <c r="AB663" s="3105"/>
      <c r="AC663" s="3105"/>
      <c r="AD663" s="3105"/>
      <c r="AE663" s="3105"/>
      <c r="AF663" s="1019"/>
      <c r="AG663" s="1019"/>
      <c r="AH663" s="1019"/>
      <c r="AI663" s="1019"/>
      <c r="AJ663" s="1019"/>
      <c r="AK663" s="1019"/>
      <c r="AL663" s="1187"/>
      <c r="AM663" s="1128"/>
      <c r="AN663" s="994"/>
      <c r="AO663" s="937" t="s">
        <v>1779</v>
      </c>
      <c r="AP663" s="937">
        <v>5</v>
      </c>
      <c r="AQ663" s="1226"/>
    </row>
    <row r="664" spans="1:54" s="1019" customFormat="1" ht="12.75" customHeight="1">
      <c r="A664" s="921"/>
      <c r="B664" s="51"/>
      <c r="C664" s="3113" t="s">
        <v>626</v>
      </c>
      <c r="D664" s="3114"/>
      <c r="E664" s="1172"/>
      <c r="F664" s="1175" t="s">
        <v>1780</v>
      </c>
      <c r="G664" s="1176"/>
      <c r="H664" s="1176"/>
      <c r="I664" s="1176"/>
      <c r="J664" s="1176"/>
      <c r="K664" s="1176"/>
      <c r="L664" s="1176"/>
      <c r="M664" s="1176"/>
      <c r="N664" s="1176"/>
      <c r="O664" s="1176"/>
      <c r="P664" s="1176"/>
      <c r="Q664" s="1176"/>
      <c r="R664" s="1176"/>
      <c r="S664" s="1176"/>
      <c r="T664" s="1176"/>
      <c r="U664" s="1176"/>
      <c r="V664" s="1176"/>
      <c r="W664" s="1176"/>
      <c r="X664" s="1176"/>
      <c r="Y664" s="1176"/>
      <c r="Z664" s="1176"/>
      <c r="AA664" s="1176"/>
      <c r="AB664" s="1176"/>
      <c r="AC664" s="1176"/>
      <c r="AD664" s="1176"/>
      <c r="AF664" s="3212" t="s">
        <v>1749</v>
      </c>
      <c r="AG664" s="3212"/>
      <c r="AH664" s="3212"/>
      <c r="AI664" s="3212"/>
      <c r="AJ664" s="3212"/>
      <c r="AK664" s="3212"/>
      <c r="AL664" s="3213"/>
      <c r="AM664" s="1128"/>
      <c r="AN664" s="1227"/>
      <c r="AO664" s="937" t="s">
        <v>1781</v>
      </c>
      <c r="AP664" s="937">
        <v>5</v>
      </c>
      <c r="AQ664" s="937"/>
      <c r="AR664" s="937"/>
      <c r="AS664" s="937"/>
      <c r="AT664" s="937"/>
      <c r="AU664" s="937"/>
      <c r="AV664" s="937"/>
      <c r="AW664" s="937"/>
      <c r="AX664" s="937"/>
      <c r="AY664" s="937"/>
      <c r="AZ664" s="937"/>
      <c r="BA664" s="937"/>
      <c r="BB664" s="937"/>
    </row>
    <row r="665" spans="1:54" s="937" customFormat="1" ht="12.75" customHeight="1">
      <c r="A665" s="921"/>
      <c r="B665" s="51"/>
      <c r="C665" s="1220"/>
      <c r="D665" s="1185"/>
      <c r="E665" s="1172"/>
      <c r="F665" s="1175"/>
      <c r="G665" s="1176"/>
      <c r="H665" s="1176"/>
      <c r="I665" s="1176"/>
      <c r="J665" s="1176"/>
      <c r="K665" s="1176"/>
      <c r="L665" s="1176"/>
      <c r="M665" s="1176"/>
      <c r="N665" s="1176"/>
      <c r="O665" s="1176"/>
      <c r="P665" s="1176"/>
      <c r="Q665" s="1176"/>
      <c r="R665" s="1176"/>
      <c r="S665" s="1176"/>
      <c r="T665" s="1176"/>
      <c r="U665" s="1176"/>
      <c r="V665" s="1176"/>
      <c r="W665" s="1176"/>
      <c r="X665" s="1176"/>
      <c r="Y665" s="1176"/>
      <c r="Z665" s="1176"/>
      <c r="AA665" s="1176"/>
      <c r="AB665" s="1176"/>
      <c r="AC665" s="1176"/>
      <c r="AD665" s="1176"/>
      <c r="AE665" s="1224"/>
      <c r="AF665" s="1019"/>
      <c r="AG665" s="1019"/>
      <c r="AH665" s="1019"/>
      <c r="AI665" s="1019"/>
      <c r="AJ665" s="1019"/>
      <c r="AK665" s="1019"/>
      <c r="AL665" s="1187"/>
      <c r="AM665" s="1128"/>
      <c r="AN665" s="1227"/>
      <c r="AO665" s="937" t="s">
        <v>1782</v>
      </c>
      <c r="AP665" s="937">
        <v>5</v>
      </c>
    </row>
    <row r="666" spans="1:54" s="937" customFormat="1" ht="12.75" customHeight="1">
      <c r="A666" s="921"/>
      <c r="B666" s="51"/>
      <c r="C666" s="1196"/>
      <c r="D666" s="1188"/>
      <c r="E666" s="1189"/>
      <c r="F666" s="1182" t="s">
        <v>1756</v>
      </c>
      <c r="G666" s="1190"/>
      <c r="H666" s="1190"/>
      <c r="I666" s="1190"/>
      <c r="J666" s="1190"/>
      <c r="K666" s="1190"/>
      <c r="L666" s="1190"/>
      <c r="M666" s="1190"/>
      <c r="N666" s="1190"/>
      <c r="O666" s="1190"/>
      <c r="P666" s="1190"/>
      <c r="Q666" s="1190"/>
      <c r="R666" s="1190"/>
      <c r="S666" s="1190"/>
      <c r="T666" s="1190"/>
      <c r="U666" s="1190"/>
      <c r="V666" s="1190"/>
      <c r="W666" s="1190"/>
      <c r="X666" s="1190"/>
      <c r="Y666" s="1190"/>
      <c r="Z666" s="1190"/>
      <c r="AA666" s="1190"/>
      <c r="AB666" s="1190"/>
      <c r="AC666" s="1190"/>
      <c r="AD666" s="1190"/>
      <c r="AE666" s="1192"/>
      <c r="AF666" s="971"/>
      <c r="AG666" s="1192"/>
      <c r="AH666" s="1182"/>
      <c r="AI666" s="1182"/>
      <c r="AJ666" s="1182"/>
      <c r="AK666" s="1182"/>
      <c r="AL666" s="1198"/>
      <c r="AM666" s="1128"/>
      <c r="AN666" s="1227"/>
      <c r="AO666" s="937" t="s">
        <v>1783</v>
      </c>
      <c r="AP666" s="937">
        <v>5</v>
      </c>
    </row>
    <row r="667" spans="1:54" s="937" customFormat="1" ht="12.75" customHeight="1">
      <c r="A667" s="921"/>
      <c r="B667" s="51"/>
      <c r="C667" s="1185"/>
      <c r="D667" s="1185"/>
      <c r="E667" s="1172"/>
      <c r="F667" s="1217"/>
      <c r="G667" s="1200"/>
      <c r="H667" s="1200"/>
      <c r="I667" s="1200"/>
      <c r="J667" s="1200"/>
      <c r="K667" s="1200"/>
      <c r="L667" s="1200"/>
      <c r="M667" s="1200"/>
      <c r="N667" s="1200"/>
      <c r="O667" s="1200"/>
      <c r="P667" s="1200"/>
      <c r="Q667" s="1200"/>
      <c r="R667" s="1200"/>
      <c r="S667" s="1200"/>
      <c r="T667" s="1200"/>
      <c r="U667" s="1200"/>
      <c r="V667" s="1200"/>
      <c r="W667" s="1200"/>
      <c r="X667" s="1200"/>
      <c r="Y667" s="1200"/>
      <c r="Z667" s="1200"/>
      <c r="AA667" s="1200"/>
      <c r="AB667" s="1200"/>
      <c r="AC667" s="1200"/>
      <c r="AD667" s="1200"/>
      <c r="AE667" s="979"/>
      <c r="AM667" s="1128"/>
      <c r="AN667" s="1227"/>
      <c r="AO667" s="937" t="s">
        <v>1784</v>
      </c>
      <c r="AP667" s="937">
        <v>5</v>
      </c>
    </row>
    <row r="668" spans="1:54" s="996" customFormat="1" ht="12.75" customHeight="1">
      <c r="A668" s="921"/>
      <c r="B668" s="51"/>
      <c r="C668" s="3214" t="s">
        <v>626</v>
      </c>
      <c r="D668" s="3215"/>
      <c r="E668" s="1168" t="s">
        <v>1785</v>
      </c>
      <c r="F668" s="3104" t="s">
        <v>1786</v>
      </c>
      <c r="G668" s="3104"/>
      <c r="H668" s="3104"/>
      <c r="I668" s="3104"/>
      <c r="J668" s="3104"/>
      <c r="K668" s="3104"/>
      <c r="L668" s="3104"/>
      <c r="M668" s="3104"/>
      <c r="N668" s="3104"/>
      <c r="O668" s="3104"/>
      <c r="P668" s="3104"/>
      <c r="Q668" s="3104"/>
      <c r="R668" s="3104"/>
      <c r="S668" s="3104"/>
      <c r="T668" s="3104"/>
      <c r="U668" s="3104"/>
      <c r="V668" s="3104"/>
      <c r="W668" s="3104"/>
      <c r="X668" s="3104"/>
      <c r="Y668" s="3104"/>
      <c r="Z668" s="3104"/>
      <c r="AA668" s="3104"/>
      <c r="AB668" s="3104"/>
      <c r="AC668" s="3104"/>
      <c r="AD668" s="3104"/>
      <c r="AE668" s="3104"/>
      <c r="AF668" s="3208" t="s">
        <v>1749</v>
      </c>
      <c r="AG668" s="3208"/>
      <c r="AH668" s="3208"/>
      <c r="AI668" s="3208"/>
      <c r="AJ668" s="3208"/>
      <c r="AK668" s="3208"/>
      <c r="AL668" s="3209"/>
      <c r="AM668" s="1128"/>
      <c r="AN668" s="1227"/>
      <c r="AO668" s="937" t="s">
        <v>1787</v>
      </c>
      <c r="AP668" s="937">
        <v>1</v>
      </c>
      <c r="AQ668" s="937"/>
      <c r="AR668" s="937"/>
      <c r="AS668" s="937"/>
      <c r="AT668" s="937"/>
      <c r="AU668" s="937"/>
      <c r="AV668" s="937"/>
      <c r="AW668" s="937"/>
      <c r="AX668" s="937"/>
      <c r="AY668" s="937"/>
      <c r="AZ668" s="937"/>
      <c r="BA668" s="937"/>
      <c r="BB668" s="937"/>
    </row>
    <row r="669" spans="1:54" s="996" customFormat="1" ht="12.75" customHeight="1">
      <c r="A669" s="921"/>
      <c r="B669" s="51"/>
      <c r="C669" s="1220"/>
      <c r="D669" s="1185"/>
      <c r="E669" s="1172"/>
      <c r="F669" s="3105"/>
      <c r="G669" s="3105"/>
      <c r="H669" s="3105"/>
      <c r="I669" s="3105"/>
      <c r="J669" s="3105"/>
      <c r="K669" s="3105"/>
      <c r="L669" s="3105"/>
      <c r="M669" s="3105"/>
      <c r="N669" s="3105"/>
      <c r="O669" s="3105"/>
      <c r="P669" s="3105"/>
      <c r="Q669" s="3105"/>
      <c r="R669" s="3105"/>
      <c r="S669" s="3105"/>
      <c r="T669" s="3105"/>
      <c r="U669" s="3105"/>
      <c r="V669" s="3105"/>
      <c r="W669" s="3105"/>
      <c r="X669" s="3105"/>
      <c r="Y669" s="3105"/>
      <c r="Z669" s="3105"/>
      <c r="AA669" s="3105"/>
      <c r="AB669" s="3105"/>
      <c r="AC669" s="3105"/>
      <c r="AD669" s="3105"/>
      <c r="AE669" s="3105"/>
      <c r="AF669" s="1224"/>
      <c r="AG669" s="1224"/>
      <c r="AH669" s="1224"/>
      <c r="AI669" s="1224"/>
      <c r="AJ669" s="1224"/>
      <c r="AK669" s="1224"/>
      <c r="AL669" s="1174"/>
      <c r="AM669" s="1128"/>
      <c r="AN669" s="1228"/>
      <c r="AO669" s="937"/>
      <c r="AP669" s="937"/>
      <c r="AQ669" s="937"/>
      <c r="AR669" s="937"/>
      <c r="AS669" s="1229"/>
      <c r="AT669" s="937"/>
      <c r="AU669" s="937"/>
      <c r="AV669" s="937"/>
      <c r="AW669" s="1229" t="s">
        <v>1788</v>
      </c>
      <c r="AX669" s="937"/>
      <c r="AY669" s="937"/>
      <c r="AZ669" s="937"/>
      <c r="BA669" s="1229" t="s">
        <v>1789</v>
      </c>
      <c r="BB669" s="937"/>
    </row>
    <row r="670" spans="1:54" s="937" customFormat="1" ht="17.7" customHeight="1">
      <c r="A670" s="921"/>
      <c r="B670" s="51"/>
      <c r="C670" s="1230"/>
      <c r="D670" s="1178"/>
      <c r="E670" s="1179"/>
      <c r="F670" s="3207"/>
      <c r="G670" s="3207"/>
      <c r="H670" s="3207"/>
      <c r="I670" s="3207"/>
      <c r="J670" s="3207"/>
      <c r="K670" s="3207"/>
      <c r="L670" s="3207"/>
      <c r="M670" s="3207"/>
      <c r="N670" s="3207"/>
      <c r="O670" s="3207"/>
      <c r="P670" s="3207"/>
      <c r="Q670" s="3207"/>
      <c r="R670" s="3207"/>
      <c r="S670" s="3207"/>
      <c r="T670" s="3207"/>
      <c r="U670" s="3207"/>
      <c r="V670" s="3207"/>
      <c r="W670" s="3207"/>
      <c r="X670" s="3207"/>
      <c r="Y670" s="3207"/>
      <c r="Z670" s="3207"/>
      <c r="AA670" s="3207"/>
      <c r="AB670" s="3207"/>
      <c r="AC670" s="3207"/>
      <c r="AD670" s="3207"/>
      <c r="AE670" s="3207"/>
      <c r="AF670" s="1183"/>
      <c r="AG670" s="1183"/>
      <c r="AH670" s="1183"/>
      <c r="AI670" s="1183"/>
      <c r="AJ670" s="1183"/>
      <c r="AK670" s="1183"/>
      <c r="AL670" s="1231"/>
      <c r="AM670" s="1128"/>
      <c r="AN670" s="1232"/>
      <c r="AO670" s="937" t="s">
        <v>626</v>
      </c>
      <c r="AP670" s="1062">
        <v>0</v>
      </c>
      <c r="AR670" s="937" t="s">
        <v>626</v>
      </c>
      <c r="AS670" s="1062">
        <v>0</v>
      </c>
      <c r="AT670" s="1233"/>
      <c r="AW670" s="937" t="s">
        <v>626</v>
      </c>
      <c r="AX670" s="1233">
        <v>0</v>
      </c>
      <c r="BA670" s="937" t="s">
        <v>626</v>
      </c>
      <c r="BB670" s="1233">
        <v>0</v>
      </c>
    </row>
    <row r="671" spans="1:54" s="937" customFormat="1" ht="12.75" customHeight="1">
      <c r="A671" s="921"/>
      <c r="B671" s="51"/>
      <c r="C671" s="1185"/>
      <c r="D671" s="1185"/>
      <c r="E671" s="1172"/>
      <c r="F671" s="1217"/>
      <c r="G671" s="1200"/>
      <c r="H671" s="1200"/>
      <c r="I671" s="1200"/>
      <c r="J671" s="1200"/>
      <c r="K671" s="1200"/>
      <c r="L671" s="1200"/>
      <c r="M671" s="1200"/>
      <c r="N671" s="1200"/>
      <c r="O671" s="1200"/>
      <c r="P671" s="1200"/>
      <c r="Q671" s="1200"/>
      <c r="R671" s="1200"/>
      <c r="S671" s="1200"/>
      <c r="T671" s="1200"/>
      <c r="U671" s="1200"/>
      <c r="V671" s="1200"/>
      <c r="W671" s="1200"/>
      <c r="X671" s="1200"/>
      <c r="Y671" s="1200"/>
      <c r="Z671" s="1200"/>
      <c r="AA671" s="1200"/>
      <c r="AB671" s="1200"/>
      <c r="AC671" s="1200"/>
      <c r="AD671" s="1200"/>
      <c r="AE671" s="979"/>
      <c r="AM671" s="1128"/>
      <c r="AN671" s="1234"/>
      <c r="AO671" s="1235">
        <v>7.0000000000000007E-2</v>
      </c>
      <c r="AP671" s="1062">
        <v>3</v>
      </c>
      <c r="AR671" s="937" t="s">
        <v>1790</v>
      </c>
      <c r="AS671" s="1062">
        <v>3</v>
      </c>
      <c r="AT671" s="1233"/>
      <c r="AW671" s="1235">
        <v>0.4</v>
      </c>
      <c r="AX671" s="1233">
        <v>3</v>
      </c>
      <c r="BA671" s="1235">
        <v>0.4</v>
      </c>
      <c r="BB671" s="1233">
        <v>4</v>
      </c>
    </row>
    <row r="672" spans="1:54" s="937" customFormat="1" ht="12.75" customHeight="1">
      <c r="A672" s="921"/>
      <c r="B672" s="51"/>
      <c r="C672" s="3113" t="s">
        <v>626</v>
      </c>
      <c r="D672" s="3114"/>
      <c r="E672" s="1168" t="s">
        <v>1791</v>
      </c>
      <c r="F672" s="3104" t="s">
        <v>1792</v>
      </c>
      <c r="G672" s="3104"/>
      <c r="H672" s="3104"/>
      <c r="I672" s="3104"/>
      <c r="J672" s="3104"/>
      <c r="K672" s="3104"/>
      <c r="L672" s="3104"/>
      <c r="M672" s="3104"/>
      <c r="N672" s="3104"/>
      <c r="O672" s="3104"/>
      <c r="P672" s="3104"/>
      <c r="Q672" s="3104"/>
      <c r="R672" s="3104"/>
      <c r="S672" s="3104"/>
      <c r="T672" s="3104"/>
      <c r="U672" s="3104"/>
      <c r="V672" s="3104"/>
      <c r="W672" s="3104"/>
      <c r="X672" s="3104"/>
      <c r="Y672" s="3104"/>
      <c r="Z672" s="3104"/>
      <c r="AA672" s="3104"/>
      <c r="AB672" s="3104"/>
      <c r="AC672" s="3104"/>
      <c r="AD672" s="3104"/>
      <c r="AE672" s="3104"/>
      <c r="AF672" s="3208" t="s">
        <v>1749</v>
      </c>
      <c r="AG672" s="3208"/>
      <c r="AH672" s="3208"/>
      <c r="AI672" s="3208"/>
      <c r="AJ672" s="3208"/>
      <c r="AK672" s="3208"/>
      <c r="AL672" s="3209"/>
      <c r="AM672" s="1128"/>
      <c r="AN672" s="1234"/>
      <c r="AO672" s="1235">
        <v>0.12</v>
      </c>
      <c r="AP672" s="1062">
        <v>5</v>
      </c>
      <c r="AR672" s="937" t="s">
        <v>1793</v>
      </c>
      <c r="AS672" s="1062">
        <v>5</v>
      </c>
      <c r="AT672" s="1233"/>
      <c r="AW672" s="1235">
        <v>0.6</v>
      </c>
      <c r="AX672" s="1233">
        <v>4</v>
      </c>
      <c r="BA672" s="1235">
        <v>0.6</v>
      </c>
      <c r="BB672" s="1233">
        <v>5</v>
      </c>
    </row>
    <row r="673" spans="1:54" s="937" customFormat="1" ht="12.75" customHeight="1">
      <c r="A673" s="921"/>
      <c r="B673" s="51"/>
      <c r="C673" s="1186"/>
      <c r="D673" s="112"/>
      <c r="E673" s="1140"/>
      <c r="F673" s="3105"/>
      <c r="G673" s="3105"/>
      <c r="H673" s="3105"/>
      <c r="I673" s="3105"/>
      <c r="J673" s="3105"/>
      <c r="K673" s="3105"/>
      <c r="L673" s="3105"/>
      <c r="M673" s="3105"/>
      <c r="N673" s="3105"/>
      <c r="O673" s="3105"/>
      <c r="P673" s="3105"/>
      <c r="Q673" s="3105"/>
      <c r="R673" s="3105"/>
      <c r="S673" s="3105"/>
      <c r="T673" s="3105"/>
      <c r="U673" s="3105"/>
      <c r="V673" s="3105"/>
      <c r="W673" s="3105"/>
      <c r="X673" s="3105"/>
      <c r="Y673" s="3105"/>
      <c r="Z673" s="3105"/>
      <c r="AA673" s="3105"/>
      <c r="AB673" s="3105"/>
      <c r="AC673" s="3105"/>
      <c r="AD673" s="3105"/>
      <c r="AE673" s="3105"/>
      <c r="AF673" s="1207"/>
      <c r="AG673" s="985"/>
      <c r="AH673" s="1019"/>
      <c r="AI673" s="1019"/>
      <c r="AJ673" s="1019"/>
      <c r="AK673" s="1019"/>
      <c r="AL673" s="1187"/>
      <c r="AM673" s="1128"/>
      <c r="AN673" s="1234"/>
      <c r="AO673" s="1235"/>
      <c r="AP673" s="1233"/>
      <c r="AS673" s="1235"/>
      <c r="AT673" s="1233"/>
      <c r="AW673" s="1235">
        <v>0.8</v>
      </c>
      <c r="AX673" s="1233">
        <v>5</v>
      </c>
      <c r="BA673" s="1235"/>
      <c r="BB673" s="1233"/>
    </row>
    <row r="674" spans="1:54" s="937" customFormat="1" ht="12.75" customHeight="1">
      <c r="A674" s="921"/>
      <c r="B674" s="51"/>
      <c r="C674" s="1186"/>
      <c r="D674" s="112"/>
      <c r="E674" s="1140"/>
      <c r="F674" s="3105"/>
      <c r="G674" s="3105"/>
      <c r="H674" s="3105"/>
      <c r="I674" s="3105"/>
      <c r="J674" s="3105"/>
      <c r="K674" s="3105"/>
      <c r="L674" s="3105"/>
      <c r="M674" s="3105"/>
      <c r="N674" s="3105"/>
      <c r="O674" s="3105"/>
      <c r="P674" s="3105"/>
      <c r="Q674" s="3105"/>
      <c r="R674" s="3105"/>
      <c r="S674" s="3105"/>
      <c r="T674" s="3105"/>
      <c r="U674" s="3105"/>
      <c r="V674" s="3105"/>
      <c r="W674" s="3105"/>
      <c r="X674" s="3105"/>
      <c r="Y674" s="3105"/>
      <c r="Z674" s="3105"/>
      <c r="AA674" s="3105"/>
      <c r="AB674" s="3105"/>
      <c r="AC674" s="3105"/>
      <c r="AD674" s="3105"/>
      <c r="AE674" s="3105"/>
      <c r="AF674" s="1207"/>
      <c r="AG674" s="985"/>
      <c r="AH674" s="1019"/>
      <c r="AI674" s="1019"/>
      <c r="AJ674" s="1019"/>
      <c r="AK674" s="1019"/>
      <c r="AL674" s="1187"/>
      <c r="AM674" s="1128"/>
      <c r="AN674" s="1234"/>
      <c r="AO674" s="937" t="s">
        <v>626</v>
      </c>
      <c r="AP674" s="1062">
        <v>0</v>
      </c>
      <c r="AW674" s="1235"/>
      <c r="AX674" s="1233"/>
    </row>
    <row r="675" spans="1:54" s="937" customFormat="1" ht="12.75" customHeight="1">
      <c r="A675" s="921"/>
      <c r="B675" s="51"/>
      <c r="C675" s="1230"/>
      <c r="D675" s="1178"/>
      <c r="E675" s="1179"/>
      <c r="F675" s="3207"/>
      <c r="G675" s="3207"/>
      <c r="H675" s="3207"/>
      <c r="I675" s="3207"/>
      <c r="J675" s="3207"/>
      <c r="K675" s="3207"/>
      <c r="L675" s="3207"/>
      <c r="M675" s="3207"/>
      <c r="N675" s="3207"/>
      <c r="O675" s="3207"/>
      <c r="P675" s="3207"/>
      <c r="Q675" s="3207"/>
      <c r="R675" s="3207"/>
      <c r="S675" s="3207"/>
      <c r="T675" s="3207"/>
      <c r="U675" s="3207"/>
      <c r="V675" s="3207"/>
      <c r="W675" s="3207"/>
      <c r="X675" s="3207"/>
      <c r="Y675" s="3207"/>
      <c r="Z675" s="3207"/>
      <c r="AA675" s="3207"/>
      <c r="AB675" s="3207"/>
      <c r="AC675" s="3207"/>
      <c r="AD675" s="3207"/>
      <c r="AE675" s="3207"/>
      <c r="AF675" s="1183"/>
      <c r="AG675" s="1183"/>
      <c r="AH675" s="1183"/>
      <c r="AI675" s="1183"/>
      <c r="AJ675" s="1183"/>
      <c r="AK675" s="1183"/>
      <c r="AL675" s="1231"/>
      <c r="AM675" s="1128"/>
      <c r="AN675" s="994"/>
      <c r="AO675" s="1235">
        <v>0.09</v>
      </c>
      <c r="AP675" s="1062">
        <v>3</v>
      </c>
      <c r="AS675" s="1229"/>
    </row>
    <row r="676" spans="1:54" s="937" customFormat="1" ht="12.75" customHeight="1">
      <c r="A676" s="921"/>
      <c r="B676" s="51"/>
      <c r="C676" s="1019"/>
      <c r="D676" s="1019"/>
      <c r="E676" s="1019"/>
      <c r="F676" s="1019"/>
      <c r="G676" s="1209"/>
      <c r="H676" s="1209"/>
      <c r="I676" s="1209"/>
      <c r="J676" s="1209"/>
      <c r="K676" s="1209"/>
      <c r="L676" s="1209"/>
      <c r="M676" s="1209"/>
      <c r="N676" s="1209"/>
      <c r="O676" s="1209"/>
      <c r="P676" s="1209"/>
      <c r="Q676" s="1209"/>
      <c r="R676" s="1209"/>
      <c r="S676" s="1209"/>
      <c r="T676" s="1209"/>
      <c r="U676" s="1209"/>
      <c r="V676" s="1209"/>
      <c r="W676" s="1209"/>
      <c r="X676" s="1209"/>
      <c r="Y676" s="1209"/>
      <c r="Z676" s="1209"/>
      <c r="AA676" s="1209"/>
      <c r="AB676" s="1209"/>
      <c r="AC676" s="1209"/>
      <c r="AD676" s="1209"/>
      <c r="AE676" s="1019"/>
      <c r="AF676" s="1019"/>
      <c r="AG676" s="1019"/>
      <c r="AH676" s="1019"/>
      <c r="AI676" s="1019"/>
      <c r="AJ676" s="1019"/>
      <c r="AK676" s="1019"/>
      <c r="AL676" s="1019"/>
      <c r="AM676" s="1128"/>
      <c r="AN676" s="994"/>
      <c r="AO676" s="1235">
        <v>0.15</v>
      </c>
      <c r="AP676" s="1062">
        <v>5</v>
      </c>
    </row>
    <row r="677" spans="1:54" s="937" customFormat="1" ht="12.75" customHeight="1">
      <c r="A677" s="921"/>
      <c r="B677" s="51"/>
      <c r="C677" s="1236"/>
      <c r="D677" s="1237"/>
      <c r="E677" s="1168" t="s">
        <v>1794</v>
      </c>
      <c r="F677" s="3210" t="s">
        <v>1795</v>
      </c>
      <c r="G677" s="3210"/>
      <c r="H677" s="3210"/>
      <c r="I677" s="3210"/>
      <c r="J677" s="3210"/>
      <c r="K677" s="3210"/>
      <c r="L677" s="3210"/>
      <c r="M677" s="3210"/>
      <c r="N677" s="3210"/>
      <c r="O677" s="3210"/>
      <c r="P677" s="3210"/>
      <c r="Q677" s="3210"/>
      <c r="R677" s="3210"/>
      <c r="S677" s="3210"/>
      <c r="T677" s="3210"/>
      <c r="U677" s="3210"/>
      <c r="V677" s="3210"/>
      <c r="W677" s="3210"/>
      <c r="X677" s="3210"/>
      <c r="Y677" s="3210"/>
      <c r="Z677" s="3210"/>
      <c r="AA677" s="3210"/>
      <c r="AB677" s="3210"/>
      <c r="AC677" s="3210"/>
      <c r="AD677" s="3210"/>
      <c r="AE677" s="3210"/>
      <c r="AF677" s="3210"/>
      <c r="AG677" s="1202"/>
      <c r="AH677" s="1167"/>
      <c r="AI677" s="1167"/>
      <c r="AJ677" s="1167"/>
      <c r="AK677" s="1167"/>
      <c r="AL677" s="1203"/>
      <c r="AM677" s="1128"/>
      <c r="AN677" s="994"/>
    </row>
    <row r="678" spans="1:54" s="937" customFormat="1" ht="12.75" customHeight="1">
      <c r="A678" s="921"/>
      <c r="B678" s="51"/>
      <c r="C678" s="1186"/>
      <c r="D678" s="112"/>
      <c r="E678" s="1140"/>
      <c r="F678" s="3211"/>
      <c r="G678" s="3211"/>
      <c r="H678" s="3211"/>
      <c r="I678" s="3211"/>
      <c r="J678" s="3211"/>
      <c r="K678" s="3211"/>
      <c r="L678" s="3211"/>
      <c r="M678" s="3211"/>
      <c r="N678" s="3211"/>
      <c r="O678" s="3211"/>
      <c r="P678" s="3211"/>
      <c r="Q678" s="3211"/>
      <c r="R678" s="3211"/>
      <c r="S678" s="3211"/>
      <c r="T678" s="3211"/>
      <c r="U678" s="3211"/>
      <c r="V678" s="3211"/>
      <c r="W678" s="3211"/>
      <c r="X678" s="3211"/>
      <c r="Y678" s="3211"/>
      <c r="Z678" s="3211"/>
      <c r="AA678" s="3211"/>
      <c r="AB678" s="3211"/>
      <c r="AC678" s="3211"/>
      <c r="AD678" s="3211"/>
      <c r="AE678" s="3211"/>
      <c r="AF678" s="3211"/>
      <c r="AG678" s="1019"/>
      <c r="AH678" s="1019"/>
      <c r="AI678" s="1019"/>
      <c r="AJ678" s="1019"/>
      <c r="AK678" s="1019"/>
      <c r="AL678" s="1187"/>
      <c r="AM678" s="1128"/>
      <c r="AN678" s="994"/>
    </row>
    <row r="679" spans="1:54" s="937" customFormat="1" ht="12.75" customHeight="1">
      <c r="A679" s="921"/>
      <c r="B679" s="51"/>
      <c r="C679" s="1195"/>
      <c r="D679" s="1019"/>
      <c r="E679" s="1019"/>
      <c r="F679" s="3211"/>
      <c r="G679" s="3211"/>
      <c r="H679" s="3211"/>
      <c r="I679" s="3211"/>
      <c r="J679" s="3211"/>
      <c r="K679" s="3211"/>
      <c r="L679" s="3211"/>
      <c r="M679" s="3211"/>
      <c r="N679" s="3211"/>
      <c r="O679" s="3211"/>
      <c r="P679" s="3211"/>
      <c r="Q679" s="3211"/>
      <c r="R679" s="3211"/>
      <c r="S679" s="3211"/>
      <c r="T679" s="3211"/>
      <c r="U679" s="3211"/>
      <c r="V679" s="3211"/>
      <c r="W679" s="3211"/>
      <c r="X679" s="3211"/>
      <c r="Y679" s="3211"/>
      <c r="Z679" s="3211"/>
      <c r="AA679" s="3211"/>
      <c r="AB679" s="3211"/>
      <c r="AC679" s="3211"/>
      <c r="AD679" s="3211"/>
      <c r="AE679" s="3211"/>
      <c r="AF679" s="3211"/>
      <c r="AG679" s="1019"/>
      <c r="AH679" s="1019"/>
      <c r="AI679" s="1019"/>
      <c r="AJ679" s="1019"/>
      <c r="AK679" s="1019"/>
      <c r="AL679" s="1187"/>
      <c r="AM679" s="1128"/>
      <c r="AN679" s="994"/>
    </row>
    <row r="680" spans="1:54" s="937" customFormat="1" ht="12.75" customHeight="1">
      <c r="A680" s="921"/>
      <c r="B680" s="51"/>
      <c r="C680" s="1195"/>
      <c r="D680" s="1019"/>
      <c r="E680" s="1019"/>
      <c r="F680" s="3211"/>
      <c r="G680" s="3211"/>
      <c r="H680" s="3211"/>
      <c r="I680" s="3211"/>
      <c r="J680" s="3211"/>
      <c r="K680" s="3211"/>
      <c r="L680" s="3211"/>
      <c r="M680" s="3211"/>
      <c r="N680" s="3211"/>
      <c r="O680" s="3211"/>
      <c r="P680" s="3211"/>
      <c r="Q680" s="3211"/>
      <c r="R680" s="3211"/>
      <c r="S680" s="3211"/>
      <c r="T680" s="3211"/>
      <c r="U680" s="3211"/>
      <c r="V680" s="3211"/>
      <c r="W680" s="3211"/>
      <c r="X680" s="3211"/>
      <c r="Y680" s="3211"/>
      <c r="Z680" s="3211"/>
      <c r="AA680" s="3211"/>
      <c r="AB680" s="3211"/>
      <c r="AC680" s="3211"/>
      <c r="AD680" s="3211"/>
      <c r="AE680" s="3211"/>
      <c r="AF680" s="3211"/>
      <c r="AG680" s="1019"/>
      <c r="AH680" s="1019"/>
      <c r="AI680" s="1019"/>
      <c r="AJ680" s="1019"/>
      <c r="AK680" s="1019"/>
      <c r="AL680" s="1187"/>
      <c r="AM680" s="1128"/>
      <c r="AN680" s="994"/>
    </row>
    <row r="681" spans="1:54" s="937" customFormat="1" ht="12.75" customHeight="1">
      <c r="A681" s="921"/>
      <c r="B681" s="51"/>
      <c r="C681" s="3113" t="s">
        <v>626</v>
      </c>
      <c r="D681" s="3114"/>
      <c r="E681" s="1172"/>
      <c r="F681" s="1208" t="s">
        <v>1766</v>
      </c>
      <c r="G681" s="1209"/>
      <c r="H681" s="1209"/>
      <c r="I681" s="1209"/>
      <c r="J681" s="1209"/>
      <c r="K681" s="1209"/>
      <c r="L681" s="1209"/>
      <c r="M681" s="1209"/>
      <c r="N681" s="1209"/>
      <c r="O681" s="1209"/>
      <c r="P681" s="1209"/>
      <c r="Q681" s="1209"/>
      <c r="R681" s="1209"/>
      <c r="S681" s="1209"/>
      <c r="T681" s="1209"/>
      <c r="U681" s="1209"/>
      <c r="V681" s="1209"/>
      <c r="W681" s="1209"/>
      <c r="X681" s="1209"/>
      <c r="Y681" s="1209"/>
      <c r="Z681" s="1209"/>
      <c r="AA681" s="1209"/>
      <c r="AB681" s="1209"/>
      <c r="AC681" s="1209"/>
      <c r="AD681" s="1209"/>
      <c r="AE681" s="1019"/>
      <c r="AF681" s="3115" t="s">
        <v>1749</v>
      </c>
      <c r="AG681" s="3115"/>
      <c r="AH681" s="3115"/>
      <c r="AI681" s="3115"/>
      <c r="AJ681" s="3115"/>
      <c r="AK681" s="3115"/>
      <c r="AL681" s="3116"/>
      <c r="AM681" s="1128"/>
      <c r="AN681" s="994"/>
    </row>
    <row r="682" spans="1:54" s="937" customFormat="1" ht="12.75" customHeight="1">
      <c r="A682" s="921"/>
      <c r="B682" s="51"/>
      <c r="C682" s="1196"/>
      <c r="D682" s="1188"/>
      <c r="E682" s="1189"/>
      <c r="F682" s="1182"/>
      <c r="G682" s="1182"/>
      <c r="H682" s="1182"/>
      <c r="I682" s="1182"/>
      <c r="J682" s="1182"/>
      <c r="K682" s="1182"/>
      <c r="L682" s="1182"/>
      <c r="M682" s="1182"/>
      <c r="N682" s="1182"/>
      <c r="O682" s="1182"/>
      <c r="P682" s="1182"/>
      <c r="Q682" s="1182"/>
      <c r="R682" s="1182"/>
      <c r="S682" s="1182"/>
      <c r="T682" s="1182"/>
      <c r="U682" s="1182"/>
      <c r="V682" s="1182"/>
      <c r="W682" s="1182"/>
      <c r="X682" s="1182"/>
      <c r="Y682" s="1182"/>
      <c r="Z682" s="1182"/>
      <c r="AA682" s="1182"/>
      <c r="AB682" s="1182"/>
      <c r="AC682" s="1182"/>
      <c r="AD682" s="1182"/>
      <c r="AE682" s="1182"/>
      <c r="AF682" s="1182"/>
      <c r="AG682" s="1182"/>
      <c r="AH682" s="1182"/>
      <c r="AI682" s="1182"/>
      <c r="AJ682" s="1182"/>
      <c r="AK682" s="1182"/>
      <c r="AL682" s="1198"/>
      <c r="AN682" s="994"/>
    </row>
    <row r="683" spans="1:54" s="937" customFormat="1" ht="12.75" customHeight="1">
      <c r="A683" s="921"/>
      <c r="B683" s="51"/>
      <c r="C683" s="1796"/>
      <c r="D683" s="1250"/>
      <c r="E683" s="1020"/>
      <c r="F683" s="1797"/>
      <c r="G683" s="1063"/>
      <c r="H683" s="1063"/>
      <c r="I683" s="1063"/>
      <c r="J683" s="1063"/>
      <c r="K683" s="1063"/>
      <c r="L683" s="1063"/>
      <c r="M683" s="1063"/>
      <c r="N683" s="1063"/>
      <c r="O683" s="1063"/>
      <c r="P683" s="1063"/>
      <c r="Q683" s="1063"/>
      <c r="R683" s="1063"/>
      <c r="S683" s="1063"/>
      <c r="T683" s="1063"/>
      <c r="U683" s="1063"/>
      <c r="V683" s="1063"/>
      <c r="W683" s="1063"/>
      <c r="X683" s="1063"/>
      <c r="Y683" s="1063"/>
      <c r="Z683" s="1063"/>
      <c r="AA683" s="1063"/>
      <c r="AB683" s="1063"/>
      <c r="AC683" s="1063"/>
      <c r="AD683" s="1063"/>
      <c r="AE683" s="1020"/>
      <c r="AF683" s="1025"/>
      <c r="AG683" s="1025"/>
      <c r="AH683" s="1025"/>
      <c r="AI683" s="1025"/>
      <c r="AJ683" s="1025"/>
      <c r="AK683" s="1025"/>
      <c r="AL683" s="1025"/>
      <c r="AN683" s="994"/>
    </row>
    <row r="684" spans="1:54" s="937" customFormat="1" ht="12.75" customHeight="1">
      <c r="A684" s="1002"/>
      <c r="B684" s="1406" t="s">
        <v>1796</v>
      </c>
      <c r="C684" s="996"/>
      <c r="D684" s="1118"/>
      <c r="E684" s="1003"/>
      <c r="F684" s="1003"/>
      <c r="G684" s="1003"/>
      <c r="H684" s="1003"/>
      <c r="I684" s="1003"/>
      <c r="J684" s="1003"/>
      <c r="K684" s="1003"/>
      <c r="L684" s="1003"/>
      <c r="M684" s="1003"/>
      <c r="N684" s="1003"/>
      <c r="O684" s="1003"/>
      <c r="P684" s="1003"/>
      <c r="Q684" s="1003"/>
      <c r="R684" s="1003"/>
      <c r="S684" s="1003"/>
      <c r="T684" s="1003"/>
      <c r="U684" s="1003"/>
      <c r="V684" s="1003"/>
      <c r="W684" s="1003"/>
      <c r="X684" s="1003"/>
      <c r="Y684" s="1003"/>
      <c r="Z684" s="1003"/>
      <c r="AA684" s="1003"/>
      <c r="AB684" s="1003"/>
      <c r="AC684" s="1003"/>
      <c r="AD684" s="1003"/>
      <c r="AE684" s="1012"/>
      <c r="AF684" s="1012"/>
      <c r="AG684" s="1012"/>
      <c r="AH684" s="1012"/>
      <c r="AI684" s="953"/>
      <c r="AJ684" s="953" t="s">
        <v>1797</v>
      </c>
      <c r="AK684" s="3100">
        <f>IF(Application!D213="N/A",AS573,AS575)</f>
        <v>10</v>
      </c>
      <c r="AL684" s="3101"/>
      <c r="AM684" s="3102"/>
      <c r="AN684" s="994"/>
    </row>
    <row r="685" spans="1:54" s="937" customFormat="1" ht="12.75" customHeight="1" thickBot="1">
      <c r="A685" s="1238"/>
      <c r="B685" s="1238"/>
      <c r="C685" s="1238"/>
      <c r="D685" s="1238"/>
      <c r="E685" s="1238"/>
      <c r="F685" s="1238"/>
      <c r="G685" s="1238"/>
      <c r="H685" s="1238"/>
      <c r="I685" s="1238"/>
      <c r="J685" s="1238"/>
      <c r="K685" s="1238"/>
      <c r="L685" s="1238"/>
      <c r="M685" s="1238"/>
      <c r="N685" s="1238"/>
      <c r="O685" s="1238"/>
      <c r="P685" s="1238"/>
      <c r="Q685" s="1238"/>
      <c r="R685" s="1238"/>
      <c r="S685" s="1238"/>
      <c r="T685" s="1238"/>
      <c r="U685" s="1238"/>
      <c r="V685" s="1238"/>
      <c r="W685" s="1238"/>
      <c r="X685" s="1238"/>
      <c r="Y685" s="1238"/>
      <c r="Z685" s="1238"/>
      <c r="AA685" s="1238"/>
      <c r="AB685" s="1238"/>
      <c r="AC685" s="1238"/>
      <c r="AD685" s="1238"/>
      <c r="AE685" s="1238"/>
      <c r="AF685" s="1238"/>
      <c r="AG685" s="1238"/>
      <c r="AH685" s="1238"/>
      <c r="AI685" s="1238"/>
      <c r="AJ685" s="1238"/>
      <c r="AK685" s="1238"/>
      <c r="AL685" s="1238"/>
      <c r="AM685" s="1239"/>
      <c r="AN685" s="994"/>
    </row>
    <row r="686" spans="1:54" s="937" customFormat="1" ht="12.75" hidden="1" customHeight="1" thickTop="1">
      <c r="A686" s="124"/>
      <c r="B686" s="959"/>
      <c r="C686" s="960"/>
      <c r="D686" s="960"/>
      <c r="E686" s="960"/>
      <c r="F686" s="960"/>
      <c r="G686" s="960"/>
      <c r="H686" s="960"/>
      <c r="I686" s="1777"/>
      <c r="J686" s="1777"/>
      <c r="K686" s="1777"/>
      <c r="L686" s="1777"/>
      <c r="M686" s="1777"/>
      <c r="N686" s="1777"/>
      <c r="O686" s="1777"/>
      <c r="P686" s="1777"/>
      <c r="Q686" s="1777"/>
      <c r="R686" s="958"/>
      <c r="S686" s="926"/>
      <c r="T686" s="926"/>
      <c r="U686" s="926"/>
      <c r="V686" s="926"/>
      <c r="W686" s="926"/>
      <c r="X686" s="926"/>
      <c r="Y686" s="926"/>
      <c r="Z686" s="926"/>
      <c r="AA686" s="926"/>
      <c r="AB686" s="926"/>
      <c r="AC686" s="926"/>
      <c r="AD686" s="926"/>
      <c r="AE686" s="926"/>
      <c r="AF686" s="958"/>
      <c r="AG686" s="926"/>
      <c r="AH686" s="926"/>
      <c r="AI686" s="926"/>
      <c r="AJ686" s="926"/>
      <c r="AM686" s="51"/>
      <c r="AN686" s="994"/>
      <c r="AO686" s="937" t="s">
        <v>626</v>
      </c>
      <c r="AP686" s="1019">
        <v>0</v>
      </c>
    </row>
    <row r="687" spans="1:54" s="937" customFormat="1" ht="12.75" hidden="1" customHeight="1">
      <c r="A687" s="1006" t="s">
        <v>1798</v>
      </c>
      <c r="B687" s="1020"/>
      <c r="C687" s="1006"/>
      <c r="D687" s="1020"/>
      <c r="E687" s="993"/>
      <c r="F687" s="1020"/>
      <c r="G687" s="1020"/>
      <c r="H687" s="1020"/>
      <c r="I687" s="1020"/>
      <c r="J687" s="1020"/>
      <c r="K687" s="1020"/>
      <c r="L687" s="1020"/>
      <c r="M687" s="1020"/>
      <c r="N687" s="1020"/>
      <c r="O687" s="1020"/>
      <c r="P687" s="1020"/>
      <c r="Q687" s="1020"/>
      <c r="R687" s="1020"/>
      <c r="S687" s="1020"/>
      <c r="T687" s="1020"/>
      <c r="U687" s="1020"/>
      <c r="V687" s="1020"/>
      <c r="W687" s="1020"/>
      <c r="X687" s="1020"/>
      <c r="Y687" s="1020"/>
      <c r="Z687" s="1020"/>
      <c r="AA687" s="1020"/>
      <c r="AB687" s="1020"/>
      <c r="AE687" s="3103" t="s">
        <v>1799</v>
      </c>
      <c r="AF687" s="3103"/>
      <c r="AG687" s="3103"/>
      <c r="AH687" s="3103"/>
      <c r="AI687" s="3103"/>
      <c r="AJ687" s="3103"/>
      <c r="AK687" s="3103"/>
      <c r="AL687" s="1773"/>
      <c r="AM687" s="1020"/>
      <c r="AN687" s="994"/>
      <c r="AO687" s="937" t="s">
        <v>1777</v>
      </c>
      <c r="AP687" s="937">
        <v>5</v>
      </c>
      <c r="AQ687" s="1019"/>
      <c r="AR687" s="1019"/>
      <c r="AS687" s="1019"/>
      <c r="AT687" s="1019"/>
      <c r="AU687" s="1019"/>
      <c r="AV687" s="1019"/>
      <c r="AW687" s="1019"/>
    </row>
    <row r="688" spans="1:54" s="937" customFormat="1" ht="12.75" hidden="1" customHeight="1">
      <c r="A688" s="1006"/>
      <c r="B688" s="1000" t="s">
        <v>1800</v>
      </c>
      <c r="C688" s="1006"/>
      <c r="D688" s="1020"/>
      <c r="E688" s="993"/>
      <c r="F688" s="1020"/>
      <c r="G688" s="1020"/>
      <c r="H688" s="1020"/>
      <c r="I688" s="1020"/>
      <c r="J688" s="1020"/>
      <c r="K688" s="1020"/>
      <c r="L688" s="1020"/>
      <c r="M688" s="1020"/>
      <c r="N688" s="1020"/>
      <c r="O688" s="1020"/>
      <c r="P688" s="1020"/>
      <c r="Q688" s="1020"/>
      <c r="R688" s="1020"/>
      <c r="S688" s="1020"/>
      <c r="T688" s="1020"/>
      <c r="U688" s="1020"/>
      <c r="V688" s="1020"/>
      <c r="W688" s="1020"/>
      <c r="X688" s="1020"/>
      <c r="Y688" s="1020"/>
      <c r="Z688" s="1020"/>
      <c r="AA688" s="1020"/>
      <c r="AB688" s="1020"/>
      <c r="AE688" s="1773"/>
      <c r="AF688" s="1773"/>
      <c r="AG688" s="1773"/>
      <c r="AH688" s="1773"/>
      <c r="AI688" s="1773"/>
      <c r="AJ688" s="1773"/>
      <c r="AK688" s="1773"/>
      <c r="AL688" s="1773"/>
      <c r="AM688" s="1020"/>
      <c r="AN688" s="994"/>
      <c r="AO688" s="937" t="s">
        <v>1801</v>
      </c>
      <c r="AP688" s="937">
        <v>5</v>
      </c>
      <c r="AQ688" s="1019"/>
      <c r="AR688" s="1019"/>
      <c r="AS688" s="1019"/>
      <c r="AT688" s="1019"/>
      <c r="AU688" s="1019"/>
      <c r="AV688" s="1019"/>
      <c r="AW688" s="1019"/>
    </row>
    <row r="689" spans="1:50" s="937" customFormat="1" ht="12.75" hidden="1" customHeight="1">
      <c r="A689" s="1006"/>
      <c r="B689" s="980" t="s">
        <v>1802</v>
      </c>
      <c r="C689" s="1006"/>
      <c r="D689" s="1020"/>
      <c r="E689" s="993"/>
      <c r="F689" s="1020"/>
      <c r="G689" s="1020"/>
      <c r="H689" s="1020"/>
      <c r="I689" s="1020"/>
      <c r="J689" s="1020"/>
      <c r="K689" s="1020"/>
      <c r="L689" s="1020"/>
      <c r="M689" s="1020"/>
      <c r="N689" s="1020"/>
      <c r="O689" s="1020"/>
      <c r="P689" s="1020"/>
      <c r="Q689" s="1020"/>
      <c r="R689" s="1020"/>
      <c r="S689" s="1020"/>
      <c r="T689" s="1020"/>
      <c r="U689" s="1020"/>
      <c r="V689" s="1020"/>
      <c r="W689" s="1020"/>
      <c r="X689" s="1020"/>
      <c r="Y689" s="1020"/>
      <c r="Z689" s="1020"/>
      <c r="AA689" s="1020"/>
      <c r="AB689" s="1020"/>
      <c r="AE689" s="1773"/>
      <c r="AF689" s="1773"/>
      <c r="AG689" s="1773"/>
      <c r="AH689" s="1773"/>
      <c r="AI689" s="1773"/>
      <c r="AJ689" s="1773"/>
      <c r="AK689" s="1773"/>
      <c r="AL689" s="1773"/>
      <c r="AM689" s="1020"/>
      <c r="AN689" s="994"/>
      <c r="AO689" s="937" t="s">
        <v>1779</v>
      </c>
      <c r="AP689" s="937">
        <v>5</v>
      </c>
      <c r="AQ689" s="1173"/>
      <c r="AR689" s="1173"/>
      <c r="AS689" s="1229"/>
      <c r="AW689" s="1229"/>
    </row>
    <row r="690" spans="1:50" s="937" customFormat="1" ht="12.75" hidden="1" customHeight="1">
      <c r="A690" s="1006"/>
      <c r="B690" s="980" t="s">
        <v>1803</v>
      </c>
      <c r="C690" s="1006"/>
      <c r="D690" s="1020"/>
      <c r="E690" s="993"/>
      <c r="F690" s="1020"/>
      <c r="G690" s="1020"/>
      <c r="H690" s="1020"/>
      <c r="I690" s="1020"/>
      <c r="J690" s="1020"/>
      <c r="K690" s="1020"/>
      <c r="L690" s="1020"/>
      <c r="M690" s="1020"/>
      <c r="N690" s="1020"/>
      <c r="O690" s="1020"/>
      <c r="P690" s="1020"/>
      <c r="Q690" s="1020"/>
      <c r="R690" s="1020"/>
      <c r="S690" s="1020"/>
      <c r="T690" s="1020"/>
      <c r="U690" s="1020"/>
      <c r="V690" s="1020"/>
      <c r="W690" s="1020"/>
      <c r="X690" s="1020"/>
      <c r="Y690" s="1020"/>
      <c r="Z690" s="1020"/>
      <c r="AA690" s="1020"/>
      <c r="AB690" s="1020"/>
      <c r="AE690" s="1773"/>
      <c r="AF690" s="1773"/>
      <c r="AG690" s="1773"/>
      <c r="AH690" s="1773"/>
      <c r="AI690" s="1773"/>
      <c r="AJ690" s="1773"/>
      <c r="AK690" s="1773"/>
      <c r="AL690" s="1773"/>
      <c r="AM690" s="1020"/>
      <c r="AN690" s="994"/>
      <c r="AO690" s="937" t="s">
        <v>1781</v>
      </c>
      <c r="AP690" s="937">
        <v>5</v>
      </c>
      <c r="AQ690" s="1173"/>
      <c r="AR690" s="1173"/>
      <c r="AW690" s="1240"/>
    </row>
    <row r="691" spans="1:50" s="937" customFormat="1" ht="12.75" hidden="1" customHeight="1">
      <c r="A691" s="1006"/>
      <c r="B691" s="1020"/>
      <c r="C691" s="1006"/>
      <c r="D691" s="1020"/>
      <c r="E691" s="993"/>
      <c r="F691" s="1020"/>
      <c r="G691" s="1020"/>
      <c r="H691" s="1020"/>
      <c r="I691" s="1020"/>
      <c r="J691" s="1020"/>
      <c r="K691" s="1020"/>
      <c r="L691" s="1020"/>
      <c r="M691" s="1020"/>
      <c r="N691" s="1020"/>
      <c r="O691" s="1020"/>
      <c r="P691" s="1020"/>
      <c r="Q691" s="1020"/>
      <c r="R691" s="1020"/>
      <c r="S691" s="1020"/>
      <c r="T691" s="1020"/>
      <c r="U691" s="1020"/>
      <c r="V691" s="1020"/>
      <c r="W691" s="1020"/>
      <c r="X691" s="1020"/>
      <c r="Y691" s="1020"/>
      <c r="Z691" s="1020"/>
      <c r="AA691" s="1020"/>
      <c r="AB691" s="1020"/>
      <c r="AE691" s="1773"/>
      <c r="AF691" s="1773"/>
      <c r="AG691" s="1773"/>
      <c r="AH691" s="1773"/>
      <c r="AI691" s="1773"/>
      <c r="AJ691" s="1773"/>
      <c r="AK691" s="1773"/>
      <c r="AL691" s="1773"/>
      <c r="AM691" s="1020"/>
      <c r="AN691" s="994"/>
      <c r="AO691" s="937" t="s">
        <v>1782</v>
      </c>
      <c r="AP691" s="937">
        <v>5</v>
      </c>
      <c r="AQ691" s="1173"/>
      <c r="AR691" s="1173"/>
      <c r="AW691" s="1240"/>
    </row>
    <row r="692" spans="1:50" s="937" customFormat="1" ht="12.75" hidden="1" customHeight="1">
      <c r="A692" s="1006"/>
      <c r="B692" s="1020"/>
      <c r="C692" s="1241" t="s">
        <v>1804</v>
      </c>
      <c r="D692" s="1128"/>
      <c r="F692" s="1020"/>
      <c r="G692" s="1020"/>
      <c r="H692" s="1020"/>
      <c r="I692" s="1020"/>
      <c r="J692" s="1020"/>
      <c r="K692" s="1020"/>
      <c r="L692" s="1020"/>
      <c r="M692" s="1020"/>
      <c r="N692" s="1020"/>
      <c r="O692" s="1020"/>
      <c r="P692" s="1020"/>
      <c r="Q692" s="1020"/>
      <c r="R692" s="1020"/>
      <c r="S692" s="1020"/>
      <c r="T692" s="1020"/>
      <c r="U692" s="1020"/>
      <c r="V692" s="1020"/>
      <c r="W692" s="1020"/>
      <c r="X692" s="1020"/>
      <c r="Y692" s="1020"/>
      <c r="Z692" s="1020"/>
      <c r="AA692" s="1020"/>
      <c r="AB692" s="1020"/>
      <c r="AE692" s="1773"/>
      <c r="AF692" s="1773"/>
      <c r="AG692" s="993"/>
      <c r="AH692" s="993"/>
      <c r="AI692" s="993"/>
      <c r="AJ692" s="993"/>
      <c r="AK692" s="993"/>
      <c r="AL692" s="993"/>
      <c r="AM692" s="1020"/>
      <c r="AN692" s="994"/>
      <c r="AO692" s="937" t="s">
        <v>1783</v>
      </c>
      <c r="AP692" s="937">
        <v>5</v>
      </c>
      <c r="AW692" s="1240"/>
    </row>
    <row r="693" spans="1:50" s="937" customFormat="1" ht="12.75" hidden="1" customHeight="1">
      <c r="A693" s="1006"/>
      <c r="C693" s="3189" t="s">
        <v>626</v>
      </c>
      <c r="D693" s="3190"/>
      <c r="E693" s="1242" t="s">
        <v>540</v>
      </c>
      <c r="F693" s="3198" t="s">
        <v>1805</v>
      </c>
      <c r="G693" s="3198"/>
      <c r="H693" s="3198"/>
      <c r="I693" s="3198"/>
      <c r="J693" s="3198"/>
      <c r="K693" s="3198"/>
      <c r="L693" s="3198"/>
      <c r="M693" s="3198"/>
      <c r="N693" s="3198"/>
      <c r="O693" s="3198"/>
      <c r="P693" s="3198"/>
      <c r="Q693" s="3198"/>
      <c r="R693" s="3198"/>
      <c r="S693" s="3198"/>
      <c r="T693" s="3198"/>
      <c r="U693" s="3198"/>
      <c r="V693" s="3198"/>
      <c r="W693" s="3198"/>
      <c r="X693" s="3198"/>
      <c r="Y693" s="3198"/>
      <c r="Z693" s="3198"/>
      <c r="AA693" s="3198"/>
      <c r="AB693" s="3198"/>
      <c r="AC693" s="3198"/>
      <c r="AD693" s="3198"/>
      <c r="AE693" s="3198"/>
      <c r="AF693" s="1167"/>
      <c r="AG693" s="1167"/>
      <c r="AH693" s="1167"/>
      <c r="AI693" s="1167"/>
      <c r="AJ693" s="1167"/>
      <c r="AK693" s="1203"/>
      <c r="AL693" s="1019"/>
      <c r="AN693" s="994"/>
      <c r="AO693" s="937" t="s">
        <v>1806</v>
      </c>
      <c r="AP693" s="937">
        <v>5</v>
      </c>
      <c r="AS693" s="1235"/>
      <c r="AT693" s="1233"/>
      <c r="AW693" s="1240"/>
      <c r="AX693" s="1062"/>
    </row>
    <row r="694" spans="1:50" s="937" customFormat="1" ht="12.75" hidden="1" customHeight="1">
      <c r="A694" s="1054"/>
      <c r="C694" s="1243"/>
      <c r="D694" s="1019"/>
      <c r="E694" s="1244"/>
      <c r="F694" s="3199"/>
      <c r="G694" s="3199"/>
      <c r="H694" s="3199"/>
      <c r="I694" s="3199"/>
      <c r="J694" s="3199"/>
      <c r="K694" s="3199"/>
      <c r="L694" s="3199"/>
      <c r="M694" s="3199"/>
      <c r="N694" s="3199"/>
      <c r="O694" s="3199"/>
      <c r="P694" s="3199"/>
      <c r="Q694" s="3199"/>
      <c r="R694" s="3199"/>
      <c r="S694" s="3199"/>
      <c r="T694" s="3199"/>
      <c r="U694" s="3199"/>
      <c r="V694" s="3199"/>
      <c r="W694" s="3199"/>
      <c r="X694" s="3199"/>
      <c r="Y694" s="3199"/>
      <c r="Z694" s="3199"/>
      <c r="AA694" s="3199"/>
      <c r="AB694" s="3199"/>
      <c r="AC694" s="3199"/>
      <c r="AD694" s="3199"/>
      <c r="AE694" s="3199"/>
      <c r="AF694" s="1019"/>
      <c r="AG694" s="938"/>
      <c r="AH694" s="938"/>
      <c r="AI694" s="938"/>
      <c r="AJ694" s="938"/>
      <c r="AK694" s="1187"/>
      <c r="AL694" s="1019"/>
      <c r="AN694" s="994"/>
      <c r="AO694" s="937" t="s">
        <v>1787</v>
      </c>
      <c r="AP694" s="937">
        <v>1</v>
      </c>
    </row>
    <row r="695" spans="1:50" s="937" customFormat="1" ht="12.75" hidden="1" customHeight="1">
      <c r="A695" s="1054"/>
      <c r="C695" s="1245"/>
      <c r="D695" s="1182"/>
      <c r="E695" s="1246"/>
      <c r="F695" s="3204" t="s">
        <v>626</v>
      </c>
      <c r="G695" s="3204"/>
      <c r="H695" s="3204"/>
      <c r="I695" s="3204"/>
      <c r="J695" s="3204"/>
      <c r="K695" s="3204"/>
      <c r="L695" s="3204"/>
      <c r="M695" s="3204"/>
      <c r="N695" s="3204"/>
      <c r="O695" s="3204"/>
      <c r="P695" s="3204"/>
      <c r="Q695" s="3204"/>
      <c r="R695" s="3204"/>
      <c r="S695" s="3204"/>
      <c r="T695" s="3204"/>
      <c r="U695" s="3204"/>
      <c r="V695" s="3204"/>
      <c r="W695" s="3204"/>
      <c r="X695" s="3204"/>
      <c r="Y695" s="3204"/>
      <c r="Z695" s="3204"/>
      <c r="AA695" s="1247"/>
      <c r="AB695" s="1094"/>
      <c r="AC695" s="1094"/>
      <c r="AD695" s="1182"/>
      <c r="AE695" s="1182"/>
      <c r="AF695" s="1182"/>
      <c r="AG695" s="1248">
        <f>IF($C$693="Yes",(VLOOKUP($F$695,$AO$660:$AP$668,2,FALSE)),0)</f>
        <v>0</v>
      </c>
      <c r="AH695" s="1249" t="s">
        <v>1597</v>
      </c>
      <c r="AI695" s="1248"/>
      <c r="AJ695" s="1248"/>
      <c r="AK695" s="1198"/>
      <c r="AL695" s="1019"/>
      <c r="AN695" s="994"/>
      <c r="AS695" s="1229"/>
      <c r="AW695" s="1229"/>
    </row>
    <row r="696" spans="1:50" s="937" customFormat="1" ht="12.75" hidden="1" customHeight="1">
      <c r="A696" s="1054"/>
      <c r="C696" s="938"/>
      <c r="E696" s="1244"/>
      <c r="F696" s="983"/>
      <c r="G696" s="983"/>
      <c r="H696" s="983"/>
      <c r="I696" s="983"/>
      <c r="J696" s="983"/>
      <c r="K696" s="983"/>
      <c r="L696" s="983"/>
      <c r="M696" s="983"/>
      <c r="N696" s="983"/>
      <c r="O696" s="983"/>
      <c r="P696" s="983"/>
      <c r="Q696" s="983"/>
      <c r="R696" s="983"/>
      <c r="S696" s="983"/>
      <c r="T696" s="983"/>
      <c r="U696" s="983"/>
      <c r="V696" s="983"/>
      <c r="W696" s="983"/>
      <c r="X696" s="983"/>
      <c r="Y696" s="983"/>
      <c r="Z696" s="983"/>
      <c r="AA696" s="1250"/>
      <c r="AB696" s="938"/>
      <c r="AC696" s="938"/>
      <c r="AG696" s="938"/>
      <c r="AH696" s="938"/>
      <c r="AI696" s="938"/>
      <c r="AJ696" s="938"/>
      <c r="AN696" s="994"/>
      <c r="AO696" s="937" t="s">
        <v>626</v>
      </c>
      <c r="AP696" s="1062">
        <v>0</v>
      </c>
    </row>
    <row r="697" spans="1:50" s="937" customFormat="1" ht="12.75" hidden="1" customHeight="1">
      <c r="A697" s="1054"/>
      <c r="C697" s="3205" t="s">
        <v>578</v>
      </c>
      <c r="D697" s="3206"/>
      <c r="E697" s="1242" t="s">
        <v>798</v>
      </c>
      <c r="F697" s="1251" t="s">
        <v>1807</v>
      </c>
      <c r="G697" s="1081"/>
      <c r="H697" s="1081"/>
      <c r="I697" s="1081"/>
      <c r="J697" s="1081"/>
      <c r="K697" s="1081"/>
      <c r="L697" s="1081"/>
      <c r="M697" s="1081"/>
      <c r="N697" s="1081"/>
      <c r="O697" s="1081"/>
      <c r="P697" s="1081"/>
      <c r="Q697" s="1081"/>
      <c r="R697" s="1081"/>
      <c r="S697" s="1081"/>
      <c r="T697" s="1081"/>
      <c r="U697" s="1081"/>
      <c r="V697" s="1081"/>
      <c r="W697" s="1081"/>
      <c r="X697" s="1081"/>
      <c r="Y697" s="1081"/>
      <c r="Z697" s="1081"/>
      <c r="AA697" s="1081"/>
      <c r="AB697" s="1081"/>
      <c r="AC697" s="1081"/>
      <c r="AD697" s="1167"/>
      <c r="AE697" s="1167"/>
      <c r="AF697" s="1167"/>
      <c r="AG697" s="1081"/>
      <c r="AH697" s="1081"/>
      <c r="AI697" s="1081"/>
      <c r="AJ697" s="1081"/>
      <c r="AK697" s="1203"/>
      <c r="AL697" s="1019"/>
      <c r="AN697" s="994"/>
      <c r="AO697" s="1235">
        <v>0.15</v>
      </c>
      <c r="AP697" s="1062">
        <v>3</v>
      </c>
    </row>
    <row r="698" spans="1:50" s="937" customFormat="1" ht="12.75" hidden="1" customHeight="1">
      <c r="A698" s="1054"/>
      <c r="C698" s="1252" t="s">
        <v>1808</v>
      </c>
      <c r="D698" s="1019"/>
      <c r="E698" s="1019"/>
      <c r="F698" s="1253" t="s">
        <v>1809</v>
      </c>
      <c r="G698" s="938"/>
      <c r="H698" s="938"/>
      <c r="I698" s="938"/>
      <c r="J698" s="938"/>
      <c r="K698" s="938"/>
      <c r="L698" s="938"/>
      <c r="M698" s="938"/>
      <c r="N698" s="938"/>
      <c r="O698" s="938"/>
      <c r="P698" s="938"/>
      <c r="Q698" s="938"/>
      <c r="R698" s="938"/>
      <c r="S698" s="938"/>
      <c r="T698" s="938"/>
      <c r="U698" s="938"/>
      <c r="V698" s="938"/>
      <c r="W698" s="938"/>
      <c r="X698" s="938"/>
      <c r="Y698" s="938"/>
      <c r="Z698" s="938"/>
      <c r="AA698" s="938"/>
      <c r="AB698" s="938"/>
      <c r="AC698" s="1773"/>
      <c r="AD698" s="1019"/>
      <c r="AE698" s="1019"/>
      <c r="AF698" s="1019"/>
      <c r="AG698" s="1025"/>
      <c r="AH698" s="1025"/>
      <c r="AI698" s="1025"/>
      <c r="AJ698" s="1025"/>
      <c r="AK698" s="1187"/>
      <c r="AL698" s="1019"/>
      <c r="AN698" s="994"/>
      <c r="AO698" s="1235">
        <v>0.2</v>
      </c>
      <c r="AP698" s="1062">
        <v>5</v>
      </c>
    </row>
    <row r="699" spans="1:50" s="937" customFormat="1" ht="12.75" hidden="1" customHeight="1">
      <c r="A699" s="1054"/>
      <c r="C699" s="1775"/>
      <c r="D699" s="1776"/>
      <c r="E699" s="1254"/>
      <c r="F699" s="1253" t="s">
        <v>1810</v>
      </c>
      <c r="G699" s="1253"/>
      <c r="H699" s="1253"/>
      <c r="I699" s="1253"/>
      <c r="J699" s="1253"/>
      <c r="K699" s="1253"/>
      <c r="L699" s="1253"/>
      <c r="M699" s="1253"/>
      <c r="N699" s="1253"/>
      <c r="O699" s="1253"/>
      <c r="P699" s="1253"/>
      <c r="Q699" s="1253"/>
      <c r="R699" s="1253"/>
      <c r="S699" s="1253"/>
      <c r="T699" s="1253"/>
      <c r="U699" s="1253"/>
      <c r="V699" s="1253"/>
      <c r="W699" s="1253"/>
      <c r="X699" s="1253"/>
      <c r="Y699" s="1253"/>
      <c r="Z699" s="1253"/>
      <c r="AA699" s="1253"/>
      <c r="AB699" s="1253"/>
      <c r="AC699" s="1255"/>
      <c r="AD699" s="1256"/>
      <c r="AE699" s="1256"/>
      <c r="AF699" s="1256"/>
      <c r="AG699" s="1257"/>
      <c r="AH699" s="1025"/>
      <c r="AI699" s="1025"/>
      <c r="AJ699" s="1025"/>
      <c r="AK699" s="1187"/>
      <c r="AL699" s="1019"/>
      <c r="AN699" s="1119"/>
      <c r="AO699" s="1235"/>
      <c r="AP699" s="1233"/>
    </row>
    <row r="700" spans="1:50" s="987" customFormat="1" ht="12.75" hidden="1" customHeight="1">
      <c r="A700" s="1113"/>
      <c r="B700" s="937"/>
      <c r="C700" s="1243"/>
      <c r="D700" s="1019"/>
      <c r="E700" s="1244"/>
      <c r="F700" s="1258" t="s">
        <v>1811</v>
      </c>
      <c r="G700" s="1019"/>
      <c r="H700" s="1019"/>
      <c r="I700" s="1253"/>
      <c r="J700" s="1253"/>
      <c r="K700" s="1253"/>
      <c r="L700" s="1253"/>
      <c r="M700" s="1253"/>
      <c r="N700" s="1253"/>
      <c r="O700" s="1253"/>
      <c r="P700" s="1253"/>
      <c r="Q700" s="1253"/>
      <c r="R700" s="1253"/>
      <c r="S700" s="1253"/>
      <c r="T700" s="1253"/>
      <c r="U700" s="1253"/>
      <c r="V700" s="3108" t="s">
        <v>626</v>
      </c>
      <c r="W700" s="3108"/>
      <c r="X700" s="3108"/>
      <c r="Y700" s="1253"/>
      <c r="Z700" s="1253"/>
      <c r="AA700" s="1253"/>
      <c r="AB700" s="1253"/>
      <c r="AC700" s="1253"/>
      <c r="AD700" s="1256"/>
      <c r="AE700" s="1256"/>
      <c r="AF700" s="1256"/>
      <c r="AG700" s="1025">
        <f>IF(AND($C$697="Yes",$V$702="N/A",$V$707="N/A",$V$711="N/A",$V$713="N/A"),(VLOOKUP(V700,$AR$670:$AS$672,2,FALSE)),0)</f>
        <v>0</v>
      </c>
      <c r="AH700" s="1781" t="s">
        <v>1597</v>
      </c>
      <c r="AI700" s="938"/>
      <c r="AJ700" s="938"/>
      <c r="AK700" s="1187"/>
      <c r="AL700" s="1019"/>
      <c r="AM700" s="937"/>
      <c r="AN700" s="994"/>
    </row>
    <row r="701" spans="1:50" s="987" customFormat="1" ht="12.75" hidden="1" customHeight="1">
      <c r="A701" s="1113"/>
      <c r="B701" s="937"/>
      <c r="C701" s="1243"/>
      <c r="D701" s="1019"/>
      <c r="E701" s="1244"/>
      <c r="F701" s="1258"/>
      <c r="G701" s="1019"/>
      <c r="H701" s="1019"/>
      <c r="I701" s="1253"/>
      <c r="J701" s="1253"/>
      <c r="K701" s="1253"/>
      <c r="L701" s="1253"/>
      <c r="M701" s="1253"/>
      <c r="N701" s="1253"/>
      <c r="O701" s="1253"/>
      <c r="P701" s="1253"/>
      <c r="Q701" s="1253"/>
      <c r="R701" s="1253"/>
      <c r="S701" s="1253"/>
      <c r="T701" s="1253"/>
      <c r="U701" s="1253"/>
      <c r="V701" s="1253"/>
      <c r="W701" s="1253"/>
      <c r="X701" s="1253"/>
      <c r="Y701" s="1253"/>
      <c r="Z701" s="1253"/>
      <c r="AA701" s="1253"/>
      <c r="AB701" s="1253"/>
      <c r="AC701" s="1253"/>
      <c r="AD701" s="1256"/>
      <c r="AE701" s="1256"/>
      <c r="AF701" s="1256"/>
      <c r="AG701" s="1025"/>
      <c r="AH701" s="1781"/>
      <c r="AI701" s="938"/>
      <c r="AJ701" s="938"/>
      <c r="AK701" s="1187"/>
      <c r="AL701" s="1019"/>
      <c r="AM701" s="937"/>
      <c r="AN701" s="994"/>
    </row>
    <row r="702" spans="1:50" s="987" customFormat="1" ht="12.75" hidden="1" customHeight="1">
      <c r="A702" s="1113"/>
      <c r="B702" s="937"/>
      <c r="C702" s="1243"/>
      <c r="D702" s="1019"/>
      <c r="E702" s="1244"/>
      <c r="F702" s="1258" t="s">
        <v>1812</v>
      </c>
      <c r="G702" s="1019"/>
      <c r="H702" s="1019"/>
      <c r="I702" s="1253"/>
      <c r="J702" s="1253"/>
      <c r="K702" s="1253"/>
      <c r="L702" s="1253"/>
      <c r="M702" s="1253"/>
      <c r="N702" s="1253"/>
      <c r="O702" s="1253"/>
      <c r="P702" s="1253"/>
      <c r="Q702" s="1253"/>
      <c r="R702" s="1253"/>
      <c r="S702" s="1253"/>
      <c r="T702" s="1253"/>
      <c r="U702" s="1253"/>
      <c r="V702" s="3108" t="s">
        <v>626</v>
      </c>
      <c r="W702" s="3108"/>
      <c r="X702" s="3108"/>
      <c r="Y702" s="1253"/>
      <c r="Z702" s="1253"/>
      <c r="AA702" s="1253"/>
      <c r="AB702" s="1253"/>
      <c r="AC702" s="1253"/>
      <c r="AD702" s="1256"/>
      <c r="AE702" s="1256"/>
      <c r="AF702" s="1256"/>
      <c r="AG702" s="1025">
        <f>IF(AND($C$697="Yes",$V$700="N/A", $V$707="N/A",$V$711="N/A",$V$713="N/A"),(VLOOKUP(V702,$AO$670:$AP$672,2,FALSE)),0)</f>
        <v>0</v>
      </c>
      <c r="AH702" s="1781" t="s">
        <v>1597</v>
      </c>
      <c r="AI702" s="938"/>
      <c r="AJ702" s="938"/>
      <c r="AK702" s="1187"/>
      <c r="AL702" s="1019"/>
      <c r="AM702" s="937"/>
      <c r="AN702" s="994"/>
    </row>
    <row r="703" spans="1:50" s="937" customFormat="1" ht="12.75" hidden="1" customHeight="1">
      <c r="A703" s="1054"/>
      <c r="C703" s="1243"/>
      <c r="D703" s="1019"/>
      <c r="E703" s="1244"/>
      <c r="F703" s="1210"/>
      <c r="G703" s="1259"/>
      <c r="H703" s="1259"/>
      <c r="I703" s="1259"/>
      <c r="J703" s="1259"/>
      <c r="K703" s="1259"/>
      <c r="L703" s="1259"/>
      <c r="M703" s="1259"/>
      <c r="N703" s="1259"/>
      <c r="O703" s="1259"/>
      <c r="P703" s="1259"/>
      <c r="Q703" s="938"/>
      <c r="R703" s="938"/>
      <c r="S703" s="938"/>
      <c r="T703" s="938"/>
      <c r="U703" s="938"/>
      <c r="V703" s="938"/>
      <c r="W703" s="938"/>
      <c r="X703" s="938"/>
      <c r="Y703" s="938"/>
      <c r="Z703" s="938"/>
      <c r="AA703" s="938"/>
      <c r="AB703" s="938"/>
      <c r="AC703" s="938"/>
      <c r="AD703" s="1019"/>
      <c r="AE703" s="1019"/>
      <c r="AF703" s="1019"/>
      <c r="AG703" s="1210"/>
      <c r="AH703" s="1210"/>
      <c r="AI703" s="1210"/>
      <c r="AJ703" s="1210"/>
      <c r="AK703" s="1187"/>
      <c r="AL703" s="1019"/>
      <c r="AN703" s="994"/>
      <c r="AO703" s="937" t="s">
        <v>626</v>
      </c>
      <c r="AP703" s="937">
        <v>0</v>
      </c>
    </row>
    <row r="704" spans="1:50" s="937" customFormat="1" ht="12.75" hidden="1" customHeight="1">
      <c r="A704" s="1054"/>
      <c r="C704" s="1243"/>
      <c r="D704" s="1019"/>
      <c r="E704" s="1244"/>
      <c r="F704" s="1259" t="s">
        <v>1813</v>
      </c>
      <c r="G704" s="1019"/>
      <c r="H704" s="1019"/>
      <c r="I704" s="1244"/>
      <c r="J704" s="1244"/>
      <c r="K704" s="1244"/>
      <c r="L704" s="1244"/>
      <c r="M704" s="1244"/>
      <c r="N704" s="1244"/>
      <c r="O704" s="1244"/>
      <c r="P704" s="1244"/>
      <c r="Q704" s="938"/>
      <c r="R704" s="938"/>
      <c r="S704" s="938"/>
      <c r="T704" s="938"/>
      <c r="U704" s="938"/>
      <c r="V704" s="938"/>
      <c r="W704" s="938"/>
      <c r="X704" s="938"/>
      <c r="Y704" s="938"/>
      <c r="Z704" s="938"/>
      <c r="AA704" s="938"/>
      <c r="AB704" s="938"/>
      <c r="AC704" s="938"/>
      <c r="AD704" s="1019"/>
      <c r="AE704" s="1019"/>
      <c r="AF704" s="1019"/>
      <c r="AG704" s="1019"/>
      <c r="AH704" s="1019"/>
      <c r="AI704" s="1019"/>
      <c r="AJ704" s="938"/>
      <c r="AK704" s="1187"/>
      <c r="AL704" s="1019"/>
      <c r="AN704" s="994"/>
      <c r="AO704" s="937" t="s">
        <v>1814</v>
      </c>
      <c r="AP704" s="1062">
        <v>2</v>
      </c>
    </row>
    <row r="705" spans="1:81" s="937" customFormat="1" ht="12.75" hidden="1" customHeight="1">
      <c r="A705" s="1054"/>
      <c r="C705" s="1243"/>
      <c r="D705" s="1054"/>
      <c r="E705" s="1054"/>
      <c r="F705" s="1256" t="s">
        <v>1815</v>
      </c>
      <c r="G705" s="1054"/>
      <c r="H705" s="1054"/>
      <c r="I705" s="1054"/>
      <c r="J705" s="1054"/>
      <c r="K705" s="1054"/>
      <c r="L705" s="1054"/>
      <c r="M705" s="1244"/>
      <c r="N705" s="1244"/>
      <c r="O705" s="1244"/>
      <c r="P705" s="1244"/>
      <c r="Q705" s="938"/>
      <c r="R705" s="938"/>
      <c r="S705" s="938"/>
      <c r="T705" s="938"/>
      <c r="U705" s="938"/>
      <c r="V705" s="938"/>
      <c r="W705" s="938"/>
      <c r="X705" s="938"/>
      <c r="Y705" s="938"/>
      <c r="Z705" s="938"/>
      <c r="AA705" s="938"/>
      <c r="AB705" s="938"/>
      <c r="AC705" s="938"/>
      <c r="AD705" s="1019"/>
      <c r="AE705" s="1019"/>
      <c r="AF705" s="1019"/>
      <c r="AG705" s="1025"/>
      <c r="AH705" s="1781"/>
      <c r="AI705" s="938"/>
      <c r="AJ705" s="938"/>
      <c r="AK705" s="1187"/>
      <c r="AL705" s="1019"/>
      <c r="AN705" s="994"/>
      <c r="AO705" s="937" t="s">
        <v>1816</v>
      </c>
      <c r="AP705" s="937">
        <v>2</v>
      </c>
    </row>
    <row r="706" spans="1:81" s="987" customFormat="1" ht="12.75" hidden="1" customHeight="1">
      <c r="A706" s="1054"/>
      <c r="B706" s="937"/>
      <c r="C706" s="1195"/>
      <c r="D706" s="1250"/>
      <c r="E706" s="1250"/>
      <c r="F706" s="1256" t="s">
        <v>1817</v>
      </c>
      <c r="G706" s="1054"/>
      <c r="H706" s="1054"/>
      <c r="I706" s="1054"/>
      <c r="J706" s="1054"/>
      <c r="K706" s="1054"/>
      <c r="L706" s="1054"/>
      <c r="M706" s="1244"/>
      <c r="N706" s="1244"/>
      <c r="O706" s="1244"/>
      <c r="P706" s="1244"/>
      <c r="Q706" s="938"/>
      <c r="R706" s="938"/>
      <c r="S706" s="938"/>
      <c r="T706" s="938"/>
      <c r="U706" s="938"/>
      <c r="V706" s="938"/>
      <c r="W706" s="938"/>
      <c r="X706" s="938"/>
      <c r="Y706" s="938"/>
      <c r="Z706" s="938"/>
      <c r="AA706" s="938"/>
      <c r="AB706" s="938"/>
      <c r="AC706" s="938"/>
      <c r="AD706" s="1019"/>
      <c r="AE706" s="1019"/>
      <c r="AF706" s="1019"/>
      <c r="AG706" s="1025"/>
      <c r="AH706" s="1781"/>
      <c r="AI706" s="938"/>
      <c r="AJ706" s="938"/>
      <c r="AK706" s="1187"/>
      <c r="AL706" s="1019"/>
      <c r="AM706" s="937"/>
      <c r="AN706" s="1119"/>
      <c r="AO706" s="937" t="s">
        <v>1818</v>
      </c>
      <c r="AP706" s="937">
        <v>2</v>
      </c>
    </row>
    <row r="707" spans="1:81" s="937" customFormat="1" ht="12.75" hidden="1" customHeight="1">
      <c r="A707" s="1054"/>
      <c r="C707" s="1260"/>
      <c r="D707" s="1054"/>
      <c r="E707" s="1054"/>
      <c r="F707" s="1258" t="s">
        <v>1819</v>
      </c>
      <c r="G707" s="1054"/>
      <c r="H707" s="1054"/>
      <c r="I707" s="1054"/>
      <c r="J707" s="1054"/>
      <c r="K707" s="1054"/>
      <c r="L707" s="1054"/>
      <c r="M707" s="1244"/>
      <c r="N707" s="1244"/>
      <c r="O707" s="1244"/>
      <c r="P707" s="1244"/>
      <c r="Q707" s="938"/>
      <c r="R707" s="938"/>
      <c r="S707" s="938"/>
      <c r="T707" s="938"/>
      <c r="U707" s="938"/>
      <c r="V707" s="3108" t="s">
        <v>626</v>
      </c>
      <c r="W707" s="3108"/>
      <c r="X707" s="3108"/>
      <c r="Y707" s="938"/>
      <c r="Z707" s="938"/>
      <c r="AA707" s="938"/>
      <c r="AB707" s="938"/>
      <c r="AC707" s="938"/>
      <c r="AD707" s="1019"/>
      <c r="AE707" s="1019"/>
      <c r="AF707" s="1019"/>
      <c r="AG707" s="1025">
        <f>IF(AND($C$697="Yes",$V$700="N/A",$V$702="N/A", $V$711="N/A",$V$713="N/A"),(VLOOKUP($V$707,$AO$674:$AP$676,2,FALSE)),0)</f>
        <v>0</v>
      </c>
      <c r="AH707" s="1781" t="s">
        <v>1597</v>
      </c>
      <c r="AI707" s="938"/>
      <c r="AJ707" s="938"/>
      <c r="AK707" s="1187"/>
      <c r="AL707" s="1019"/>
      <c r="AN707" s="920"/>
    </row>
    <row r="708" spans="1:81" s="937" customFormat="1" ht="12.75" hidden="1" customHeight="1">
      <c r="A708" s="1054"/>
      <c r="C708" s="1243"/>
      <c r="D708" s="1054"/>
      <c r="E708" s="1054"/>
      <c r="F708" s="1019"/>
      <c r="G708" s="1019"/>
      <c r="H708" s="1019"/>
      <c r="I708" s="1054"/>
      <c r="J708" s="1054"/>
      <c r="K708" s="1054"/>
      <c r="L708" s="1054"/>
      <c r="M708" s="1244"/>
      <c r="N708" s="1244"/>
      <c r="O708" s="1244"/>
      <c r="P708" s="1244"/>
      <c r="Q708" s="938"/>
      <c r="R708" s="938"/>
      <c r="S708" s="938"/>
      <c r="T708" s="938"/>
      <c r="U708" s="938"/>
      <c r="V708" s="938"/>
      <c r="W708" s="938"/>
      <c r="X708" s="938"/>
      <c r="Y708" s="938"/>
      <c r="Z708" s="938"/>
      <c r="AA708" s="938"/>
      <c r="AB708" s="938"/>
      <c r="AC708" s="938"/>
      <c r="AD708" s="1019"/>
      <c r="AE708" s="1019"/>
      <c r="AF708" s="1019"/>
      <c r="AG708" s="1019"/>
      <c r="AH708" s="1019"/>
      <c r="AI708" s="1019"/>
      <c r="AJ708" s="938"/>
      <c r="AK708" s="1187"/>
      <c r="AL708" s="1019"/>
      <c r="AN708" s="1261"/>
    </row>
    <row r="709" spans="1:81" s="987" customFormat="1" ht="12.75" hidden="1" customHeight="1">
      <c r="A709" s="1054"/>
      <c r="B709" s="1020"/>
      <c r="C709" s="1262" t="s">
        <v>1820</v>
      </c>
      <c r="D709" s="1263"/>
      <c r="E709" s="1263"/>
      <c r="F709" s="1264" t="s">
        <v>1821</v>
      </c>
      <c r="G709" s="1167"/>
      <c r="H709" s="1167"/>
      <c r="I709" s="1263"/>
      <c r="J709" s="1263"/>
      <c r="K709" s="1263"/>
      <c r="L709" s="1263"/>
      <c r="M709" s="1263"/>
      <c r="N709" s="1263"/>
      <c r="O709" s="1263"/>
      <c r="P709" s="1263"/>
      <c r="Q709" s="1263"/>
      <c r="R709" s="1263"/>
      <c r="S709" s="1263"/>
      <c r="T709" s="1263"/>
      <c r="U709" s="1263"/>
      <c r="V709" s="1263"/>
      <c r="W709" s="1263"/>
      <c r="X709" s="1263"/>
      <c r="Y709" s="1263"/>
      <c r="Z709" s="1263"/>
      <c r="AA709" s="1263"/>
      <c r="AB709" s="1263"/>
      <c r="AC709" s="1263"/>
      <c r="AD709" s="1167"/>
      <c r="AE709" s="1167"/>
      <c r="AF709" s="1167"/>
      <c r="AG709" s="1167"/>
      <c r="AH709" s="1167"/>
      <c r="AI709" s="1167"/>
      <c r="AJ709" s="1263"/>
      <c r="AK709" s="1203"/>
      <c r="AL709" s="1019"/>
      <c r="AM709" s="937"/>
      <c r="AN709" s="981"/>
      <c r="AO709" s="937" t="s">
        <v>626</v>
      </c>
      <c r="AP709" s="937">
        <v>0</v>
      </c>
      <c r="AQ709" s="1207"/>
    </row>
    <row r="710" spans="1:81" s="987" customFormat="1" ht="12.75" hidden="1" customHeight="1">
      <c r="A710" s="1054"/>
      <c r="B710" s="1020"/>
      <c r="C710" s="1265"/>
      <c r="D710" s="3192"/>
      <c r="E710" s="3192"/>
      <c r="F710" s="1253" t="s">
        <v>1822</v>
      </c>
      <c r="G710" s="1210"/>
      <c r="H710" s="1210"/>
      <c r="I710" s="1019"/>
      <c r="J710" s="1019"/>
      <c r="K710" s="1019"/>
      <c r="L710" s="1019"/>
      <c r="M710" s="1019"/>
      <c r="N710" s="1019"/>
      <c r="O710" s="1019"/>
      <c r="P710" s="1019"/>
      <c r="Q710" s="1019"/>
      <c r="R710" s="1019"/>
      <c r="S710" s="1019"/>
      <c r="T710" s="1019"/>
      <c r="U710" s="1019"/>
      <c r="V710" s="1210"/>
      <c r="W710" s="1210"/>
      <c r="X710" s="1210"/>
      <c r="Y710" s="1019"/>
      <c r="Z710" s="1019"/>
      <c r="AA710" s="1019"/>
      <c r="AB710" s="1019"/>
      <c r="AC710" s="1019"/>
      <c r="AD710" s="1019"/>
      <c r="AE710" s="1019"/>
      <c r="AF710" s="1019"/>
      <c r="AG710" s="1210"/>
      <c r="AH710" s="1210"/>
      <c r="AI710" s="1210"/>
      <c r="AJ710" s="1210"/>
      <c r="AK710" s="1187"/>
      <c r="AL710" s="1019"/>
      <c r="AM710" s="937"/>
      <c r="AN710" s="981"/>
      <c r="AO710" s="937" t="s">
        <v>1823</v>
      </c>
      <c r="AP710" s="1062">
        <v>5</v>
      </c>
      <c r="AQ710" s="926"/>
    </row>
    <row r="711" spans="1:81" s="1128" customFormat="1" ht="12.75" hidden="1" customHeight="1">
      <c r="A711" s="1779"/>
      <c r="B711" s="1020"/>
      <c r="C711" s="1243"/>
      <c r="D711" s="1019"/>
      <c r="E711" s="1019"/>
      <c r="F711" s="1266" t="s">
        <v>1811</v>
      </c>
      <c r="G711" s="1019"/>
      <c r="H711" s="1019"/>
      <c r="I711" s="1019"/>
      <c r="J711" s="1019"/>
      <c r="K711" s="1019"/>
      <c r="L711" s="1019"/>
      <c r="M711" s="1019"/>
      <c r="N711" s="1019"/>
      <c r="O711" s="1019"/>
      <c r="P711" s="1019"/>
      <c r="Q711" s="1019"/>
      <c r="R711" s="1019"/>
      <c r="S711" s="1019"/>
      <c r="T711" s="1019"/>
      <c r="U711" s="1019"/>
      <c r="V711" s="3108" t="s">
        <v>626</v>
      </c>
      <c r="W711" s="3108"/>
      <c r="X711" s="3108"/>
      <c r="Y711" s="1019"/>
      <c r="Z711" s="1019"/>
      <c r="AA711" s="1019"/>
      <c r="AB711" s="1019"/>
      <c r="AC711" s="1019"/>
      <c r="AD711" s="1019"/>
      <c r="AE711" s="1019"/>
      <c r="AF711" s="1019"/>
      <c r="AG711" s="1025">
        <f>IF(AND($C$697="Yes",$V$700="N/A",V702="N/A",$V$707="N/A",$V$713="N/A"),(VLOOKUP($V$711,$AW$670:$AX$673,2,FALSE)),0)</f>
        <v>0</v>
      </c>
      <c r="AH711" s="1781" t="s">
        <v>1597</v>
      </c>
      <c r="AI711" s="938"/>
      <c r="AJ711" s="1019"/>
      <c r="AK711" s="1187"/>
      <c r="AL711" s="1019"/>
      <c r="AM711" s="937"/>
      <c r="AN711" s="1127"/>
      <c r="AO711" s="937" t="s">
        <v>1824</v>
      </c>
      <c r="AP711" s="937">
        <v>5</v>
      </c>
      <c r="AS711" s="937"/>
      <c r="AT711" s="937"/>
      <c r="AU711" s="937"/>
      <c r="AV711" s="937"/>
      <c r="AW711" s="937"/>
      <c r="AX711" s="937"/>
      <c r="AY711" s="937"/>
      <c r="AZ711" s="937"/>
      <c r="BA711" s="937"/>
      <c r="BB711" s="937"/>
      <c r="BO711" s="937"/>
      <c r="BP711" s="937"/>
      <c r="BQ711" s="937"/>
      <c r="BR711" s="937"/>
      <c r="BS711" s="937"/>
      <c r="BT711" s="937"/>
      <c r="BU711" s="937"/>
      <c r="BV711" s="937"/>
      <c r="BW711" s="937"/>
      <c r="BX711" s="937"/>
      <c r="BY711" s="937"/>
      <c r="BZ711" s="937"/>
      <c r="CA711" s="937"/>
      <c r="CB711" s="937"/>
      <c r="CC711" s="937"/>
    </row>
    <row r="712" spans="1:81" s="1128" customFormat="1" ht="12.75" hidden="1" customHeight="1">
      <c r="A712" s="1779"/>
      <c r="B712" s="1020"/>
      <c r="C712" s="1243"/>
      <c r="D712" s="1019"/>
      <c r="E712" s="1019"/>
      <c r="F712" s="958"/>
      <c r="G712" s="958"/>
      <c r="H712" s="958"/>
      <c r="I712" s="1019"/>
      <c r="J712" s="1019"/>
      <c r="K712" s="1019"/>
      <c r="L712" s="1019"/>
      <c r="M712" s="1019"/>
      <c r="N712" s="1019"/>
      <c r="O712" s="1019"/>
      <c r="P712" s="1019"/>
      <c r="Q712" s="1019"/>
      <c r="R712" s="1019"/>
      <c r="S712" s="1019"/>
      <c r="T712" s="1019"/>
      <c r="U712" s="1019"/>
      <c r="V712" s="1019"/>
      <c r="W712" s="1019"/>
      <c r="X712" s="1019"/>
      <c r="Y712" s="1019"/>
      <c r="Z712" s="1019"/>
      <c r="AA712" s="1019"/>
      <c r="AB712" s="1019"/>
      <c r="AC712" s="1019"/>
      <c r="AD712" s="1019"/>
      <c r="AE712" s="1019"/>
      <c r="AF712" s="1019"/>
      <c r="AG712" s="958"/>
      <c r="AH712" s="958"/>
      <c r="AI712" s="958"/>
      <c r="AJ712" s="958"/>
      <c r="AK712" s="1187"/>
      <c r="AL712" s="1019"/>
      <c r="AM712" s="937"/>
      <c r="AN712" s="1127"/>
      <c r="AO712" s="937" t="s">
        <v>1825</v>
      </c>
      <c r="AP712" s="937">
        <v>5</v>
      </c>
      <c r="AS712" s="937"/>
      <c r="AT712" s="937"/>
      <c r="AU712" s="937"/>
      <c r="AV712" s="937"/>
      <c r="AW712" s="937"/>
      <c r="AX712" s="937"/>
      <c r="AY712" s="937"/>
      <c r="AZ712" s="937"/>
      <c r="BA712" s="937"/>
      <c r="BB712" s="937"/>
      <c r="BC712" s="937"/>
      <c r="BD712" s="937"/>
      <c r="BE712" s="937"/>
      <c r="BF712" s="937"/>
      <c r="BG712" s="937"/>
      <c r="BH712" s="937"/>
      <c r="BI712" s="937"/>
      <c r="BJ712" s="937"/>
      <c r="BK712" s="937"/>
      <c r="BL712" s="937"/>
      <c r="BM712" s="937"/>
      <c r="BN712" s="937"/>
      <c r="BO712" s="937"/>
      <c r="BP712" s="937"/>
      <c r="BQ712" s="937"/>
      <c r="BR712" s="937"/>
      <c r="BS712" s="937"/>
      <c r="BT712" s="937"/>
      <c r="BU712" s="937"/>
      <c r="BV712" s="937"/>
      <c r="BW712" s="937"/>
      <c r="BX712" s="937"/>
      <c r="BY712" s="937"/>
      <c r="BZ712" s="937"/>
      <c r="CA712" s="937"/>
      <c r="CB712" s="937"/>
      <c r="CC712" s="937"/>
    </row>
    <row r="713" spans="1:81" s="926" customFormat="1" ht="12.75" hidden="1" customHeight="1">
      <c r="A713" s="1779"/>
      <c r="B713" s="1020"/>
      <c r="C713" s="1245"/>
      <c r="D713" s="1182"/>
      <c r="E713" s="1182"/>
      <c r="F713" s="1258" t="s">
        <v>1812</v>
      </c>
      <c r="G713" s="1267"/>
      <c r="H713" s="1267"/>
      <c r="I713" s="1182"/>
      <c r="J713" s="1182"/>
      <c r="K713" s="1182"/>
      <c r="L713" s="1182"/>
      <c r="M713" s="1182"/>
      <c r="N713" s="1182"/>
      <c r="O713" s="1182"/>
      <c r="P713" s="1182"/>
      <c r="Q713" s="1182"/>
      <c r="R713" s="1182"/>
      <c r="S713" s="1182"/>
      <c r="T713" s="1182"/>
      <c r="U713" s="1182"/>
      <c r="V713" s="3108" t="s">
        <v>626</v>
      </c>
      <c r="W713" s="3108"/>
      <c r="X713" s="3108"/>
      <c r="Y713" s="1182"/>
      <c r="Z713" s="1182"/>
      <c r="AA713" s="1182"/>
      <c r="AB713" s="1182"/>
      <c r="AC713" s="1182"/>
      <c r="AD713" s="1182"/>
      <c r="AE713" s="1182"/>
      <c r="AF713" s="1182"/>
      <c r="AG713" s="1268">
        <f>IF(AND($C$697="Yes",$V$700="N/A",$V$702="N/A",$V$707="N/A",$V$711="N/A"),(VLOOKUP($V$713,$BA$670:$BB$672,2,FALSE)),0)</f>
        <v>0</v>
      </c>
      <c r="AH713" s="1249" t="s">
        <v>1597</v>
      </c>
      <c r="AI713" s="1182"/>
      <c r="AJ713" s="1182"/>
      <c r="AK713" s="1198"/>
      <c r="AL713" s="1019"/>
      <c r="AM713" s="937"/>
      <c r="AN713" s="1269"/>
      <c r="AP713" s="987"/>
      <c r="AQ713" s="987"/>
      <c r="AR713" s="987"/>
      <c r="AS713" s="987"/>
      <c r="AT713" s="987"/>
      <c r="AU713" s="987"/>
      <c r="AV713" s="987"/>
      <c r="AW713" s="987"/>
      <c r="AX713" s="987"/>
      <c r="AY713" s="987"/>
      <c r="AZ713" s="987"/>
      <c r="BA713" s="987"/>
      <c r="BB713" s="987"/>
      <c r="BC713" s="987"/>
      <c r="BE713" s="987"/>
      <c r="BF713" s="987"/>
      <c r="BG713" s="987"/>
      <c r="BH713" s="987"/>
      <c r="BI713" s="987"/>
      <c r="BJ713" s="987"/>
      <c r="BK713" s="987"/>
      <c r="BL713" s="987"/>
      <c r="BM713" s="987"/>
      <c r="BN713" s="987"/>
      <c r="BO713" s="987"/>
      <c r="BP713" s="987"/>
      <c r="BQ713" s="987"/>
      <c r="BR713" s="987"/>
    </row>
    <row r="714" spans="1:81" s="926" customFormat="1" ht="12.75" hidden="1" customHeight="1">
      <c r="A714" s="1779"/>
      <c r="B714" s="1020"/>
      <c r="C714" s="938"/>
      <c r="D714" s="937"/>
      <c r="E714" s="1244"/>
      <c r="F714" s="937"/>
      <c r="G714" s="937"/>
      <c r="H714" s="937"/>
      <c r="I714" s="937"/>
      <c r="J714" s="937"/>
      <c r="K714" s="937"/>
      <c r="L714" s="937"/>
      <c r="M714" s="937"/>
      <c r="N714" s="937"/>
      <c r="O714" s="937"/>
      <c r="P714" s="937"/>
      <c r="Q714" s="937"/>
      <c r="R714" s="937"/>
      <c r="S714" s="937"/>
      <c r="T714" s="937"/>
      <c r="U714" s="937"/>
      <c r="V714" s="937"/>
      <c r="W714" s="937"/>
      <c r="X714" s="937"/>
      <c r="Y714" s="937"/>
      <c r="Z714" s="937"/>
      <c r="AA714" s="937"/>
      <c r="AB714" s="937"/>
      <c r="AC714" s="937"/>
      <c r="AD714" s="937"/>
      <c r="AE714" s="937"/>
      <c r="AF714" s="937"/>
      <c r="AG714" s="937"/>
      <c r="AH714" s="937"/>
      <c r="AI714" s="937"/>
      <c r="AJ714" s="937"/>
      <c r="AK714" s="937"/>
      <c r="AL714" s="937"/>
      <c r="AM714" s="937"/>
      <c r="AN714" s="1269"/>
      <c r="AO714" s="1270"/>
      <c r="AP714" s="1020"/>
      <c r="AQ714" s="1020"/>
      <c r="AR714" s="1020"/>
      <c r="AS714" s="1020"/>
      <c r="AT714" s="1020"/>
      <c r="AU714" s="1271"/>
      <c r="AV714" s="1271"/>
      <c r="AW714" s="1271"/>
      <c r="AX714" s="1271"/>
      <c r="AY714" s="1271"/>
      <c r="AZ714" s="1271"/>
      <c r="BA714" s="1271"/>
      <c r="BB714" s="1059"/>
      <c r="BC714" s="1059"/>
      <c r="BD714" s="980"/>
      <c r="BE714" s="1020"/>
      <c r="BF714" s="1020"/>
      <c r="BG714" s="1020"/>
      <c r="BH714" s="1020"/>
      <c r="BI714" s="1020"/>
      <c r="BJ714" s="1271"/>
      <c r="BK714" s="1271"/>
      <c r="BL714" s="1271"/>
      <c r="BM714" s="1271"/>
      <c r="BN714" s="1271"/>
      <c r="BO714" s="1271"/>
      <c r="BP714" s="1271"/>
      <c r="BQ714" s="1059"/>
      <c r="BR714" s="1020"/>
      <c r="BS714" s="980"/>
      <c r="BT714" s="980"/>
      <c r="BU714" s="980"/>
      <c r="BV714" s="980"/>
      <c r="BW714" s="980"/>
      <c r="BX714" s="980"/>
      <c r="BY714" s="980"/>
      <c r="BZ714" s="980"/>
      <c r="CA714" s="980"/>
      <c r="CB714" s="980"/>
      <c r="CC714" s="980"/>
    </row>
    <row r="715" spans="1:81" s="926" customFormat="1" ht="12.75" hidden="1" customHeight="1">
      <c r="A715" s="1779"/>
      <c r="B715" s="937"/>
      <c r="C715" s="1241" t="s">
        <v>1826</v>
      </c>
      <c r="D715" s="1020"/>
      <c r="E715" s="1244"/>
      <c r="F715" s="938"/>
      <c r="G715" s="938"/>
      <c r="H715" s="938"/>
      <c r="I715" s="938"/>
      <c r="J715" s="938"/>
      <c r="K715" s="938"/>
      <c r="L715" s="938"/>
      <c r="M715" s="938"/>
      <c r="N715" s="938"/>
      <c r="O715" s="938"/>
      <c r="P715" s="938"/>
      <c r="Q715" s="938"/>
      <c r="R715" s="938"/>
      <c r="S715" s="938"/>
      <c r="T715" s="938"/>
      <c r="U715" s="938"/>
      <c r="V715" s="938"/>
      <c r="W715" s="938"/>
      <c r="X715" s="938"/>
      <c r="Y715" s="938"/>
      <c r="Z715" s="938"/>
      <c r="AA715" s="938"/>
      <c r="AB715" s="938"/>
      <c r="AC715" s="938"/>
      <c r="AD715" s="937"/>
      <c r="AE715" s="937"/>
      <c r="AF715" s="937"/>
      <c r="AG715" s="938"/>
      <c r="AH715" s="938"/>
      <c r="AI715" s="938"/>
      <c r="AJ715" s="938"/>
      <c r="AK715" s="937"/>
      <c r="AL715" s="937"/>
      <c r="AM715" s="937"/>
      <c r="AN715" s="1269"/>
      <c r="AO715" s="1270"/>
      <c r="AP715" s="1020"/>
      <c r="AQ715" s="1020"/>
      <c r="AR715" s="1020"/>
      <c r="AS715" s="1020"/>
      <c r="AT715" s="1020"/>
      <c r="AU715" s="1271"/>
      <c r="AV715" s="1271"/>
      <c r="AW715" s="1271"/>
      <c r="AX715" s="1271"/>
      <c r="AY715" s="1271"/>
      <c r="AZ715" s="1271"/>
      <c r="BA715" s="1271"/>
      <c r="BB715" s="1059"/>
      <c r="BC715" s="1059"/>
      <c r="BD715" s="980"/>
      <c r="BE715" s="1020"/>
      <c r="BF715" s="1020"/>
      <c r="BG715" s="1020"/>
      <c r="BH715" s="1020"/>
      <c r="BI715" s="1020"/>
      <c r="BJ715" s="1271"/>
      <c r="BK715" s="1271"/>
      <c r="BL715" s="1271"/>
      <c r="BM715" s="1271"/>
      <c r="BN715" s="1271"/>
      <c r="BO715" s="1271"/>
      <c r="BP715" s="1271"/>
      <c r="BQ715" s="1059"/>
      <c r="BR715" s="1020"/>
      <c r="BS715" s="980"/>
      <c r="BT715" s="980"/>
      <c r="BU715" s="980"/>
      <c r="BV715" s="980"/>
      <c r="BW715" s="980"/>
      <c r="BX715" s="980"/>
      <c r="BY715" s="980"/>
      <c r="BZ715" s="980"/>
      <c r="CA715" s="980"/>
      <c r="CB715" s="980"/>
      <c r="CC715" s="980"/>
    </row>
    <row r="716" spans="1:81" s="1128" customFormat="1" ht="12.75" hidden="1" customHeight="1">
      <c r="A716" s="1779"/>
      <c r="B716" s="937"/>
      <c r="C716" s="3189" t="s">
        <v>626</v>
      </c>
      <c r="D716" s="3190"/>
      <c r="E716" s="1242" t="s">
        <v>540</v>
      </c>
      <c r="F716" s="3198" t="s">
        <v>1805</v>
      </c>
      <c r="G716" s="3198"/>
      <c r="H716" s="3198"/>
      <c r="I716" s="3198"/>
      <c r="J716" s="3198"/>
      <c r="K716" s="3198"/>
      <c r="L716" s="3198"/>
      <c r="M716" s="3198"/>
      <c r="N716" s="3198"/>
      <c r="O716" s="3198"/>
      <c r="P716" s="3198"/>
      <c r="Q716" s="3198"/>
      <c r="R716" s="3198"/>
      <c r="S716" s="3198"/>
      <c r="T716" s="3198"/>
      <c r="U716" s="3198"/>
      <c r="V716" s="3198"/>
      <c r="W716" s="3198"/>
      <c r="X716" s="3198"/>
      <c r="Y716" s="3198"/>
      <c r="Z716" s="3198"/>
      <c r="AA716" s="3198"/>
      <c r="AB716" s="3198"/>
      <c r="AC716" s="3198"/>
      <c r="AD716" s="3198"/>
      <c r="AE716" s="3198"/>
      <c r="AF716" s="1167"/>
      <c r="AG716" s="1201"/>
      <c r="AH716" s="1201"/>
      <c r="AI716" s="1201"/>
      <c r="AJ716" s="1201"/>
      <c r="AK716" s="1203"/>
      <c r="AL716" s="1019"/>
      <c r="AM716" s="937"/>
      <c r="AN716" s="919"/>
      <c r="AO716" s="1099"/>
      <c r="AP716" s="1020"/>
      <c r="AQ716" s="1020"/>
      <c r="AR716" s="1020"/>
      <c r="AS716" s="1020"/>
      <c r="AT716" s="1020"/>
      <c r="AU716" s="1272"/>
      <c r="AV716" s="1272"/>
      <c r="AW716" s="1272"/>
      <c r="AX716" s="1272"/>
      <c r="AY716" s="1272"/>
      <c r="AZ716" s="1272"/>
      <c r="BA716" s="1272"/>
      <c r="BB716" s="1020"/>
      <c r="BC716" s="1020"/>
      <c r="BD716" s="1000"/>
      <c r="BE716" s="1020"/>
      <c r="BF716" s="1020"/>
      <c r="BG716" s="1020"/>
      <c r="BH716" s="1020"/>
      <c r="BI716" s="1020"/>
      <c r="BJ716" s="1272"/>
      <c r="BK716" s="1272"/>
      <c r="BL716" s="1272"/>
      <c r="BM716" s="1272"/>
      <c r="BN716" s="1272"/>
      <c r="BO716" s="1272"/>
      <c r="BP716" s="1272"/>
      <c r="BQ716" s="1020"/>
      <c r="BR716" s="1020"/>
      <c r="BS716" s="1000"/>
      <c r="BT716" s="1000"/>
      <c r="BU716" s="1000"/>
      <c r="BV716" s="1000"/>
      <c r="BW716" s="1000"/>
      <c r="BX716" s="1000"/>
      <c r="BY716" s="1000"/>
      <c r="BZ716" s="1000"/>
      <c r="CA716" s="1000"/>
      <c r="CB716" s="1000"/>
      <c r="CC716" s="1000"/>
    </row>
    <row r="717" spans="1:81" s="1128" customFormat="1" ht="12.75" hidden="1" customHeight="1">
      <c r="A717" s="1779"/>
      <c r="B717" s="937"/>
      <c r="C717" s="1243"/>
      <c r="D717" s="1019"/>
      <c r="E717" s="1244"/>
      <c r="F717" s="3199"/>
      <c r="G717" s="3199"/>
      <c r="H717" s="3199"/>
      <c r="I717" s="3199"/>
      <c r="J717" s="3199"/>
      <c r="K717" s="3199"/>
      <c r="L717" s="3199"/>
      <c r="M717" s="3199"/>
      <c r="N717" s="3199"/>
      <c r="O717" s="3199"/>
      <c r="P717" s="3199"/>
      <c r="Q717" s="3199"/>
      <c r="R717" s="3199"/>
      <c r="S717" s="3199"/>
      <c r="T717" s="3199"/>
      <c r="U717" s="3199"/>
      <c r="V717" s="3199"/>
      <c r="W717" s="3199"/>
      <c r="X717" s="3199"/>
      <c r="Y717" s="3199"/>
      <c r="Z717" s="3199"/>
      <c r="AA717" s="3199"/>
      <c r="AB717" s="3199"/>
      <c r="AC717" s="3199"/>
      <c r="AD717" s="3199"/>
      <c r="AE717" s="3199"/>
      <c r="AF717" s="1019"/>
      <c r="AG717" s="938"/>
      <c r="AH717" s="938"/>
      <c r="AI717" s="938"/>
      <c r="AJ717" s="938"/>
      <c r="AK717" s="1187"/>
      <c r="AL717" s="1019"/>
      <c r="AM717" s="937"/>
      <c r="AN717" s="919"/>
      <c r="AO717" s="1099"/>
      <c r="AP717" s="1273"/>
      <c r="AQ717" s="1273"/>
      <c r="AR717" s="1273"/>
      <c r="AS717" s="1274"/>
      <c r="AT717" s="1020"/>
      <c r="AU717" s="1275"/>
      <c r="AV717" s="1275"/>
      <c r="AW717" s="1275"/>
      <c r="AX717" s="1275"/>
      <c r="AY717" s="1275"/>
      <c r="AZ717" s="1275"/>
      <c r="BA717" s="1275"/>
      <c r="BB717" s="1056"/>
      <c r="BC717" s="1056"/>
      <c r="BD717" s="1000"/>
      <c r="BE717" s="1273"/>
      <c r="BF717" s="1273"/>
      <c r="BG717" s="1273"/>
      <c r="BH717" s="1274"/>
      <c r="BI717" s="1020"/>
      <c r="BJ717" s="1276"/>
      <c r="BK717" s="1275"/>
      <c r="BL717" s="1275"/>
      <c r="BM717" s="1275"/>
      <c r="BN717" s="1275"/>
      <c r="BO717" s="1275"/>
      <c r="BP717" s="1275"/>
      <c r="BQ717" s="1056"/>
      <c r="BR717" s="1020"/>
      <c r="BS717" s="1000"/>
      <c r="BT717" s="1000"/>
      <c r="BU717" s="1000"/>
      <c r="BV717" s="1000"/>
      <c r="BW717" s="1000"/>
      <c r="BX717" s="1000"/>
      <c r="BY717" s="1000"/>
      <c r="BZ717" s="1000"/>
      <c r="CA717" s="1000"/>
      <c r="CB717" s="1000"/>
      <c r="CC717" s="1000"/>
    </row>
    <row r="718" spans="1:81" s="1128" customFormat="1" ht="12.75" hidden="1" customHeight="1">
      <c r="A718" s="1779"/>
      <c r="B718" s="937"/>
      <c r="C718" s="1245"/>
      <c r="D718" s="1182"/>
      <c r="E718" s="1246"/>
      <c r="F718" s="3200" t="s">
        <v>626</v>
      </c>
      <c r="G718" s="3200"/>
      <c r="H718" s="3200"/>
      <c r="I718" s="3200"/>
      <c r="J718" s="3200"/>
      <c r="K718" s="3200"/>
      <c r="L718" s="3200"/>
      <c r="M718" s="3200"/>
      <c r="N718" s="3200"/>
      <c r="O718" s="3200"/>
      <c r="P718" s="3200"/>
      <c r="Q718" s="3200"/>
      <c r="R718" s="3200"/>
      <c r="S718" s="3200"/>
      <c r="T718" s="3200"/>
      <c r="U718" s="3200"/>
      <c r="V718" s="3200"/>
      <c r="W718" s="3200"/>
      <c r="X718" s="3200"/>
      <c r="Y718" s="3200"/>
      <c r="Z718" s="3200"/>
      <c r="AA718" s="1247"/>
      <c r="AB718" s="1094"/>
      <c r="AC718" s="1094"/>
      <c r="AD718" s="1182"/>
      <c r="AE718" s="1182"/>
      <c r="AF718" s="1182"/>
      <c r="AG718" s="1248">
        <f>IF($C$716="Yes",(VLOOKUP($F$718,$AO$686:$AP$694,2,FALSE)),0)</f>
        <v>0</v>
      </c>
      <c r="AH718" s="1249" t="s">
        <v>1597</v>
      </c>
      <c r="AI718" s="1248"/>
      <c r="AJ718" s="1094"/>
      <c r="AK718" s="1198"/>
      <c r="AL718" s="1019"/>
      <c r="AM718" s="937"/>
      <c r="AN718" s="919"/>
      <c r="AO718" s="1099"/>
      <c r="AP718" s="1273"/>
      <c r="AQ718" s="1273"/>
      <c r="AR718" s="1273"/>
      <c r="AS718" s="1274"/>
      <c r="AT718" s="1020"/>
      <c r="AU718" s="1275"/>
      <c r="AV718" s="1275"/>
      <c r="AW718" s="1275"/>
      <c r="AX718" s="1275"/>
      <c r="AY718" s="1275"/>
      <c r="AZ718" s="1275"/>
      <c r="BA718" s="1275"/>
      <c r="BB718" s="1056"/>
      <c r="BC718" s="1056"/>
      <c r="BD718" s="1000"/>
      <c r="BE718" s="1273"/>
      <c r="BF718" s="1273"/>
      <c r="BG718" s="1273"/>
      <c r="BH718" s="1274"/>
      <c r="BI718" s="1020"/>
      <c r="BJ718" s="1276"/>
      <c r="BK718" s="1275"/>
      <c r="BL718" s="1275"/>
      <c r="BM718" s="1275"/>
      <c r="BN718" s="1275"/>
      <c r="BO718" s="1275"/>
      <c r="BP718" s="1275"/>
      <c r="BQ718" s="1056"/>
      <c r="BR718" s="1020"/>
      <c r="BS718" s="1000"/>
      <c r="BT718" s="1000"/>
      <c r="BU718" s="1000"/>
      <c r="BV718" s="1000"/>
      <c r="BW718" s="1000"/>
      <c r="BX718" s="1000"/>
      <c r="BY718" s="1000"/>
      <c r="BZ718" s="1000"/>
      <c r="CA718" s="1000"/>
      <c r="CB718" s="1000"/>
      <c r="CC718" s="1000"/>
    </row>
    <row r="719" spans="1:81" s="1128" customFormat="1" ht="12.75" hidden="1" customHeight="1">
      <c r="A719" s="1779"/>
      <c r="B719" s="937"/>
      <c r="C719" s="1241"/>
      <c r="D719" s="1020"/>
      <c r="E719" s="1244"/>
      <c r="F719" s="938"/>
      <c r="G719" s="938"/>
      <c r="H719" s="938"/>
      <c r="I719" s="938"/>
      <c r="J719" s="938"/>
      <c r="K719" s="938"/>
      <c r="L719" s="938"/>
      <c r="M719" s="938"/>
      <c r="N719" s="938"/>
      <c r="O719" s="938"/>
      <c r="P719" s="938"/>
      <c r="Q719" s="938"/>
      <c r="R719" s="938"/>
      <c r="S719" s="938"/>
      <c r="T719" s="938"/>
      <c r="U719" s="938"/>
      <c r="V719" s="938"/>
      <c r="W719" s="938"/>
      <c r="X719" s="938"/>
      <c r="Y719" s="938"/>
      <c r="Z719" s="938"/>
      <c r="AA719" s="938"/>
      <c r="AB719" s="938"/>
      <c r="AC719" s="938"/>
      <c r="AD719" s="1019"/>
      <c r="AE719" s="1019"/>
      <c r="AF719" s="1019"/>
      <c r="AG719" s="938"/>
      <c r="AH719" s="938"/>
      <c r="AI719" s="938"/>
      <c r="AJ719" s="938"/>
      <c r="AK719" s="1019"/>
      <c r="AL719" s="1019"/>
      <c r="AM719" s="937"/>
      <c r="AN719" s="919"/>
      <c r="AO719" s="1099"/>
      <c r="AP719" s="1273"/>
      <c r="AQ719" s="1273"/>
      <c r="AR719" s="1273"/>
      <c r="AS719" s="1274"/>
      <c r="AT719" s="1020"/>
      <c r="AU719" s="1275"/>
      <c r="AV719" s="1275"/>
      <c r="AW719" s="1275"/>
      <c r="AX719" s="1275"/>
      <c r="AY719" s="1275"/>
      <c r="AZ719" s="1275"/>
      <c r="BA719" s="1275"/>
      <c r="BB719" s="1056"/>
      <c r="BC719" s="1056"/>
      <c r="BD719" s="1000"/>
      <c r="BE719" s="1273"/>
      <c r="BF719" s="1273"/>
      <c r="BG719" s="1273"/>
      <c r="BH719" s="1274"/>
      <c r="BI719" s="1020"/>
      <c r="BJ719" s="1276"/>
      <c r="BK719" s="1275"/>
      <c r="BL719" s="1275"/>
      <c r="BM719" s="1275"/>
      <c r="BN719" s="1275"/>
      <c r="BO719" s="1275"/>
      <c r="BP719" s="1275"/>
      <c r="BQ719" s="1056"/>
      <c r="BR719" s="1020"/>
      <c r="BS719" s="1000"/>
      <c r="BT719" s="1000"/>
      <c r="BU719" s="1000"/>
      <c r="BV719" s="1000"/>
      <c r="BW719" s="1000"/>
      <c r="BX719" s="1000"/>
      <c r="BY719" s="1000"/>
      <c r="BZ719" s="1000"/>
      <c r="CA719" s="1000"/>
      <c r="CB719" s="1000"/>
      <c r="CC719" s="1000"/>
    </row>
    <row r="720" spans="1:81" s="1128" customFormat="1" ht="12.75" hidden="1" customHeight="1">
      <c r="A720" s="1054"/>
      <c r="B720" s="937"/>
      <c r="C720" s="3189" t="s">
        <v>626</v>
      </c>
      <c r="D720" s="3190"/>
      <c r="E720" s="1242" t="s">
        <v>798</v>
      </c>
      <c r="F720" s="3201" t="s">
        <v>1827</v>
      </c>
      <c r="G720" s="3201"/>
      <c r="H720" s="3201"/>
      <c r="I720" s="3201"/>
      <c r="J720" s="3201"/>
      <c r="K720" s="3201"/>
      <c r="L720" s="3201"/>
      <c r="M720" s="3201"/>
      <c r="N720" s="3201"/>
      <c r="O720" s="3201"/>
      <c r="P720" s="3201"/>
      <c r="Q720" s="3201"/>
      <c r="R720" s="3201"/>
      <c r="S720" s="3201"/>
      <c r="T720" s="3201"/>
      <c r="U720" s="3201"/>
      <c r="V720" s="3201"/>
      <c r="W720" s="3201"/>
      <c r="X720" s="3201"/>
      <c r="Y720" s="3201"/>
      <c r="Z720" s="3201"/>
      <c r="AA720" s="3201"/>
      <c r="AB720" s="3201"/>
      <c r="AC720" s="3201"/>
      <c r="AD720" s="3201"/>
      <c r="AE720" s="3201"/>
      <c r="AF720" s="1167"/>
      <c r="AG720" s="1081"/>
      <c r="AH720" s="1081"/>
      <c r="AI720" s="1081"/>
      <c r="AJ720" s="1081"/>
      <c r="AK720" s="1203"/>
      <c r="AL720" s="1019"/>
      <c r="AM720" s="937"/>
      <c r="AN720" s="919"/>
      <c r="AO720" s="1099"/>
      <c r="AP720" s="1273"/>
      <c r="AQ720" s="1273"/>
      <c r="AR720" s="1273"/>
      <c r="AS720" s="1274"/>
      <c r="AT720" s="1020"/>
      <c r="AU720" s="1275"/>
      <c r="AV720" s="1275"/>
      <c r="AW720" s="1275"/>
      <c r="AX720" s="1275"/>
      <c r="AY720" s="1275"/>
      <c r="AZ720" s="1275"/>
      <c r="BA720" s="1275"/>
      <c r="BB720" s="1056"/>
      <c r="BC720" s="1056"/>
      <c r="BD720" s="1000"/>
      <c r="BE720" s="1273"/>
      <c r="BF720" s="1273"/>
      <c r="BG720" s="1273"/>
      <c r="BH720" s="1274"/>
      <c r="BI720" s="1020"/>
      <c r="BJ720" s="1276"/>
      <c r="BK720" s="1275"/>
      <c r="BL720" s="1275"/>
      <c r="BM720" s="1275"/>
      <c r="BN720" s="1275"/>
      <c r="BO720" s="1275"/>
      <c r="BP720" s="1275"/>
      <c r="BQ720" s="1056"/>
      <c r="BR720" s="1020"/>
      <c r="BS720" s="1000"/>
      <c r="BT720" s="1000"/>
      <c r="BU720" s="1000"/>
      <c r="BV720" s="1000"/>
      <c r="BW720" s="1000"/>
      <c r="BX720" s="1000"/>
      <c r="BY720" s="1000"/>
      <c r="BZ720" s="1000"/>
      <c r="CA720" s="1000"/>
      <c r="CB720" s="1000"/>
      <c r="CC720" s="1000"/>
    </row>
    <row r="721" spans="1:81" s="1128" customFormat="1" ht="12.75" hidden="1" customHeight="1">
      <c r="A721" s="1054"/>
      <c r="B721" s="937"/>
      <c r="C721" s="1243"/>
      <c r="D721" s="1019"/>
      <c r="E721" s="1244"/>
      <c r="F721" s="3202"/>
      <c r="G721" s="3202"/>
      <c r="H721" s="3202"/>
      <c r="I721" s="3202"/>
      <c r="J721" s="3202"/>
      <c r="K721" s="3202"/>
      <c r="L721" s="3202"/>
      <c r="M721" s="3202"/>
      <c r="N721" s="3202"/>
      <c r="O721" s="3202"/>
      <c r="P721" s="3202"/>
      <c r="Q721" s="3202"/>
      <c r="R721" s="3202"/>
      <c r="S721" s="3202"/>
      <c r="T721" s="3202"/>
      <c r="U721" s="3202"/>
      <c r="V721" s="3202"/>
      <c r="W721" s="3202"/>
      <c r="X721" s="3202"/>
      <c r="Y721" s="3202"/>
      <c r="Z721" s="3202"/>
      <c r="AA721" s="3202"/>
      <c r="AB721" s="3202"/>
      <c r="AC721" s="3202"/>
      <c r="AD721" s="3202"/>
      <c r="AE721" s="3202"/>
      <c r="AF721" s="1019"/>
      <c r="AG721" s="938"/>
      <c r="AH721" s="938"/>
      <c r="AI721" s="938"/>
      <c r="AJ721" s="938"/>
      <c r="AK721" s="1187"/>
      <c r="AL721" s="1019"/>
      <c r="AM721" s="937"/>
      <c r="AN721" s="919"/>
      <c r="AO721" s="1099"/>
      <c r="AP721" s="1273"/>
      <c r="AQ721" s="1273"/>
      <c r="AR721" s="1273"/>
      <c r="AS721" s="1274"/>
      <c r="AT721" s="1020"/>
      <c r="AU721" s="1275"/>
      <c r="AV721" s="1275"/>
      <c r="AW721" s="1275"/>
      <c r="AX721" s="1275"/>
      <c r="AY721" s="1275"/>
      <c r="AZ721" s="1275"/>
      <c r="BA721" s="1275"/>
      <c r="BB721" s="1056"/>
      <c r="BC721" s="1056"/>
      <c r="BD721" s="1000"/>
      <c r="BE721" s="1273"/>
      <c r="BF721" s="1273"/>
      <c r="BG721" s="1273"/>
      <c r="BH721" s="1274"/>
      <c r="BI721" s="1020"/>
      <c r="BJ721" s="1276"/>
      <c r="BK721" s="1275"/>
      <c r="BL721" s="1275"/>
      <c r="BM721" s="1275"/>
      <c r="BN721" s="1275"/>
      <c r="BO721" s="1275"/>
      <c r="BP721" s="1275"/>
      <c r="BQ721" s="1056"/>
      <c r="BR721" s="1020"/>
      <c r="BS721" s="1000"/>
      <c r="BT721" s="1000"/>
      <c r="BU721" s="1000"/>
      <c r="BV721" s="1000"/>
      <c r="BW721" s="1000"/>
      <c r="BX721" s="1000"/>
      <c r="BY721" s="1000"/>
      <c r="BZ721" s="1000"/>
      <c r="CA721" s="1000"/>
      <c r="CB721" s="1000"/>
      <c r="CC721" s="1000"/>
    </row>
    <row r="722" spans="1:81" s="1128" customFormat="1" ht="12.75" hidden="1" customHeight="1">
      <c r="A722" s="1054"/>
      <c r="B722" s="937"/>
      <c r="C722" s="1195"/>
      <c r="D722" s="1019"/>
      <c r="E722" s="1019"/>
      <c r="F722" s="1266" t="s">
        <v>1828</v>
      </c>
      <c r="G722" s="938"/>
      <c r="H722" s="938"/>
      <c r="I722" s="938"/>
      <c r="J722" s="938"/>
      <c r="K722" s="938"/>
      <c r="L722" s="938"/>
      <c r="M722" s="938"/>
      <c r="N722" s="938"/>
      <c r="O722" s="938"/>
      <c r="P722" s="938"/>
      <c r="Q722" s="938"/>
      <c r="R722" s="938"/>
      <c r="S722" s="938"/>
      <c r="T722" s="938"/>
      <c r="U722" s="938"/>
      <c r="V722" s="938"/>
      <c r="W722" s="938"/>
      <c r="X722" s="938"/>
      <c r="Y722" s="938"/>
      <c r="Z722" s="938"/>
      <c r="AA722" s="938"/>
      <c r="AB722" s="938"/>
      <c r="AC722" s="1773"/>
      <c r="AD722" s="1019"/>
      <c r="AE722" s="1019"/>
      <c r="AF722" s="1019"/>
      <c r="AG722" s="1025"/>
      <c r="AH722" s="1025"/>
      <c r="AI722" s="1025"/>
      <c r="AJ722" s="1025"/>
      <c r="AK722" s="1187"/>
      <c r="AL722" s="1019"/>
      <c r="AM722" s="937"/>
      <c r="AN722" s="919"/>
      <c r="AO722" s="1000"/>
      <c r="AP722" s="1273"/>
      <c r="AQ722" s="1273"/>
      <c r="AR722" s="1273"/>
      <c r="AS722" s="1274"/>
      <c r="AT722" s="1020"/>
      <c r="AU722" s="1275"/>
      <c r="AV722" s="1275"/>
      <c r="AW722" s="1275"/>
      <c r="AX722" s="1275"/>
      <c r="AY722" s="1275"/>
      <c r="AZ722" s="1275"/>
      <c r="BA722" s="1275"/>
      <c r="BB722" s="1000"/>
      <c r="BC722" s="1000"/>
      <c r="BD722" s="1000"/>
      <c r="BE722" s="1273"/>
      <c r="BF722" s="1273"/>
      <c r="BG722" s="1273"/>
      <c r="BH722" s="1274"/>
      <c r="BI722" s="1020"/>
      <c r="BJ722" s="1276"/>
      <c r="BK722" s="1275"/>
      <c r="BL722" s="1275"/>
      <c r="BM722" s="1275"/>
      <c r="BN722" s="1275"/>
      <c r="BO722" s="1275"/>
      <c r="BP722" s="1275"/>
      <c r="BQ722" s="1000"/>
      <c r="BR722" s="1020"/>
      <c r="BS722" s="1000"/>
      <c r="BT722" s="1000"/>
      <c r="BU722" s="1000"/>
      <c r="BV722" s="1000"/>
      <c r="BW722" s="1000"/>
      <c r="BX722" s="1000"/>
      <c r="BY722" s="1000"/>
      <c r="BZ722" s="1000"/>
      <c r="CA722" s="1000"/>
      <c r="CB722" s="1000"/>
      <c r="CC722" s="1000"/>
    </row>
    <row r="723" spans="1:81" s="1128" customFormat="1" ht="13.8" hidden="1" thickTop="1">
      <c r="A723" s="1054"/>
      <c r="B723" s="937"/>
      <c r="C723" s="1245"/>
      <c r="D723" s="1182"/>
      <c r="E723" s="1246"/>
      <c r="F723" s="3203" t="s">
        <v>626</v>
      </c>
      <c r="G723" s="3203"/>
      <c r="H723" s="3203"/>
      <c r="I723" s="1094"/>
      <c r="J723" s="1094"/>
      <c r="K723" s="1094"/>
      <c r="L723" s="1094"/>
      <c r="M723" s="1094"/>
      <c r="N723" s="1094"/>
      <c r="O723" s="1094"/>
      <c r="P723" s="1094"/>
      <c r="Q723" s="1094"/>
      <c r="R723" s="1094"/>
      <c r="S723" s="1094"/>
      <c r="T723" s="1094"/>
      <c r="U723" s="1094"/>
      <c r="V723" s="1094"/>
      <c r="W723" s="1094"/>
      <c r="X723" s="1094"/>
      <c r="Y723" s="1094"/>
      <c r="Z723" s="1094"/>
      <c r="AA723" s="1094"/>
      <c r="AB723" s="1094"/>
      <c r="AC723" s="1094"/>
      <c r="AD723" s="1182"/>
      <c r="AE723" s="1182"/>
      <c r="AF723" s="1182"/>
      <c r="AG723" s="1248">
        <f>IF($C$720="Yes",(VLOOKUP($F$723,$AO$696:$AP$698,2,FALSE)),0)</f>
        <v>0</v>
      </c>
      <c r="AH723" s="1249" t="s">
        <v>1597</v>
      </c>
      <c r="AI723" s="1094"/>
      <c r="AJ723" s="1094"/>
      <c r="AK723" s="1198"/>
      <c r="AL723" s="1019"/>
      <c r="AM723" s="937"/>
      <c r="AN723" s="919"/>
      <c r="AO723" s="1000"/>
      <c r="AP723" s="1273"/>
      <c r="AQ723" s="1273"/>
      <c r="AR723" s="1273"/>
      <c r="AS723" s="1272"/>
      <c r="AT723" s="1020"/>
      <c r="AU723" s="1275"/>
      <c r="AV723" s="1275"/>
      <c r="AW723" s="1275"/>
      <c r="AX723" s="1275"/>
      <c r="AY723" s="1275"/>
      <c r="AZ723" s="1275"/>
      <c r="BA723" s="1275"/>
      <c r="BB723" s="1000"/>
      <c r="BC723" s="1000"/>
      <c r="BD723" s="1000"/>
      <c r="BE723" s="1273"/>
      <c r="BF723" s="1273"/>
      <c r="BG723" s="1273"/>
      <c r="BH723" s="1272"/>
      <c r="BI723" s="1020"/>
      <c r="BJ723" s="1276"/>
      <c r="BK723" s="1275"/>
      <c r="BL723" s="1275"/>
      <c r="BM723" s="1275"/>
      <c r="BN723" s="1275"/>
      <c r="BO723" s="1275"/>
      <c r="BP723" s="1275"/>
      <c r="BQ723" s="1000"/>
      <c r="BR723" s="1020"/>
      <c r="BS723" s="1000"/>
      <c r="BT723" s="1000"/>
      <c r="BU723" s="1000"/>
      <c r="BV723" s="1000"/>
      <c r="BW723" s="1000"/>
      <c r="BX723" s="1000"/>
      <c r="BY723" s="1000"/>
      <c r="BZ723" s="1000"/>
      <c r="CA723" s="1000"/>
      <c r="CB723" s="1000"/>
      <c r="CC723" s="1000"/>
    </row>
    <row r="724" spans="1:81" s="1128" customFormat="1" ht="13.8" hidden="1" thickTop="1">
      <c r="A724" s="938"/>
      <c r="B724" s="938"/>
      <c r="C724" s="938"/>
      <c r="D724" s="938"/>
      <c r="E724" s="938"/>
      <c r="F724" s="938"/>
      <c r="G724" s="938"/>
      <c r="H724" s="938"/>
      <c r="I724" s="938"/>
      <c r="J724" s="938"/>
      <c r="K724" s="938"/>
      <c r="L724" s="938"/>
      <c r="M724" s="938"/>
      <c r="N724" s="938"/>
      <c r="O724" s="938"/>
      <c r="P724" s="938"/>
      <c r="Q724" s="938"/>
      <c r="R724" s="938"/>
      <c r="S724" s="938"/>
      <c r="T724" s="938"/>
      <c r="U724" s="938"/>
      <c r="V724" s="938"/>
      <c r="W724" s="938"/>
      <c r="X724" s="938"/>
      <c r="Y724" s="938"/>
      <c r="Z724" s="938"/>
      <c r="AA724" s="938"/>
      <c r="AB724" s="938"/>
      <c r="AC724" s="938"/>
      <c r="AD724" s="938"/>
      <c r="AE724" s="1019"/>
      <c r="AF724" s="1019"/>
      <c r="AG724" s="1025"/>
      <c r="AH724" s="1781"/>
      <c r="AI724" s="938"/>
      <c r="AJ724" s="938"/>
      <c r="AK724" s="1019"/>
      <c r="AL724" s="1019"/>
      <c r="AM724" s="937"/>
      <c r="AN724" s="919"/>
      <c r="AO724" s="1000"/>
      <c r="AP724" s="1273"/>
      <c r="AQ724" s="1273"/>
      <c r="AR724" s="1273"/>
      <c r="AS724" s="1272"/>
      <c r="AT724" s="1020"/>
      <c r="AU724" s="1275"/>
      <c r="AV724" s="1275"/>
      <c r="AW724" s="1275"/>
      <c r="AX724" s="1275"/>
      <c r="AY724" s="1275"/>
      <c r="AZ724" s="1275"/>
      <c r="BA724" s="1275"/>
      <c r="BB724" s="1000"/>
      <c r="BC724" s="1000"/>
      <c r="BD724" s="1000"/>
      <c r="BE724" s="1273"/>
      <c r="BF724" s="1273"/>
      <c r="BG724" s="1273"/>
      <c r="BH724" s="1272"/>
      <c r="BI724" s="1020"/>
      <c r="BJ724" s="1276"/>
      <c r="BK724" s="1275"/>
      <c r="BL724" s="1275"/>
      <c r="BM724" s="1275"/>
      <c r="BN724" s="1275"/>
      <c r="BO724" s="1275"/>
      <c r="BP724" s="1275"/>
      <c r="BQ724" s="1000"/>
      <c r="BR724" s="1020"/>
      <c r="BS724" s="1000"/>
      <c r="BT724" s="1000"/>
      <c r="BU724" s="1000"/>
      <c r="BV724" s="1000"/>
      <c r="BW724" s="1000"/>
      <c r="BX724" s="1000"/>
      <c r="BY724" s="1000"/>
      <c r="BZ724" s="1000"/>
      <c r="CA724" s="1000"/>
      <c r="CB724" s="1000"/>
      <c r="CC724" s="1000"/>
    </row>
    <row r="725" spans="1:81" s="1128" customFormat="1" ht="13.8" hidden="1" thickTop="1">
      <c r="A725" s="1054"/>
      <c r="B725" s="937"/>
      <c r="C725" s="3189" t="s">
        <v>626</v>
      </c>
      <c r="D725" s="3190"/>
      <c r="E725" s="1242" t="s">
        <v>1829</v>
      </c>
      <c r="F725" s="1264" t="s">
        <v>1830</v>
      </c>
      <c r="G725" s="1081"/>
      <c r="H725" s="1081"/>
      <c r="I725" s="1081"/>
      <c r="J725" s="1081"/>
      <c r="K725" s="1081"/>
      <c r="L725" s="1081"/>
      <c r="M725" s="1081"/>
      <c r="N725" s="1081"/>
      <c r="O725" s="1081"/>
      <c r="P725" s="1081"/>
      <c r="Q725" s="1081"/>
      <c r="R725" s="1081"/>
      <c r="S725" s="1081"/>
      <c r="T725" s="1081"/>
      <c r="U725" s="1081"/>
      <c r="V725" s="1081"/>
      <c r="W725" s="1081"/>
      <c r="X725" s="1081"/>
      <c r="Y725" s="1081"/>
      <c r="Z725" s="1081"/>
      <c r="AA725" s="1081"/>
      <c r="AB725" s="1081"/>
      <c r="AC725" s="1277"/>
      <c r="AD725" s="1167"/>
      <c r="AE725" s="1167"/>
      <c r="AF725" s="1167"/>
      <c r="AG725" s="1278"/>
      <c r="AH725" s="1278"/>
      <c r="AI725" s="1278"/>
      <c r="AJ725" s="1278"/>
      <c r="AK725" s="1203"/>
      <c r="AL725" s="1019"/>
      <c r="AM725" s="937"/>
      <c r="AN725" s="919"/>
      <c r="AO725" s="1000"/>
      <c r="AP725" s="1273"/>
      <c r="AQ725" s="1273"/>
      <c r="AR725" s="1273"/>
      <c r="AS725" s="1272"/>
      <c r="AT725" s="1020"/>
      <c r="AU725" s="1275"/>
      <c r="AV725" s="1275"/>
      <c r="AW725" s="1275"/>
      <c r="AX725" s="1275"/>
      <c r="AY725" s="1275"/>
      <c r="AZ725" s="1275"/>
      <c r="BA725" s="1275"/>
      <c r="BB725" s="1000"/>
      <c r="BC725" s="1000"/>
      <c r="BD725" s="1000"/>
      <c r="BE725" s="1273"/>
      <c r="BF725" s="1273"/>
      <c r="BG725" s="1273"/>
      <c r="BH725" s="1272"/>
      <c r="BI725" s="1020"/>
      <c r="BJ725" s="1276"/>
      <c r="BK725" s="1275"/>
      <c r="BL725" s="1275"/>
      <c r="BM725" s="1275"/>
      <c r="BN725" s="1275"/>
      <c r="BO725" s="1275"/>
      <c r="BP725" s="1275"/>
      <c r="BQ725" s="1000"/>
      <c r="BR725" s="1020"/>
      <c r="BS725" s="1000"/>
      <c r="BT725" s="1000"/>
      <c r="BU725" s="1000"/>
      <c r="BV725" s="1000"/>
      <c r="BW725" s="1000"/>
      <c r="BX725" s="1000"/>
      <c r="BY725" s="1000"/>
      <c r="BZ725" s="1000"/>
      <c r="CA725" s="1000"/>
      <c r="CB725" s="1000"/>
      <c r="CC725" s="1000"/>
    </row>
    <row r="726" spans="1:81" s="1128" customFormat="1" ht="13.8" hidden="1" thickTop="1">
      <c r="A726" s="1020"/>
      <c r="B726" s="937"/>
      <c r="C726" s="1243"/>
      <c r="D726" s="1019"/>
      <c r="E726" s="1244"/>
      <c r="F726" s="938"/>
      <c r="G726" s="938"/>
      <c r="H726" s="938"/>
      <c r="I726" s="938"/>
      <c r="J726" s="938"/>
      <c r="K726" s="938"/>
      <c r="L726" s="938"/>
      <c r="M726" s="938"/>
      <c r="N726" s="938"/>
      <c r="O726" s="938"/>
      <c r="P726" s="938"/>
      <c r="Q726" s="938"/>
      <c r="R726" s="938"/>
      <c r="S726" s="938"/>
      <c r="T726" s="938"/>
      <c r="U726" s="938"/>
      <c r="V726" s="938"/>
      <c r="W726" s="938"/>
      <c r="X726" s="938"/>
      <c r="Y726" s="938"/>
      <c r="Z726" s="938"/>
      <c r="AA726" s="938"/>
      <c r="AB726" s="938"/>
      <c r="AC726" s="938"/>
      <c r="AD726" s="1019"/>
      <c r="AE726" s="1019"/>
      <c r="AF726" s="1019"/>
      <c r="AG726" s="938"/>
      <c r="AH726" s="938"/>
      <c r="AI726" s="938"/>
      <c r="AJ726" s="938"/>
      <c r="AK726" s="1187"/>
      <c r="AL726" s="1019"/>
      <c r="AM726" s="937"/>
      <c r="AN726" s="919"/>
      <c r="AO726" s="1000"/>
      <c r="AP726" s="1273"/>
      <c r="AQ726" s="1273"/>
      <c r="AR726" s="1273"/>
      <c r="AS726" s="1272"/>
      <c r="AT726" s="1020"/>
      <c r="AU726" s="1275"/>
      <c r="AV726" s="1275"/>
      <c r="AW726" s="1275"/>
      <c r="AX726" s="1275"/>
      <c r="AY726" s="1275"/>
      <c r="AZ726" s="1275"/>
      <c r="BA726" s="1275"/>
      <c r="BB726" s="1000"/>
      <c r="BC726" s="1000"/>
      <c r="BD726" s="1000"/>
      <c r="BE726" s="1273"/>
      <c r="BF726" s="1273"/>
      <c r="BG726" s="1273"/>
      <c r="BH726" s="1272"/>
      <c r="BI726" s="1020"/>
      <c r="BJ726" s="1276"/>
      <c r="BK726" s="1275"/>
      <c r="BL726" s="1275"/>
      <c r="BM726" s="1275"/>
      <c r="BN726" s="1275"/>
      <c r="BO726" s="1275"/>
      <c r="BP726" s="1275"/>
      <c r="BQ726" s="1000"/>
      <c r="BR726" s="1056"/>
      <c r="BS726" s="1000"/>
      <c r="BT726" s="1000"/>
      <c r="BU726" s="1000"/>
      <c r="BV726" s="1000"/>
      <c r="BW726" s="1000"/>
      <c r="BX726" s="1000"/>
      <c r="BY726" s="1000"/>
      <c r="BZ726" s="1000"/>
      <c r="CA726" s="1000"/>
      <c r="CB726" s="1000"/>
      <c r="CC726" s="1000"/>
    </row>
    <row r="727" spans="1:81" s="1128" customFormat="1" ht="13.8" hidden="1" thickTop="1">
      <c r="A727" s="1020"/>
      <c r="B727" s="937"/>
      <c r="C727" s="3191"/>
      <c r="D727" s="3192"/>
      <c r="E727" s="1254"/>
      <c r="F727" s="938" t="s">
        <v>1831</v>
      </c>
      <c r="G727" s="938"/>
      <c r="H727" s="938"/>
      <c r="I727" s="938"/>
      <c r="J727" s="938"/>
      <c r="K727" s="938"/>
      <c r="L727" s="938"/>
      <c r="M727" s="938"/>
      <c r="N727" s="938"/>
      <c r="O727" s="938"/>
      <c r="P727" s="938"/>
      <c r="Q727" s="938"/>
      <c r="R727" s="938"/>
      <c r="S727" s="938"/>
      <c r="T727" s="938"/>
      <c r="U727" s="938"/>
      <c r="V727" s="938"/>
      <c r="W727" s="938"/>
      <c r="X727" s="938"/>
      <c r="Y727" s="938"/>
      <c r="Z727" s="938"/>
      <c r="AA727" s="938"/>
      <c r="AB727" s="938"/>
      <c r="AC727" s="1773"/>
      <c r="AD727" s="1019"/>
      <c r="AE727" s="1019"/>
      <c r="AF727" s="1019"/>
      <c r="AG727" s="1025">
        <f>IF($C$725="Yes",(VLOOKUP($G$728,$AO$703:$AP$706,2,FALSE)),0)</f>
        <v>0</v>
      </c>
      <c r="AH727" s="1781" t="s">
        <v>1597</v>
      </c>
      <c r="AI727" s="938"/>
      <c r="AJ727" s="1025"/>
      <c r="AK727" s="1187"/>
      <c r="AL727" s="1019"/>
      <c r="AM727" s="937"/>
      <c r="AN727" s="919"/>
      <c r="AO727" s="1000"/>
      <c r="AP727" s="1273"/>
      <c r="AQ727" s="1273"/>
      <c r="AR727" s="1273"/>
      <c r="AS727" s="1272"/>
      <c r="AT727" s="1020"/>
      <c r="AU727" s="1275"/>
      <c r="AV727" s="1275"/>
      <c r="AW727" s="1275"/>
      <c r="AX727" s="1275"/>
      <c r="AY727" s="1275"/>
      <c r="AZ727" s="1275"/>
      <c r="BA727" s="1275"/>
      <c r="BB727" s="1000"/>
      <c r="BC727" s="1000"/>
      <c r="BD727" s="1000"/>
      <c r="BE727" s="1273"/>
      <c r="BF727" s="1273"/>
      <c r="BG727" s="1273"/>
      <c r="BH727" s="1272"/>
      <c r="BI727" s="1020"/>
      <c r="BJ727" s="1276"/>
      <c r="BK727" s="1275"/>
      <c r="BL727" s="1275"/>
      <c r="BM727" s="1275"/>
      <c r="BN727" s="1275"/>
      <c r="BO727" s="1275"/>
      <c r="BP727" s="1275"/>
      <c r="BQ727" s="1000"/>
      <c r="BR727" s="1020"/>
      <c r="BS727" s="1000"/>
      <c r="BT727" s="1000"/>
      <c r="BU727" s="1000"/>
      <c r="BV727" s="1000"/>
      <c r="BW727" s="1000"/>
      <c r="BX727" s="1000"/>
      <c r="BY727" s="1000"/>
      <c r="BZ727" s="1000"/>
      <c r="CA727" s="1000"/>
      <c r="CB727" s="1000"/>
      <c r="CC727" s="1000"/>
    </row>
    <row r="728" spans="1:81" s="1128" customFormat="1" ht="13.8" hidden="1" thickTop="1">
      <c r="A728" s="1020"/>
      <c r="B728" s="937"/>
      <c r="C728" s="1243"/>
      <c r="D728" s="1020"/>
      <c r="E728" s="1244"/>
      <c r="F728" s="938"/>
      <c r="G728" s="3193" t="s">
        <v>626</v>
      </c>
      <c r="H728" s="3193"/>
      <c r="I728" s="3193"/>
      <c r="J728" s="3193"/>
      <c r="K728" s="3193"/>
      <c r="L728" s="3193"/>
      <c r="M728" s="3193"/>
      <c r="N728" s="3193"/>
      <c r="O728" s="3193"/>
      <c r="P728" s="3193"/>
      <c r="Q728" s="3193"/>
      <c r="R728" s="3193"/>
      <c r="S728" s="3193"/>
      <c r="T728" s="3193"/>
      <c r="U728" s="3193"/>
      <c r="V728" s="3193"/>
      <c r="W728" s="3193"/>
      <c r="X728" s="3193"/>
      <c r="Y728" s="3193"/>
      <c r="Z728" s="3193"/>
      <c r="AA728" s="3193"/>
      <c r="AB728" s="3193"/>
      <c r="AC728" s="3193"/>
      <c r="AD728" s="3193"/>
      <c r="AE728" s="3193"/>
      <c r="AF728" s="3193"/>
      <c r="AG728" s="1019"/>
      <c r="AH728" s="1019"/>
      <c r="AI728" s="1019"/>
      <c r="AJ728" s="938"/>
      <c r="AK728" s="1187"/>
      <c r="AL728" s="1019"/>
      <c r="AM728" s="937"/>
      <c r="AN728" s="919"/>
      <c r="AO728" s="1000"/>
      <c r="AP728" s="1273"/>
      <c r="AQ728" s="1273"/>
      <c r="AR728" s="1273"/>
      <c r="AS728" s="1272"/>
      <c r="AT728" s="1020"/>
      <c r="AU728" s="1275"/>
      <c r="AV728" s="1275"/>
      <c r="AW728" s="1275"/>
      <c r="AX728" s="1275"/>
      <c r="AY728" s="1275"/>
      <c r="AZ728" s="1275"/>
      <c r="BA728" s="1275"/>
      <c r="BB728" s="1000"/>
      <c r="BC728" s="1000"/>
      <c r="BD728" s="1000"/>
      <c r="BE728" s="1273"/>
      <c r="BF728" s="1273"/>
      <c r="BG728" s="1273"/>
      <c r="BH728" s="1272"/>
      <c r="BI728" s="1020"/>
      <c r="BJ728" s="1276"/>
      <c r="BK728" s="1275"/>
      <c r="BL728" s="1275"/>
      <c r="BM728" s="1275"/>
      <c r="BN728" s="1275"/>
      <c r="BO728" s="1275"/>
      <c r="BP728" s="1275"/>
      <c r="BQ728" s="1000"/>
      <c r="BR728" s="1020"/>
      <c r="BS728" s="1000"/>
      <c r="BT728" s="1000"/>
      <c r="BU728" s="1000"/>
      <c r="BV728" s="1000"/>
      <c r="BW728" s="1000"/>
      <c r="BX728" s="1000"/>
      <c r="BY728" s="1000"/>
      <c r="BZ728" s="1000"/>
      <c r="CA728" s="1000"/>
      <c r="CB728" s="1000"/>
      <c r="CC728" s="1000"/>
    </row>
    <row r="729" spans="1:81" s="1128" customFormat="1" ht="13.8" hidden="1" thickTop="1">
      <c r="A729" s="1020"/>
      <c r="B729" s="937"/>
      <c r="C729" s="1279"/>
      <c r="D729" s="958"/>
      <c r="E729" s="958"/>
      <c r="F729" s="1057"/>
      <c r="G729" s="1280"/>
      <c r="H729" s="1280"/>
      <c r="I729" s="1280"/>
      <c r="J729" s="1280"/>
      <c r="K729" s="1280"/>
      <c r="L729" s="1280"/>
      <c r="M729" s="1280"/>
      <c r="N729" s="1280"/>
      <c r="O729" s="1280"/>
      <c r="P729" s="1280"/>
      <c r="Q729" s="1280"/>
      <c r="R729" s="1280"/>
      <c r="S729" s="1280"/>
      <c r="T729" s="1280"/>
      <c r="U729" s="1280"/>
      <c r="V729" s="1280"/>
      <c r="W729" s="1280"/>
      <c r="X729" s="1280"/>
      <c r="Y729" s="1280"/>
      <c r="Z729" s="1280"/>
      <c r="AA729" s="1280"/>
      <c r="AB729" s="1280"/>
      <c r="AC729" s="1280"/>
      <c r="AD729" s="1019"/>
      <c r="AE729" s="1019"/>
      <c r="AF729" s="1019"/>
      <c r="AG729" s="1280"/>
      <c r="AH729" s="1280"/>
      <c r="AI729" s="1280"/>
      <c r="AJ729" s="1280"/>
      <c r="AK729" s="1187"/>
      <c r="AL729" s="1019"/>
      <c r="AM729" s="937"/>
      <c r="AN729" s="919"/>
      <c r="AO729" s="1000"/>
      <c r="AP729" s="1273"/>
      <c r="AQ729" s="1273"/>
      <c r="AR729" s="1273"/>
      <c r="AS729" s="1272"/>
      <c r="AT729" s="1020"/>
      <c r="AU729" s="1275"/>
      <c r="AV729" s="1275"/>
      <c r="AW729" s="1275"/>
      <c r="AX729" s="1275"/>
      <c r="AY729" s="1275"/>
      <c r="AZ729" s="1275"/>
      <c r="BA729" s="1275"/>
      <c r="BB729" s="1000"/>
      <c r="BC729" s="1000"/>
      <c r="BD729" s="1000"/>
      <c r="BE729" s="1273"/>
      <c r="BF729" s="1273"/>
      <c r="BG729" s="1273"/>
      <c r="BH729" s="1272"/>
      <c r="BI729" s="1020"/>
      <c r="BJ729" s="1276"/>
      <c r="BK729" s="1275"/>
      <c r="BL729" s="1275"/>
      <c r="BM729" s="1275"/>
      <c r="BN729" s="1275"/>
      <c r="BO729" s="1275"/>
      <c r="BP729" s="1275"/>
      <c r="BQ729" s="1000"/>
      <c r="BR729" s="1020"/>
      <c r="BS729" s="1000"/>
      <c r="BT729" s="1000"/>
      <c r="BU729" s="1000"/>
      <c r="BV729" s="1000"/>
      <c r="BW729" s="1000"/>
      <c r="BX729" s="1000"/>
      <c r="BY729" s="1000"/>
      <c r="BZ729" s="1000"/>
      <c r="CA729" s="1000"/>
      <c r="CB729" s="1000"/>
      <c r="CC729" s="1000"/>
    </row>
    <row r="730" spans="1:81" s="1128" customFormat="1" ht="12.75" hidden="1" customHeight="1">
      <c r="A730" s="51"/>
      <c r="B730" s="937"/>
      <c r="C730" s="3194" t="s">
        <v>626</v>
      </c>
      <c r="D730" s="3195"/>
      <c r="E730" s="958"/>
      <c r="F730" s="938" t="s">
        <v>1832</v>
      </c>
      <c r="G730" s="938"/>
      <c r="H730" s="938"/>
      <c r="I730" s="938"/>
      <c r="J730" s="938"/>
      <c r="K730" s="938"/>
      <c r="L730" s="938"/>
      <c r="M730" s="938"/>
      <c r="N730" s="938"/>
      <c r="O730" s="938"/>
      <c r="P730" s="938"/>
      <c r="Q730" s="938"/>
      <c r="R730" s="938"/>
      <c r="S730" s="938"/>
      <c r="T730" s="938"/>
      <c r="U730" s="938"/>
      <c r="V730" s="938"/>
      <c r="W730" s="938"/>
      <c r="X730" s="938"/>
      <c r="Y730" s="938"/>
      <c r="Z730" s="938"/>
      <c r="AA730" s="938"/>
      <c r="AB730" s="938"/>
      <c r="AC730" s="1773"/>
      <c r="AD730" s="1019"/>
      <c r="AE730" s="1019"/>
      <c r="AF730" s="1019"/>
      <c r="AG730" s="1025">
        <f>IF(AND($C$730="Yes",$C$725="Yes"),2,0)</f>
        <v>0</v>
      </c>
      <c r="AH730" s="1781" t="s">
        <v>1597</v>
      </c>
      <c r="AI730" s="938"/>
      <c r="AJ730" s="1778"/>
      <c r="AK730" s="1187"/>
      <c r="AL730" s="1019"/>
      <c r="AM730" s="937"/>
      <c r="AN730" s="919"/>
      <c r="AO730" s="1000"/>
      <c r="AP730" s="1273"/>
      <c r="AQ730" s="1273"/>
      <c r="AR730" s="1273"/>
      <c r="AS730" s="1272"/>
      <c r="AT730" s="1020"/>
      <c r="AU730" s="1275"/>
      <c r="AV730" s="1275"/>
      <c r="AW730" s="1275"/>
      <c r="AX730" s="1275"/>
      <c r="AY730" s="1275"/>
      <c r="AZ730" s="1275"/>
      <c r="BA730" s="1275"/>
      <c r="BB730" s="1000"/>
      <c r="BC730" s="1000"/>
      <c r="BD730" s="1000"/>
      <c r="BE730" s="1273"/>
      <c r="BF730" s="1273"/>
      <c r="BG730" s="1273"/>
      <c r="BH730" s="1272"/>
      <c r="BI730" s="1020"/>
      <c r="BJ730" s="1276"/>
      <c r="BK730" s="1275"/>
      <c r="BL730" s="1275"/>
      <c r="BM730" s="1275"/>
      <c r="BN730" s="1275"/>
      <c r="BO730" s="1275"/>
      <c r="BP730" s="1275"/>
      <c r="BQ730" s="1000"/>
      <c r="BR730" s="1020"/>
      <c r="BS730" s="1000"/>
      <c r="BT730" s="1000"/>
      <c r="BU730" s="1000"/>
      <c r="BV730" s="1000"/>
      <c r="BW730" s="1000"/>
      <c r="BX730" s="1000"/>
      <c r="BY730" s="1000"/>
      <c r="BZ730" s="1000"/>
      <c r="CA730" s="1000"/>
      <c r="CB730" s="1000"/>
      <c r="CC730" s="1000"/>
    </row>
    <row r="731" spans="1:81" s="1128" customFormat="1" ht="13.8" hidden="1" thickTop="1">
      <c r="A731" s="51"/>
      <c r="B731" s="937"/>
      <c r="C731" s="1265"/>
      <c r="D731" s="1776"/>
      <c r="E731" s="1776"/>
      <c r="F731" s="938"/>
      <c r="G731" s="938" t="s">
        <v>1833</v>
      </c>
      <c r="H731" s="938"/>
      <c r="I731" s="938"/>
      <c r="J731" s="938"/>
      <c r="K731" s="938"/>
      <c r="L731" s="938"/>
      <c r="M731" s="938"/>
      <c r="N731" s="938"/>
      <c r="O731" s="938"/>
      <c r="P731" s="938"/>
      <c r="Q731" s="938"/>
      <c r="R731" s="938"/>
      <c r="S731" s="938"/>
      <c r="T731" s="938"/>
      <c r="U731" s="938"/>
      <c r="V731" s="938"/>
      <c r="W731" s="938"/>
      <c r="X731" s="938"/>
      <c r="Y731" s="938"/>
      <c r="Z731" s="938"/>
      <c r="AA731" s="938"/>
      <c r="AB731" s="938"/>
      <c r="AC731" s="1773"/>
      <c r="AD731" s="1019"/>
      <c r="AE731" s="1019"/>
      <c r="AF731" s="1019"/>
      <c r="AG731" s="1778"/>
      <c r="AH731" s="1778"/>
      <c r="AI731" s="1778"/>
      <c r="AJ731" s="1778"/>
      <c r="AK731" s="1187"/>
      <c r="AL731" s="1019"/>
      <c r="AM731" s="937"/>
      <c r="AN731" s="995"/>
      <c r="AO731" s="1000"/>
      <c r="AP731" s="1273"/>
      <c r="AQ731" s="1273"/>
      <c r="AR731" s="1273"/>
      <c r="AS731" s="1272"/>
      <c r="AT731" s="1020"/>
      <c r="AU731" s="1275"/>
      <c r="AV731" s="1275"/>
      <c r="AW731" s="1275"/>
      <c r="AX731" s="1275"/>
      <c r="AY731" s="1275"/>
      <c r="AZ731" s="1275"/>
      <c r="BA731" s="1275"/>
      <c r="BB731" s="1000"/>
      <c r="BC731" s="1000"/>
      <c r="BD731" s="1000"/>
      <c r="BE731" s="1273"/>
      <c r="BF731" s="1273"/>
      <c r="BG731" s="1273"/>
      <c r="BH731" s="1272"/>
      <c r="BI731" s="1020"/>
      <c r="BJ731" s="1276"/>
      <c r="BK731" s="1275"/>
      <c r="BL731" s="1275"/>
      <c r="BM731" s="1275"/>
      <c r="BN731" s="1275"/>
      <c r="BO731" s="1275"/>
      <c r="BP731" s="1275"/>
      <c r="BQ731" s="1000"/>
      <c r="BR731" s="1020"/>
      <c r="BS731" s="1000"/>
      <c r="BT731" s="1000"/>
      <c r="BU731" s="1000"/>
      <c r="BV731" s="1000"/>
      <c r="BW731" s="1000"/>
      <c r="BX731" s="1000"/>
      <c r="BY731" s="1000"/>
      <c r="BZ731" s="1000"/>
      <c r="CA731" s="1000"/>
      <c r="CB731" s="1000"/>
      <c r="CC731" s="1000"/>
    </row>
    <row r="732" spans="1:81" s="996" customFormat="1" ht="12.75" hidden="1" customHeight="1">
      <c r="A732" s="1056"/>
      <c r="B732" s="1020"/>
      <c r="C732" s="1265"/>
      <c r="D732" s="1776"/>
      <c r="E732" s="1776"/>
      <c r="F732" s="938"/>
      <c r="G732" s="938" t="s">
        <v>1834</v>
      </c>
      <c r="H732" s="938"/>
      <c r="I732" s="938"/>
      <c r="J732" s="938"/>
      <c r="K732" s="938"/>
      <c r="L732" s="938"/>
      <c r="M732" s="938"/>
      <c r="N732" s="938"/>
      <c r="O732" s="938"/>
      <c r="P732" s="938"/>
      <c r="Q732" s="938"/>
      <c r="R732" s="938"/>
      <c r="S732" s="938"/>
      <c r="T732" s="938"/>
      <c r="U732" s="938"/>
      <c r="V732" s="938"/>
      <c r="W732" s="938"/>
      <c r="X732" s="938"/>
      <c r="Y732" s="938"/>
      <c r="Z732" s="938"/>
      <c r="AA732" s="938"/>
      <c r="AB732" s="938"/>
      <c r="AC732" s="1773"/>
      <c r="AD732" s="1020"/>
      <c r="AE732" s="1020"/>
      <c r="AF732" s="1020"/>
      <c r="AG732" s="1778"/>
      <c r="AH732" s="1778"/>
      <c r="AI732" s="1778"/>
      <c r="AJ732" s="1778"/>
      <c r="AK732" s="1281"/>
      <c r="AL732" s="1020"/>
      <c r="AM732" s="1020"/>
      <c r="AN732" s="920"/>
      <c r="AO732" s="1020"/>
      <c r="AP732" s="1000"/>
      <c r="AQ732" s="1000"/>
      <c r="AR732" s="1000"/>
      <c r="AS732" s="1020"/>
      <c r="AT732" s="1020"/>
      <c r="AU732" s="1020"/>
      <c r="AV732" s="1020"/>
      <c r="AW732" s="1020"/>
      <c r="AX732" s="1020"/>
      <c r="AY732" s="1020"/>
      <c r="AZ732" s="1020"/>
      <c r="BA732" s="1020"/>
      <c r="BB732" s="1020"/>
      <c r="BC732" s="1020"/>
      <c r="BD732" s="1020"/>
      <c r="BE732" s="1020"/>
      <c r="BF732" s="1020"/>
      <c r="BG732" s="1020"/>
      <c r="BH732" s="1020"/>
      <c r="BI732" s="1020"/>
      <c r="BJ732" s="1020"/>
      <c r="BK732" s="1020"/>
      <c r="BL732" s="1020"/>
      <c r="BM732" s="1020"/>
      <c r="BN732" s="1020"/>
      <c r="BO732" s="1020"/>
      <c r="BP732" s="1020"/>
      <c r="BQ732" s="1020"/>
      <c r="BR732" s="1020"/>
      <c r="BS732" s="1020"/>
      <c r="BT732" s="1020"/>
      <c r="BU732" s="1020"/>
      <c r="BV732" s="1020"/>
      <c r="BW732" s="1020"/>
      <c r="BX732" s="1020"/>
      <c r="BY732" s="1020"/>
      <c r="BZ732" s="1020"/>
      <c r="CA732" s="1020"/>
      <c r="CB732" s="1020"/>
      <c r="CC732" s="1020"/>
    </row>
    <row r="733" spans="1:81" s="937" customFormat="1" ht="12.75" hidden="1" customHeight="1">
      <c r="A733" s="1113"/>
      <c r="B733" s="51"/>
      <c r="C733" s="1282"/>
      <c r="D733" s="1056"/>
      <c r="E733" s="1020"/>
      <c r="F733" s="1020"/>
      <c r="G733" s="1112"/>
      <c r="H733" s="1112"/>
      <c r="I733" s="1112"/>
      <c r="J733" s="1112"/>
      <c r="K733" s="1112"/>
      <c r="L733" s="1112"/>
      <c r="M733" s="1112"/>
      <c r="N733" s="1112"/>
      <c r="O733" s="1112"/>
      <c r="P733" s="1112"/>
      <c r="Q733" s="1112"/>
      <c r="R733" s="1112"/>
      <c r="S733" s="1112"/>
      <c r="T733" s="1112"/>
      <c r="U733" s="1112"/>
      <c r="V733" s="1112"/>
      <c r="W733" s="1112"/>
      <c r="X733" s="1112"/>
      <c r="Y733" s="1112"/>
      <c r="Z733" s="1112"/>
      <c r="AA733" s="1112"/>
      <c r="AB733" s="1112"/>
      <c r="AC733" s="1112"/>
      <c r="AD733" s="1112"/>
      <c r="AE733" s="1112"/>
      <c r="AF733" s="1112"/>
      <c r="AG733" s="1773"/>
      <c r="AH733" s="1773"/>
      <c r="AI733" s="1773"/>
      <c r="AJ733" s="1773"/>
      <c r="AK733" s="1283"/>
      <c r="AL733" s="112"/>
      <c r="AM733" s="51"/>
      <c r="AN733" s="920"/>
      <c r="AO733" s="1000"/>
      <c r="AP733" s="1000"/>
      <c r="AQ733" s="1000"/>
      <c r="AR733" s="1000"/>
      <c r="AS733" s="1020"/>
      <c r="AT733" s="1020"/>
      <c r="AU733" s="1020"/>
      <c r="AV733" s="1020"/>
      <c r="AW733" s="1020"/>
      <c r="AX733" s="1020"/>
      <c r="AY733" s="1020"/>
      <c r="AZ733" s="1020"/>
      <c r="BA733" s="1020"/>
      <c r="BB733" s="1020"/>
      <c r="BC733" s="1020"/>
      <c r="BD733" s="1020"/>
      <c r="BE733" s="1020"/>
      <c r="BF733" s="1020"/>
      <c r="BG733" s="1020"/>
      <c r="BH733" s="1020"/>
      <c r="BI733" s="1020"/>
      <c r="BJ733" s="1020"/>
      <c r="BK733" s="1020"/>
      <c r="BL733" s="1020"/>
      <c r="BM733" s="1020"/>
      <c r="BN733" s="1020"/>
      <c r="BO733" s="1020"/>
      <c r="BP733" s="1020"/>
      <c r="BQ733" s="1020"/>
      <c r="BR733" s="1020"/>
      <c r="BS733" s="1020"/>
      <c r="BT733" s="1020"/>
      <c r="BU733" s="1020"/>
      <c r="BV733" s="1020"/>
      <c r="BW733" s="1020"/>
      <c r="BX733" s="1020"/>
      <c r="BY733" s="1020"/>
      <c r="BZ733" s="1020"/>
      <c r="CA733" s="1020"/>
      <c r="CB733" s="1020"/>
      <c r="CC733" s="1020"/>
    </row>
    <row r="734" spans="1:81" s="937" customFormat="1" ht="12.75" hidden="1" customHeight="1">
      <c r="A734" s="1113"/>
      <c r="C734" s="3194" t="s">
        <v>626</v>
      </c>
      <c r="D734" s="3195"/>
      <c r="E734" s="1019"/>
      <c r="F734" s="1284" t="s">
        <v>1835</v>
      </c>
      <c r="G734" s="3196" t="s">
        <v>1836</v>
      </c>
      <c r="H734" s="3196"/>
      <c r="I734" s="3196"/>
      <c r="J734" s="3196"/>
      <c r="K734" s="3196"/>
      <c r="L734" s="3196"/>
      <c r="M734" s="3196"/>
      <c r="N734" s="3196"/>
      <c r="O734" s="3196"/>
      <c r="P734" s="3196"/>
      <c r="Q734" s="3196"/>
      <c r="R734" s="3196"/>
      <c r="S734" s="3196"/>
      <c r="T734" s="3196"/>
      <c r="U734" s="3196"/>
      <c r="V734" s="3196"/>
      <c r="W734" s="3196"/>
      <c r="X734" s="3196"/>
      <c r="Y734" s="3196"/>
      <c r="Z734" s="3196"/>
      <c r="AA734" s="3196"/>
      <c r="AB734" s="3196"/>
      <c r="AC734" s="3196"/>
      <c r="AD734" s="3196"/>
      <c r="AE734" s="3196"/>
      <c r="AF734" s="3196"/>
      <c r="AG734" s="1025">
        <f>IF(AND($C$734="Yes",$C$725="Yes"),2,0)</f>
        <v>0</v>
      </c>
      <c r="AH734" s="1781" t="s">
        <v>1597</v>
      </c>
      <c r="AI734" s="938"/>
      <c r="AJ734" s="1778"/>
      <c r="AK734" s="1187"/>
      <c r="AL734" s="1019"/>
      <c r="AN734" s="920"/>
      <c r="AO734" s="1020"/>
      <c r="AP734" s="1020"/>
      <c r="AQ734" s="1020"/>
      <c r="AR734" s="1020"/>
      <c r="AS734" s="1020"/>
      <c r="AT734" s="1020"/>
      <c r="AU734" s="1020"/>
      <c r="AV734" s="1020"/>
      <c r="AW734" s="1020"/>
      <c r="AX734" s="1020"/>
      <c r="AY734" s="1020"/>
      <c r="AZ734" s="1006"/>
      <c r="BA734" s="1020"/>
      <c r="BB734" s="1020"/>
      <c r="BC734" s="1031"/>
      <c r="BD734" s="1006"/>
      <c r="BE734" s="1006"/>
      <c r="BF734" s="1006"/>
      <c r="BG734" s="1020"/>
      <c r="BH734" s="1020"/>
      <c r="BI734" s="1020"/>
      <c r="BJ734" s="1020"/>
      <c r="BK734" s="1020"/>
      <c r="BL734" s="1020"/>
      <c r="BM734" s="1000"/>
      <c r="BN734" s="980"/>
      <c r="BO734" s="1000"/>
      <c r="BP734" s="980"/>
      <c r="BQ734" s="980"/>
      <c r="BR734" s="980"/>
      <c r="BS734" s="980"/>
      <c r="BT734" s="980"/>
      <c r="BU734" s="980"/>
      <c r="BV734" s="1000"/>
      <c r="BW734" s="1000"/>
      <c r="BX734" s="1000"/>
      <c r="BY734" s="1000"/>
      <c r="BZ734" s="1000"/>
      <c r="CA734" s="1000"/>
      <c r="CB734" s="1000"/>
      <c r="CC734" s="1000"/>
    </row>
    <row r="735" spans="1:81" s="937" customFormat="1" ht="12.75" hidden="1" customHeight="1">
      <c r="A735" s="1054"/>
      <c r="C735" s="1285"/>
      <c r="D735" s="1286"/>
      <c r="E735" s="1246"/>
      <c r="F735" s="1287"/>
      <c r="G735" s="3197"/>
      <c r="H735" s="3197"/>
      <c r="I735" s="3197"/>
      <c r="J735" s="3197"/>
      <c r="K735" s="3197"/>
      <c r="L735" s="3197"/>
      <c r="M735" s="3197"/>
      <c r="N735" s="3197"/>
      <c r="O735" s="3197"/>
      <c r="P735" s="3197"/>
      <c r="Q735" s="3197"/>
      <c r="R735" s="3197"/>
      <c r="S735" s="3197"/>
      <c r="T735" s="3197"/>
      <c r="U735" s="3197"/>
      <c r="V735" s="3197"/>
      <c r="W735" s="3197"/>
      <c r="X735" s="3197"/>
      <c r="Y735" s="3197"/>
      <c r="Z735" s="3197"/>
      <c r="AA735" s="3197"/>
      <c r="AB735" s="3197"/>
      <c r="AC735" s="3197"/>
      <c r="AD735" s="3197"/>
      <c r="AE735" s="3197"/>
      <c r="AF735" s="3197"/>
      <c r="AG735" s="1094"/>
      <c r="AH735" s="1094"/>
      <c r="AI735" s="1094"/>
      <c r="AJ735" s="1094"/>
      <c r="AK735" s="1198"/>
      <c r="AL735" s="1019"/>
      <c r="AN735" s="920"/>
      <c r="AO735" s="1020"/>
      <c r="AP735" s="1020"/>
      <c r="AQ735" s="1020"/>
      <c r="AR735" s="1020"/>
      <c r="AS735" s="1020"/>
      <c r="AT735" s="1020"/>
      <c r="AU735" s="1020"/>
      <c r="AV735" s="1020"/>
      <c r="AW735" s="1020"/>
      <c r="AX735" s="1020"/>
      <c r="AY735" s="1020"/>
      <c r="AZ735" s="1006"/>
      <c r="BA735" s="1020"/>
      <c r="BB735" s="1020"/>
      <c r="BC735" s="1031"/>
      <c r="BD735" s="1006"/>
      <c r="BE735" s="1006"/>
      <c r="BF735" s="1006"/>
      <c r="BG735" s="1020"/>
      <c r="BH735" s="1020"/>
      <c r="BI735" s="1020"/>
      <c r="BJ735" s="1020"/>
      <c r="BK735" s="1020"/>
      <c r="BL735" s="1020"/>
      <c r="BM735" s="999"/>
      <c r="BN735" s="999"/>
      <c r="BO735" s="999"/>
      <c r="BP735" s="999"/>
      <c r="BQ735" s="999"/>
      <c r="BR735" s="999"/>
      <c r="BS735" s="999"/>
      <c r="BT735" s="999"/>
      <c r="BU735" s="999"/>
      <c r="BV735" s="999"/>
      <c r="BW735" s="999"/>
      <c r="BX735" s="999"/>
      <c r="BY735" s="999"/>
      <c r="BZ735" s="999"/>
      <c r="CA735" s="999"/>
      <c r="CB735" s="999"/>
      <c r="CC735" s="999"/>
    </row>
    <row r="736" spans="1:81" s="996" customFormat="1" ht="12.75" hidden="1" customHeight="1">
      <c r="A736" s="1054"/>
      <c r="B736" s="937"/>
      <c r="C736" s="1017"/>
      <c r="D736" s="1020"/>
      <c r="E736" s="1244"/>
      <c r="F736" s="1021"/>
      <c r="G736" s="1777"/>
      <c r="H736" s="1777"/>
      <c r="I736" s="1777"/>
      <c r="J736" s="1777"/>
      <c r="K736" s="1777"/>
      <c r="L736" s="1777"/>
      <c r="M736" s="1777"/>
      <c r="N736" s="1777"/>
      <c r="O736" s="1777"/>
      <c r="P736" s="1777"/>
      <c r="Q736" s="1777"/>
      <c r="R736" s="1777"/>
      <c r="S736" s="1777"/>
      <c r="T736" s="1777"/>
      <c r="U736" s="1777"/>
      <c r="V736" s="1777"/>
      <c r="W736" s="1777"/>
      <c r="X736" s="1777"/>
      <c r="Y736" s="1777"/>
      <c r="Z736" s="1777"/>
      <c r="AA736" s="1777"/>
      <c r="AB736" s="1777"/>
      <c r="AC736" s="1777"/>
      <c r="AD736" s="1777"/>
      <c r="AE736" s="1777"/>
      <c r="AF736" s="1777"/>
      <c r="AG736" s="938"/>
      <c r="AH736" s="938"/>
      <c r="AI736" s="938"/>
      <c r="AJ736" s="938"/>
      <c r="AK736" s="1019"/>
      <c r="AL736" s="1019"/>
      <c r="AM736" s="937"/>
      <c r="AN736" s="923"/>
      <c r="AO736" s="1020"/>
      <c r="AP736" s="1006"/>
      <c r="AQ736" s="1006"/>
      <c r="AR736" s="1006"/>
      <c r="AS736" s="1006"/>
      <c r="AT736" s="1006"/>
      <c r="AU736" s="1006"/>
      <c r="AV736" s="1006"/>
      <c r="AW736" s="1006"/>
      <c r="AX736" s="1006"/>
      <c r="AY736" s="1006"/>
      <c r="AZ736" s="1006"/>
      <c r="BA736" s="1006"/>
      <c r="BB736" s="1006"/>
      <c r="BC736" s="1006"/>
      <c r="BD736" s="1006"/>
      <c r="BE736" s="1006"/>
      <c r="BF736" s="1006"/>
      <c r="BG736" s="1006"/>
      <c r="BH736" s="1006"/>
      <c r="BI736" s="1031"/>
      <c r="BJ736" s="1288"/>
      <c r="BK736" s="1288"/>
      <c r="BL736" s="1020"/>
      <c r="BM736" s="999"/>
      <c r="BN736" s="999"/>
      <c r="BO736" s="999"/>
      <c r="BP736" s="999"/>
      <c r="BQ736" s="999"/>
      <c r="BR736" s="999"/>
      <c r="BS736" s="999"/>
      <c r="BT736" s="999"/>
      <c r="BU736" s="999"/>
      <c r="BV736" s="999"/>
      <c r="BW736" s="999"/>
      <c r="BX736" s="999"/>
      <c r="BY736" s="999"/>
      <c r="BZ736" s="999"/>
      <c r="CA736" s="999"/>
      <c r="CB736" s="999"/>
      <c r="CC736" s="999"/>
    </row>
    <row r="737" spans="1:81" s="937" customFormat="1" ht="12.75" hidden="1" customHeight="1">
      <c r="A737" s="1054"/>
      <c r="C737" s="1289" t="s">
        <v>1837</v>
      </c>
      <c r="D737" s="1237"/>
      <c r="E737" s="1290"/>
      <c r="F737" s="1291"/>
      <c r="G737" s="1292"/>
      <c r="H737" s="1292"/>
      <c r="I737" s="1292"/>
      <c r="J737" s="1292"/>
      <c r="K737" s="1292"/>
      <c r="L737" s="1292"/>
      <c r="M737" s="1292"/>
      <c r="N737" s="1292"/>
      <c r="O737" s="1292"/>
      <c r="P737" s="1292"/>
      <c r="Q737" s="1292"/>
      <c r="R737" s="1292"/>
      <c r="S737" s="1292"/>
      <c r="T737" s="1292"/>
      <c r="U737" s="1292"/>
      <c r="V737" s="1292"/>
      <c r="W737" s="1292"/>
      <c r="X737" s="1292"/>
      <c r="Y737" s="1292"/>
      <c r="Z737" s="1292"/>
      <c r="AA737" s="1292"/>
      <c r="AB737" s="1292"/>
      <c r="AC737" s="1292"/>
      <c r="AD737" s="1292"/>
      <c r="AE737" s="1292"/>
      <c r="AF737" s="1292"/>
      <c r="AG737" s="1081"/>
      <c r="AH737" s="1081"/>
      <c r="AI737" s="1081"/>
      <c r="AJ737" s="1081"/>
      <c r="AK737" s="1203"/>
      <c r="AL737" s="1019"/>
      <c r="AN737" s="994"/>
      <c r="AO737" s="1020"/>
      <c r="AP737" s="1006"/>
      <c r="AQ737" s="1006"/>
      <c r="AR737" s="1006"/>
      <c r="AS737" s="1006"/>
      <c r="AT737" s="1006"/>
      <c r="AU737" s="1006"/>
      <c r="AV737" s="1006"/>
      <c r="AW737" s="1006"/>
      <c r="AX737" s="1006"/>
      <c r="AY737" s="1006"/>
      <c r="AZ737" s="1006"/>
      <c r="BA737" s="1006"/>
      <c r="BB737" s="1006"/>
      <c r="BC737" s="1006"/>
      <c r="BD737" s="1006"/>
      <c r="BE737" s="1006"/>
      <c r="BF737" s="1006"/>
      <c r="BG737" s="1006"/>
      <c r="BH737" s="1006"/>
      <c r="BI737" s="1113"/>
      <c r="BJ737" s="1288"/>
      <c r="BK737" s="1288"/>
      <c r="BL737" s="1020"/>
      <c r="BM737" s="999"/>
      <c r="BN737" s="999"/>
      <c r="BO737" s="999"/>
      <c r="BP737" s="999"/>
      <c r="BQ737" s="999"/>
      <c r="BR737" s="999"/>
      <c r="BS737" s="999"/>
      <c r="BT737" s="999"/>
      <c r="BU737" s="999"/>
      <c r="BV737" s="999"/>
      <c r="BW737" s="999"/>
      <c r="BX737" s="999"/>
      <c r="BY737" s="999"/>
      <c r="BZ737" s="999"/>
      <c r="CA737" s="999"/>
      <c r="CB737" s="999"/>
      <c r="CC737" s="999"/>
    </row>
    <row r="738" spans="1:81" s="937" customFormat="1" ht="12.75" hidden="1" customHeight="1">
      <c r="A738" s="1054"/>
      <c r="C738" s="3178" t="s">
        <v>626</v>
      </c>
      <c r="D738" s="3179"/>
      <c r="E738" s="1293" t="s">
        <v>1838</v>
      </c>
      <c r="F738" s="1253" t="s">
        <v>1839</v>
      </c>
      <c r="G738" s="1777"/>
      <c r="H738" s="1777"/>
      <c r="I738" s="1777"/>
      <c r="J738" s="1777"/>
      <c r="K738" s="1777"/>
      <c r="L738" s="1777"/>
      <c r="M738" s="1777"/>
      <c r="N738" s="1777"/>
      <c r="O738" s="1777"/>
      <c r="P738" s="1777"/>
      <c r="Q738" s="1777"/>
      <c r="R738" s="1777"/>
      <c r="S738" s="1777"/>
      <c r="T738" s="1777"/>
      <c r="U738" s="1777"/>
      <c r="V738" s="1777"/>
      <c r="W738" s="1777"/>
      <c r="X738" s="1777"/>
      <c r="Y738" s="1777"/>
      <c r="Z738" s="1777"/>
      <c r="AA738" s="1777"/>
      <c r="AB738" s="1777"/>
      <c r="AC738" s="1777"/>
      <c r="AD738" s="1777"/>
      <c r="AE738" s="1777"/>
      <c r="AF738" s="1777"/>
      <c r="AG738" s="1025">
        <f>IF(C$738="Yes",(VLOOKUP(F$739,$AO$709:$AP$712,2,FALSE)),0)</f>
        <v>0</v>
      </c>
      <c r="AH738" s="1781" t="s">
        <v>1597</v>
      </c>
      <c r="AI738" s="938"/>
      <c r="AJ738" s="938"/>
      <c r="AK738" s="1187"/>
      <c r="AL738" s="1019"/>
      <c r="AN738" s="994"/>
      <c r="AO738" s="1020"/>
      <c r="AP738" s="1006"/>
      <c r="AQ738" s="1006"/>
      <c r="AR738" s="1006"/>
      <c r="AS738" s="1006"/>
      <c r="AT738" s="1006"/>
      <c r="AU738" s="1006"/>
      <c r="AV738" s="1006"/>
      <c r="AW738" s="1006"/>
      <c r="AX738" s="1006"/>
      <c r="AY738" s="1006"/>
      <c r="AZ738" s="1006"/>
      <c r="BA738" s="1006"/>
      <c r="BB738" s="1006"/>
      <c r="BC738" s="1006"/>
      <c r="BD738" s="1006"/>
      <c r="BE738" s="1006"/>
      <c r="BF738" s="1006"/>
      <c r="BG738" s="1006"/>
      <c r="BH738" s="1006"/>
      <c r="BI738" s="1113"/>
      <c r="BJ738" s="1288"/>
      <c r="BK738" s="1288"/>
      <c r="BL738" s="1020"/>
      <c r="BM738" s="1017"/>
      <c r="BN738" s="1017"/>
      <c r="BO738" s="1017"/>
      <c r="BP738" s="1017"/>
      <c r="BQ738" s="1017"/>
      <c r="BR738" s="1017"/>
      <c r="BS738" s="1017"/>
      <c r="BT738" s="1017"/>
      <c r="BU738" s="1017"/>
      <c r="BV738" s="1017"/>
      <c r="BW738" s="1017"/>
      <c r="BX738" s="1017"/>
      <c r="BY738" s="1017"/>
      <c r="BZ738" s="1017"/>
      <c r="CA738" s="1017"/>
      <c r="CB738" s="1017"/>
      <c r="CC738" s="1017"/>
    </row>
    <row r="739" spans="1:81" s="937" customFormat="1" ht="12.75" hidden="1" customHeight="1">
      <c r="A739" s="1054"/>
      <c r="C739" s="1294"/>
      <c r="D739" s="1020"/>
      <c r="E739" s="1244"/>
      <c r="F739" s="3180" t="s">
        <v>626</v>
      </c>
      <c r="G739" s="3180"/>
      <c r="H739" s="3180"/>
      <c r="I739" s="3180"/>
      <c r="J739" s="3180"/>
      <c r="K739" s="3180"/>
      <c r="L739" s="3180"/>
      <c r="M739" s="3180"/>
      <c r="N739" s="3180"/>
      <c r="O739" s="3180"/>
      <c r="P739" s="3180"/>
      <c r="Q739" s="3180"/>
      <c r="R739" s="3180"/>
      <c r="S739" s="3180"/>
      <c r="T739" s="3180"/>
      <c r="U739" s="3180"/>
      <c r="V739" s="3180"/>
      <c r="W739" s="3180"/>
      <c r="X739" s="3180"/>
      <c r="Y739" s="3180"/>
      <c r="Z739" s="3180"/>
      <c r="AA739" s="3180"/>
      <c r="AB739" s="3180"/>
      <c r="AC739" s="3180"/>
      <c r="AD739" s="3180"/>
      <c r="AE739" s="3180"/>
      <c r="AF739" s="3180"/>
      <c r="AG739" s="938"/>
      <c r="AH739" s="938"/>
      <c r="AI739" s="938"/>
      <c r="AJ739" s="938"/>
      <c r="AK739" s="1187"/>
      <c r="AL739" s="1019"/>
      <c r="AN739" s="994"/>
      <c r="AO739" s="1020"/>
      <c r="AP739" s="1020"/>
      <c r="AQ739" s="1020"/>
      <c r="AR739" s="1020"/>
      <c r="AS739" s="1020"/>
      <c r="AT739" s="1020"/>
      <c r="AU739" s="1020"/>
      <c r="AV739" s="1020"/>
      <c r="AW739" s="1020"/>
      <c r="AX739" s="1020"/>
      <c r="AY739" s="1020"/>
      <c r="AZ739" s="1020"/>
      <c r="BA739" s="1020"/>
      <c r="BB739" s="1020"/>
      <c r="BC739" s="1020"/>
      <c r="BD739" s="1020"/>
      <c r="BE739" s="1020"/>
      <c r="BF739" s="1020"/>
      <c r="BG739" s="1020"/>
      <c r="BH739" s="1020"/>
      <c r="BI739" s="1020"/>
      <c r="BJ739" s="1020"/>
      <c r="BK739" s="1020"/>
      <c r="BL739" s="1020"/>
      <c r="BM739" s="1017"/>
      <c r="BN739" s="1017"/>
      <c r="BO739" s="1017"/>
      <c r="BP739" s="1017"/>
      <c r="BQ739" s="1017"/>
      <c r="BR739" s="1017"/>
      <c r="BS739" s="1017"/>
      <c r="BT739" s="1017"/>
      <c r="BU739" s="1017"/>
      <c r="BV739" s="1017"/>
      <c r="BW739" s="1017"/>
      <c r="BX739" s="1017"/>
      <c r="BY739" s="1017"/>
      <c r="BZ739" s="1017"/>
      <c r="CA739" s="1017"/>
      <c r="CB739" s="1017"/>
      <c r="CC739" s="1017"/>
    </row>
    <row r="740" spans="1:81" s="937" customFormat="1" ht="12.75" hidden="1" customHeight="1">
      <c r="A740" s="1054"/>
      <c r="C740" s="1285"/>
      <c r="D740" s="1182"/>
      <c r="E740" s="1246"/>
      <c r="F740" s="3181"/>
      <c r="G740" s="3181"/>
      <c r="H740" s="3181"/>
      <c r="I740" s="3181"/>
      <c r="J740" s="3181"/>
      <c r="K740" s="3181"/>
      <c r="L740" s="3181"/>
      <c r="M740" s="3181"/>
      <c r="N740" s="3181"/>
      <c r="O740" s="3181"/>
      <c r="P740" s="3181"/>
      <c r="Q740" s="3181"/>
      <c r="R740" s="3181"/>
      <c r="S740" s="3181"/>
      <c r="T740" s="3181"/>
      <c r="U740" s="3181"/>
      <c r="V740" s="3181"/>
      <c r="W740" s="3181"/>
      <c r="X740" s="3181"/>
      <c r="Y740" s="3181"/>
      <c r="Z740" s="3181"/>
      <c r="AA740" s="3181"/>
      <c r="AB740" s="3181"/>
      <c r="AC740" s="3181"/>
      <c r="AD740" s="3181"/>
      <c r="AE740" s="3181"/>
      <c r="AF740" s="3181"/>
      <c r="AG740" s="1094"/>
      <c r="AH740" s="1094"/>
      <c r="AI740" s="1094"/>
      <c r="AJ740" s="1094"/>
      <c r="AK740" s="1198"/>
      <c r="AL740" s="1019"/>
      <c r="AN740" s="994"/>
      <c r="AO740" s="1020"/>
      <c r="AP740" s="1020"/>
      <c r="AQ740" s="1020"/>
      <c r="AR740" s="1020"/>
      <c r="AS740" s="1020"/>
      <c r="AT740" s="1020"/>
      <c r="AU740" s="1020"/>
      <c r="AV740" s="1020"/>
      <c r="AW740" s="1020"/>
      <c r="AX740" s="1020"/>
      <c r="AY740" s="1020"/>
      <c r="AZ740" s="1020"/>
      <c r="BA740" s="1020"/>
      <c r="BB740" s="1020"/>
      <c r="BC740" s="1020"/>
      <c r="BD740" s="1020"/>
      <c r="BE740" s="1020"/>
      <c r="BF740" s="1020"/>
      <c r="BG740" s="1020"/>
      <c r="BH740" s="1020"/>
      <c r="BI740" s="1020"/>
      <c r="BJ740" s="1020"/>
      <c r="BK740" s="1020"/>
      <c r="BL740" s="1020"/>
      <c r="BM740" s="1017"/>
      <c r="BN740" s="1017"/>
      <c r="BO740" s="1017"/>
      <c r="BP740" s="1017"/>
      <c r="BQ740" s="1017"/>
      <c r="BR740" s="1017"/>
      <c r="BS740" s="1017"/>
      <c r="BT740" s="1017"/>
      <c r="BU740" s="1017"/>
      <c r="BV740" s="1017"/>
      <c r="BW740" s="1017"/>
      <c r="BX740" s="1017"/>
      <c r="BY740" s="1017"/>
      <c r="BZ740" s="1017"/>
      <c r="CA740" s="1017"/>
      <c r="CB740" s="1017"/>
      <c r="CC740" s="1017"/>
    </row>
    <row r="741" spans="1:81" s="937" customFormat="1" ht="12.75" hidden="1" customHeight="1">
      <c r="A741" s="1113"/>
      <c r="C741" s="938"/>
      <c r="E741" s="938"/>
      <c r="F741" s="1253"/>
      <c r="G741" s="938"/>
      <c r="H741" s="938"/>
      <c r="I741" s="938"/>
      <c r="J741" s="938"/>
      <c r="K741" s="938"/>
      <c r="L741" s="938"/>
      <c r="M741" s="938"/>
      <c r="N741" s="938"/>
      <c r="O741" s="938"/>
      <c r="P741" s="938"/>
      <c r="Q741" s="938"/>
      <c r="R741" s="938"/>
      <c r="S741" s="938"/>
      <c r="T741" s="938"/>
      <c r="U741" s="938"/>
      <c r="V741" s="938"/>
      <c r="W741" s="938"/>
      <c r="X741" s="938"/>
      <c r="Y741" s="938"/>
      <c r="Z741" s="938"/>
      <c r="AA741" s="938"/>
      <c r="AB741" s="938"/>
      <c r="AC741" s="938"/>
      <c r="AD741" s="1029"/>
      <c r="AE741" s="938"/>
      <c r="AF741" s="938"/>
      <c r="AG741" s="938"/>
      <c r="AH741" s="938"/>
      <c r="AI741" s="1020"/>
      <c r="AK741" s="1020"/>
      <c r="AL741" s="1020"/>
      <c r="AM741" s="1020"/>
      <c r="AN741" s="994"/>
      <c r="AO741" s="1020"/>
      <c r="AP741" s="1020"/>
      <c r="AQ741" s="1020"/>
      <c r="AR741" s="1020"/>
      <c r="AS741" s="1020"/>
      <c r="AT741" s="1020"/>
      <c r="AU741" s="1020"/>
      <c r="AV741" s="1020"/>
      <c r="AW741" s="1020"/>
      <c r="AX741" s="1020"/>
      <c r="AY741" s="1020"/>
      <c r="AZ741" s="1020"/>
      <c r="BA741" s="1020"/>
      <c r="BB741" s="1020"/>
      <c r="BC741" s="1020"/>
      <c r="BD741" s="1020"/>
      <c r="BE741" s="1020"/>
      <c r="BF741" s="1020"/>
      <c r="BG741" s="1020"/>
      <c r="BH741" s="1020"/>
      <c r="BI741" s="1020"/>
      <c r="BJ741" s="1020"/>
      <c r="BK741" s="1020"/>
      <c r="BL741" s="1020"/>
      <c r="BM741" s="1017"/>
      <c r="BN741" s="1017"/>
      <c r="BO741" s="1017"/>
      <c r="BP741" s="1017"/>
      <c r="BQ741" s="1017"/>
      <c r="BR741" s="1017"/>
      <c r="BS741" s="1017"/>
      <c r="BT741" s="1017"/>
      <c r="BU741" s="1017"/>
      <c r="BV741" s="1017"/>
      <c r="BW741" s="1017"/>
      <c r="BX741" s="1017"/>
      <c r="BY741" s="1017"/>
      <c r="BZ741" s="1017"/>
      <c r="CA741" s="1017"/>
      <c r="CB741" s="1017"/>
      <c r="CC741" s="1017"/>
    </row>
    <row r="742" spans="1:81" s="937" customFormat="1" ht="12.75" hidden="1" customHeight="1">
      <c r="A742" s="1113"/>
      <c r="B742" s="1295" t="s">
        <v>1840</v>
      </c>
      <c r="C742" s="938"/>
      <c r="E742" s="938"/>
      <c r="F742" s="938"/>
      <c r="G742" s="938"/>
      <c r="H742" s="938"/>
      <c r="I742" s="938"/>
      <c r="J742" s="938"/>
      <c r="K742" s="938"/>
      <c r="L742" s="938"/>
      <c r="M742" s="938"/>
      <c r="N742" s="938"/>
      <c r="O742" s="938"/>
      <c r="P742" s="938"/>
      <c r="Q742" s="938"/>
      <c r="R742" s="938"/>
      <c r="S742" s="938"/>
      <c r="T742" s="938"/>
      <c r="U742" s="938"/>
      <c r="V742" s="938"/>
      <c r="W742" s="938"/>
      <c r="X742" s="938"/>
      <c r="Y742" s="938"/>
      <c r="Z742" s="938"/>
      <c r="AA742" s="938"/>
      <c r="AB742" s="938"/>
      <c r="AC742" s="938"/>
      <c r="AD742" s="1029"/>
      <c r="AE742" s="938"/>
      <c r="AF742" s="938"/>
      <c r="AG742" s="938"/>
      <c r="AH742" s="938"/>
      <c r="AI742" s="1020"/>
      <c r="AK742" s="1020"/>
      <c r="AL742" s="1020"/>
      <c r="AM742" s="1020"/>
      <c r="AN742" s="994"/>
      <c r="AO742" s="1020"/>
      <c r="AP742" s="1271"/>
      <c r="AQ742" s="1271"/>
      <c r="AR742" s="1271"/>
      <c r="AS742" s="1271"/>
      <c r="AT742" s="1271"/>
      <c r="AU742" s="1271"/>
      <c r="AV742" s="1271"/>
      <c r="AW742" s="1271"/>
      <c r="AX742" s="1271"/>
      <c r="AY742" s="1271"/>
      <c r="AZ742" s="1020"/>
      <c r="BA742" s="1020"/>
      <c r="BB742" s="1020"/>
      <c r="BC742" s="1020"/>
      <c r="BD742" s="1020"/>
      <c r="BE742" s="1020"/>
      <c r="BF742" s="1020"/>
      <c r="BG742" s="1020"/>
      <c r="BH742" s="1020"/>
      <c r="BI742" s="1020"/>
      <c r="BJ742" s="1020"/>
      <c r="BK742" s="1020"/>
      <c r="BL742" s="1020"/>
      <c r="BM742" s="1017"/>
      <c r="BN742" s="1017"/>
      <c r="BO742" s="1017"/>
      <c r="BP742" s="1017"/>
      <c r="BQ742" s="1017"/>
      <c r="BR742" s="1017"/>
      <c r="BS742" s="1017"/>
      <c r="BT742" s="1017"/>
      <c r="BU742" s="1017"/>
      <c r="BV742" s="1017"/>
      <c r="BW742" s="1017"/>
      <c r="BX742" s="1017"/>
      <c r="BY742" s="1017"/>
      <c r="BZ742" s="1017"/>
      <c r="CA742" s="1017"/>
      <c r="CB742" s="1017"/>
      <c r="CC742" s="1017"/>
    </row>
    <row r="743" spans="1:81" s="937" customFormat="1" ht="12.75" hidden="1" customHeight="1">
      <c r="A743" s="1113"/>
      <c r="B743" s="1295" t="s">
        <v>1841</v>
      </c>
      <c r="C743" s="938"/>
      <c r="E743" s="938"/>
      <c r="F743" s="938"/>
      <c r="G743" s="938"/>
      <c r="H743" s="938"/>
      <c r="I743" s="938"/>
      <c r="J743" s="938"/>
      <c r="K743" s="938"/>
      <c r="L743" s="938"/>
      <c r="M743" s="938"/>
      <c r="N743" s="938"/>
      <c r="O743" s="938"/>
      <c r="P743" s="938"/>
      <c r="Q743" s="938"/>
      <c r="R743" s="938"/>
      <c r="S743" s="938"/>
      <c r="T743" s="938"/>
      <c r="U743" s="938"/>
      <c r="V743" s="938"/>
      <c r="W743" s="938"/>
      <c r="X743" s="938"/>
      <c r="Y743" s="938"/>
      <c r="Z743" s="938"/>
      <c r="AA743" s="938"/>
      <c r="AB743" s="938"/>
      <c r="AC743" s="938"/>
      <c r="AD743" s="1029"/>
      <c r="AE743" s="938"/>
      <c r="AF743" s="938"/>
      <c r="AG743" s="938"/>
      <c r="AH743" s="938"/>
      <c r="AI743" s="1020"/>
      <c r="AK743" s="1020"/>
      <c r="AL743" s="1020"/>
      <c r="AM743" s="1020"/>
      <c r="AN743" s="994"/>
      <c r="AO743" s="1020"/>
      <c r="AP743" s="1296"/>
      <c r="AQ743" s="1296"/>
      <c r="AR743" s="1296"/>
      <c r="AS743" s="1296"/>
      <c r="AT743" s="1296"/>
      <c r="AU743" s="1296"/>
      <c r="AV743" s="1296"/>
      <c r="AW743" s="1296"/>
      <c r="AX743" s="1296"/>
      <c r="AY743" s="1296"/>
      <c r="AZ743" s="1020"/>
      <c r="BA743" s="1020"/>
      <c r="BB743" s="1020"/>
      <c r="BC743" s="1020"/>
      <c r="BD743" s="1020"/>
      <c r="BE743" s="1020"/>
      <c r="BF743" s="1020"/>
      <c r="BG743" s="1020"/>
      <c r="BH743" s="1020"/>
      <c r="BI743" s="1020"/>
      <c r="BJ743" s="1020"/>
      <c r="BK743" s="1020"/>
      <c r="BL743" s="1020"/>
      <c r="BM743" s="1017"/>
      <c r="BN743" s="1017"/>
      <c r="BO743" s="1017"/>
      <c r="BP743" s="1017"/>
      <c r="BQ743" s="1017"/>
      <c r="BR743" s="1017"/>
      <c r="BS743" s="1017"/>
      <c r="BT743" s="1017"/>
      <c r="BU743" s="1017"/>
      <c r="BV743" s="1017"/>
      <c r="BW743" s="1017"/>
      <c r="BX743" s="1017"/>
      <c r="BY743" s="1017"/>
      <c r="BZ743" s="1017"/>
      <c r="CA743" s="1017"/>
      <c r="CB743" s="1017"/>
      <c r="CC743" s="1017"/>
    </row>
    <row r="744" spans="1:81" s="937" customFormat="1" ht="12.75" hidden="1" customHeight="1">
      <c r="A744" s="1113"/>
      <c r="B744" s="937" t="s">
        <v>1842</v>
      </c>
      <c r="C744" s="938"/>
      <c r="E744" s="938"/>
      <c r="F744" s="938"/>
      <c r="G744" s="938"/>
      <c r="H744" s="938"/>
      <c r="I744" s="938"/>
      <c r="J744" s="938"/>
      <c r="K744" s="938"/>
      <c r="L744" s="938"/>
      <c r="M744" s="938"/>
      <c r="N744" s="938"/>
      <c r="O744" s="938"/>
      <c r="P744" s="938"/>
      <c r="Q744" s="938"/>
      <c r="R744" s="938"/>
      <c r="S744" s="938"/>
      <c r="T744" s="938"/>
      <c r="U744" s="938"/>
      <c r="V744" s="938"/>
      <c r="W744" s="938"/>
      <c r="X744" s="938"/>
      <c r="Y744" s="938"/>
      <c r="Z744" s="938"/>
      <c r="AA744" s="938"/>
      <c r="AB744" s="938"/>
      <c r="AC744" s="938"/>
      <c r="AD744" s="1029"/>
      <c r="AE744" s="938"/>
      <c r="AF744" s="938"/>
      <c r="AG744" s="938"/>
      <c r="AH744" s="938"/>
      <c r="AI744" s="1020"/>
      <c r="AK744" s="1020"/>
      <c r="AL744" s="1020"/>
      <c r="AM744" s="1020"/>
      <c r="AN744" s="994"/>
      <c r="AO744" s="1020"/>
      <c r="AP744" s="1296"/>
      <c r="AQ744" s="1296"/>
      <c r="AR744" s="1296"/>
      <c r="AS744" s="1296"/>
      <c r="AT744" s="1296"/>
      <c r="AU744" s="1296"/>
      <c r="AV744" s="1296"/>
      <c r="AW744" s="1296"/>
      <c r="AX744" s="1296"/>
      <c r="AY744" s="1296"/>
      <c r="AZ744" s="1020"/>
      <c r="BA744" s="1020"/>
      <c r="BB744" s="1020"/>
      <c r="BC744" s="1020"/>
      <c r="BD744" s="1020"/>
      <c r="BE744" s="1020"/>
      <c r="BF744" s="1020"/>
      <c r="BG744" s="1020"/>
      <c r="BH744" s="1020"/>
      <c r="BI744" s="1020"/>
      <c r="BJ744" s="1020"/>
      <c r="BK744" s="1020"/>
      <c r="BL744" s="1020"/>
      <c r="BM744" s="1017"/>
      <c r="BN744" s="1017"/>
      <c r="BO744" s="1017"/>
      <c r="BP744" s="1017"/>
      <c r="BQ744" s="1017"/>
      <c r="BR744" s="1017"/>
      <c r="BS744" s="1017"/>
      <c r="BT744" s="1017"/>
      <c r="BU744" s="1017"/>
      <c r="BV744" s="1017"/>
      <c r="BW744" s="1017"/>
      <c r="BX744" s="1017"/>
      <c r="BY744" s="1017"/>
      <c r="BZ744" s="1017"/>
      <c r="CA744" s="1017"/>
      <c r="CB744" s="1017"/>
      <c r="CC744" s="1017"/>
    </row>
    <row r="745" spans="1:81" s="937" customFormat="1" ht="12.75" hidden="1" customHeight="1">
      <c r="A745" s="1113"/>
      <c r="B745" s="937" t="s">
        <v>1843</v>
      </c>
      <c r="C745" s="938"/>
      <c r="E745" s="938"/>
      <c r="F745" s="938"/>
      <c r="G745" s="938"/>
      <c r="H745" s="938"/>
      <c r="I745" s="938"/>
      <c r="J745" s="938"/>
      <c r="K745" s="938"/>
      <c r="L745" s="938"/>
      <c r="M745" s="938"/>
      <c r="N745" s="938"/>
      <c r="O745" s="938"/>
      <c r="P745" s="938"/>
      <c r="Q745" s="938"/>
      <c r="R745" s="938"/>
      <c r="S745" s="938"/>
      <c r="T745" s="938"/>
      <c r="U745" s="938"/>
      <c r="V745" s="938"/>
      <c r="W745" s="938"/>
      <c r="X745" s="938"/>
      <c r="Y745" s="938"/>
      <c r="Z745" s="938"/>
      <c r="AA745" s="938"/>
      <c r="AB745" s="938"/>
      <c r="AC745" s="938"/>
      <c r="AD745" s="1029"/>
      <c r="AE745" s="938"/>
      <c r="AF745" s="938"/>
      <c r="AG745" s="938"/>
      <c r="AH745" s="938"/>
      <c r="AI745" s="1020"/>
      <c r="AK745" s="1020"/>
      <c r="AL745" s="1020"/>
      <c r="AM745" s="1020"/>
      <c r="AN745" s="994"/>
      <c r="AO745" s="1020"/>
      <c r="AP745" s="1296"/>
      <c r="AQ745" s="1296"/>
      <c r="AR745" s="1296"/>
      <c r="AS745" s="1296"/>
      <c r="AT745" s="1296"/>
      <c r="AU745" s="1296"/>
      <c r="AV745" s="1296"/>
      <c r="AW745" s="1296"/>
      <c r="AX745" s="1296"/>
      <c r="AY745" s="1296"/>
      <c r="AZ745" s="1020"/>
      <c r="BA745" s="1020"/>
      <c r="BB745" s="1020"/>
      <c r="BC745" s="1020"/>
      <c r="BD745" s="1020"/>
      <c r="BE745" s="1020"/>
      <c r="BF745" s="1020"/>
      <c r="BG745" s="1020"/>
      <c r="BH745" s="1020"/>
      <c r="BI745" s="1020"/>
      <c r="BJ745" s="1020"/>
      <c r="BK745" s="1020"/>
      <c r="BL745" s="1020"/>
      <c r="BM745" s="1017"/>
      <c r="BN745" s="1017"/>
      <c r="BO745" s="1017"/>
      <c r="BP745" s="1017"/>
      <c r="BQ745" s="1017"/>
      <c r="BR745" s="1017"/>
      <c r="BS745" s="1017"/>
      <c r="BT745" s="1017"/>
      <c r="BU745" s="1017"/>
      <c r="BV745" s="1017"/>
      <c r="BW745" s="1017"/>
      <c r="BX745" s="1017"/>
      <c r="BY745" s="1017"/>
      <c r="BZ745" s="1017"/>
      <c r="CA745" s="1017"/>
      <c r="CB745" s="1017"/>
      <c r="CC745" s="1017"/>
    </row>
    <row r="746" spans="1:81" s="937" customFormat="1" ht="12.75" hidden="1" customHeight="1">
      <c r="A746" s="1113"/>
      <c r="B746" s="937" t="s">
        <v>1844</v>
      </c>
      <c r="C746" s="938"/>
      <c r="E746" s="938"/>
      <c r="F746" s="938"/>
      <c r="G746" s="938"/>
      <c r="H746" s="938"/>
      <c r="I746" s="938"/>
      <c r="J746" s="938"/>
      <c r="K746" s="938"/>
      <c r="L746" s="938"/>
      <c r="M746" s="938"/>
      <c r="N746" s="938"/>
      <c r="O746" s="938"/>
      <c r="P746" s="938"/>
      <c r="Q746" s="938"/>
      <c r="R746" s="938"/>
      <c r="S746" s="938"/>
      <c r="T746" s="938"/>
      <c r="U746" s="938"/>
      <c r="V746" s="938"/>
      <c r="W746" s="938"/>
      <c r="X746" s="938"/>
      <c r="Y746" s="938"/>
      <c r="Z746" s="938"/>
      <c r="AA746" s="938"/>
      <c r="AB746" s="938"/>
      <c r="AC746" s="938"/>
      <c r="AD746" s="1029"/>
      <c r="AE746" s="938"/>
      <c r="AF746" s="938"/>
      <c r="AG746" s="938"/>
      <c r="AH746" s="938"/>
      <c r="AI746" s="1020"/>
      <c r="AK746" s="1020"/>
      <c r="AL746" s="1020"/>
      <c r="AM746" s="1020"/>
      <c r="AN746" s="994"/>
      <c r="AO746" s="1020"/>
      <c r="AP746" s="1296"/>
      <c r="AQ746" s="1296"/>
      <c r="AR746" s="1296"/>
      <c r="AS746" s="1296"/>
      <c r="AT746" s="1296"/>
      <c r="AU746" s="1296"/>
      <c r="AV746" s="1296"/>
      <c r="AW746" s="1296"/>
      <c r="AX746" s="1296"/>
      <c r="AY746" s="1296"/>
      <c r="AZ746" s="1020"/>
      <c r="BA746" s="1020"/>
      <c r="BB746" s="1020"/>
      <c r="BC746" s="1020"/>
      <c r="BD746" s="1020"/>
      <c r="BE746" s="1020"/>
      <c r="BF746" s="1020"/>
      <c r="BG746" s="1020"/>
      <c r="BH746" s="1020"/>
      <c r="BI746" s="1020"/>
      <c r="BJ746" s="1020"/>
      <c r="BK746" s="1020"/>
      <c r="BL746" s="1020"/>
      <c r="BM746" s="1017"/>
      <c r="BN746" s="1017"/>
      <c r="BO746" s="1017"/>
      <c r="BP746" s="1017"/>
      <c r="BQ746" s="1017"/>
      <c r="BR746" s="1017"/>
      <c r="BS746" s="1017"/>
      <c r="BT746" s="1017"/>
      <c r="BU746" s="1017"/>
      <c r="BV746" s="1017"/>
      <c r="BW746" s="1017"/>
      <c r="BX746" s="1017"/>
      <c r="BY746" s="1017"/>
      <c r="BZ746" s="1017"/>
      <c r="CA746" s="1017"/>
      <c r="CB746" s="1017"/>
      <c r="CC746" s="1017"/>
    </row>
    <row r="747" spans="1:81" s="937" customFormat="1" ht="12.75" hidden="1" customHeight="1">
      <c r="A747" s="1113"/>
      <c r="B747" s="937" t="s">
        <v>1845</v>
      </c>
      <c r="C747" s="938"/>
      <c r="E747" s="938"/>
      <c r="F747" s="938"/>
      <c r="G747" s="938"/>
      <c r="H747" s="938"/>
      <c r="I747" s="938"/>
      <c r="J747" s="938"/>
      <c r="K747" s="938"/>
      <c r="L747" s="938"/>
      <c r="M747" s="938"/>
      <c r="N747" s="938"/>
      <c r="O747" s="938"/>
      <c r="P747" s="938"/>
      <c r="Q747" s="938"/>
      <c r="R747" s="938"/>
      <c r="S747" s="938"/>
      <c r="T747" s="938"/>
      <c r="U747" s="938"/>
      <c r="V747" s="938"/>
      <c r="W747" s="938"/>
      <c r="X747" s="938"/>
      <c r="Y747" s="938"/>
      <c r="Z747" s="938"/>
      <c r="AA747" s="938"/>
      <c r="AB747" s="938"/>
      <c r="AC747" s="938"/>
      <c r="AD747" s="1029"/>
      <c r="AE747" s="938"/>
      <c r="AF747" s="938"/>
      <c r="AG747" s="938"/>
      <c r="AH747" s="938"/>
      <c r="AI747" s="1020"/>
      <c r="AK747" s="1020"/>
      <c r="AL747" s="1020"/>
      <c r="AM747" s="1020"/>
      <c r="AN747" s="994"/>
      <c r="AO747" s="1020"/>
      <c r="AP747" s="1296"/>
      <c r="AQ747" s="1296"/>
      <c r="AR747" s="1296"/>
      <c r="AS747" s="1296"/>
      <c r="AT747" s="1296"/>
      <c r="AU747" s="1296"/>
      <c r="AV747" s="1296"/>
      <c r="AW747" s="1296"/>
      <c r="AX747" s="1296"/>
      <c r="AY747" s="1296"/>
      <c r="AZ747" s="1020"/>
      <c r="BA747" s="1020"/>
      <c r="BB747" s="1020"/>
      <c r="BC747" s="1020"/>
      <c r="BD747" s="1020"/>
      <c r="BE747" s="1020"/>
      <c r="BF747" s="1020"/>
      <c r="BG747" s="1020"/>
      <c r="BH747" s="1020"/>
      <c r="BI747" s="1020"/>
      <c r="BJ747" s="1020"/>
      <c r="BK747" s="1020"/>
      <c r="BL747" s="1020"/>
      <c r="BM747" s="1017"/>
      <c r="BN747" s="1017"/>
      <c r="BO747" s="1017"/>
      <c r="BP747" s="1017"/>
      <c r="BQ747" s="1017"/>
      <c r="BR747" s="1017"/>
      <c r="BS747" s="1017"/>
      <c r="BT747" s="1017"/>
      <c r="BU747" s="1017"/>
      <c r="BV747" s="1017"/>
      <c r="BW747" s="1017"/>
      <c r="BX747" s="1017"/>
      <c r="BY747" s="1017"/>
      <c r="BZ747" s="1017"/>
      <c r="CA747" s="1017"/>
      <c r="CB747" s="1017"/>
      <c r="CC747" s="1017"/>
    </row>
    <row r="748" spans="1:81" s="937" customFormat="1" ht="12.75" hidden="1" customHeight="1">
      <c r="A748" s="1113"/>
      <c r="B748" s="937" t="s">
        <v>1846</v>
      </c>
      <c r="C748" s="938"/>
      <c r="E748" s="938"/>
      <c r="F748" s="938"/>
      <c r="G748" s="938"/>
      <c r="H748" s="938"/>
      <c r="I748" s="938"/>
      <c r="J748" s="938"/>
      <c r="K748" s="938"/>
      <c r="L748" s="938"/>
      <c r="M748" s="938"/>
      <c r="N748" s="938"/>
      <c r="O748" s="938"/>
      <c r="P748" s="938"/>
      <c r="Q748" s="938"/>
      <c r="R748" s="938"/>
      <c r="S748" s="938"/>
      <c r="T748" s="938"/>
      <c r="U748" s="938"/>
      <c r="V748" s="938"/>
      <c r="W748" s="938"/>
      <c r="X748" s="938"/>
      <c r="Y748" s="938"/>
      <c r="Z748" s="938"/>
      <c r="AA748" s="938"/>
      <c r="AB748" s="938"/>
      <c r="AC748" s="938"/>
      <c r="AD748" s="1029"/>
      <c r="AE748" s="938"/>
      <c r="AF748" s="938"/>
      <c r="AG748" s="938"/>
      <c r="AH748" s="938"/>
      <c r="AI748" s="1020"/>
      <c r="AK748" s="1020"/>
      <c r="AL748" s="1020"/>
      <c r="AM748" s="1020"/>
      <c r="AN748" s="994"/>
      <c r="AO748" s="1020"/>
      <c r="AP748" s="1020"/>
      <c r="AQ748" s="1020"/>
      <c r="AR748" s="1020"/>
      <c r="AS748" s="1020"/>
      <c r="AT748" s="1020"/>
      <c r="AU748" s="1020"/>
      <c r="AV748" s="1020"/>
      <c r="AW748" s="1020"/>
      <c r="AX748" s="1020"/>
      <c r="AY748" s="1020"/>
      <c r="AZ748" s="1020"/>
      <c r="BA748" s="1020"/>
      <c r="BB748" s="1020"/>
      <c r="BC748" s="1020"/>
      <c r="BD748" s="1020"/>
      <c r="BE748" s="1020"/>
      <c r="BF748" s="1020"/>
      <c r="BG748" s="1020"/>
      <c r="BH748" s="1020"/>
      <c r="BI748" s="1020"/>
      <c r="BJ748" s="1020"/>
      <c r="BK748" s="1020"/>
      <c r="BL748" s="1020"/>
      <c r="BM748" s="1020"/>
      <c r="BN748" s="1020"/>
      <c r="BO748" s="1020"/>
      <c r="BP748" s="1020"/>
      <c r="BQ748" s="1020"/>
      <c r="BR748" s="1020"/>
      <c r="BS748" s="1020"/>
      <c r="BT748" s="1020"/>
      <c r="BU748" s="1020"/>
      <c r="BV748" s="1020"/>
      <c r="BW748" s="1020"/>
      <c r="BX748" s="1020"/>
      <c r="BY748" s="1020"/>
      <c r="BZ748" s="1020"/>
      <c r="CA748" s="1020"/>
      <c r="CB748" s="1020"/>
      <c r="CC748" s="1020"/>
    </row>
    <row r="749" spans="1:81" s="937" customFormat="1" ht="12.75" hidden="1" customHeight="1">
      <c r="A749" s="1297"/>
      <c r="C749" s="938"/>
      <c r="E749" s="938"/>
      <c r="F749" s="938"/>
      <c r="G749" s="938"/>
      <c r="H749" s="938"/>
      <c r="I749" s="938"/>
      <c r="J749" s="938"/>
      <c r="K749" s="938"/>
      <c r="L749" s="938"/>
      <c r="M749" s="938"/>
      <c r="N749" s="938"/>
      <c r="O749" s="938"/>
      <c r="P749" s="938"/>
      <c r="Q749" s="938"/>
      <c r="R749" s="938"/>
      <c r="S749" s="938"/>
      <c r="T749" s="938"/>
      <c r="U749" s="938"/>
      <c r="V749" s="938"/>
      <c r="W749" s="938"/>
      <c r="X749" s="938"/>
      <c r="Y749" s="938"/>
      <c r="Z749" s="938"/>
      <c r="AA749" s="938"/>
      <c r="AB749" s="938"/>
      <c r="AC749" s="938"/>
      <c r="AD749" s="1029"/>
      <c r="AE749" s="938"/>
      <c r="AF749" s="938"/>
      <c r="AG749" s="938"/>
      <c r="AH749" s="938"/>
      <c r="AI749" s="1020"/>
      <c r="AK749" s="1020"/>
      <c r="AL749" s="1020"/>
      <c r="AM749" s="1020"/>
      <c r="AN749" s="994"/>
      <c r="AO749" s="1020"/>
      <c r="AP749" s="1020"/>
      <c r="AQ749" s="1020"/>
      <c r="AR749" s="1020"/>
      <c r="AS749" s="1020"/>
      <c r="AT749" s="1020"/>
      <c r="AU749" s="1020"/>
      <c r="AV749" s="1020"/>
      <c r="AW749" s="1020"/>
      <c r="AX749" s="1020"/>
      <c r="AY749" s="1020"/>
      <c r="AZ749" s="1020"/>
      <c r="BA749" s="1020"/>
      <c r="BB749" s="1020"/>
      <c r="BC749" s="1020"/>
      <c r="BD749" s="1020"/>
      <c r="BE749" s="1020"/>
      <c r="BF749" s="1020"/>
      <c r="BG749" s="1020"/>
      <c r="BH749" s="1020"/>
      <c r="BI749" s="1020"/>
      <c r="BJ749" s="1020"/>
      <c r="BK749" s="1020"/>
      <c r="BL749" s="1020"/>
      <c r="BM749" s="1020"/>
      <c r="BN749" s="1020"/>
      <c r="BO749" s="1020"/>
      <c r="BP749" s="1020"/>
      <c r="BQ749" s="1020"/>
      <c r="BR749" s="1020"/>
      <c r="BS749" s="1020"/>
      <c r="BT749" s="1020"/>
      <c r="BU749" s="1020"/>
      <c r="BV749" s="1020"/>
      <c r="BW749" s="1020"/>
      <c r="BX749" s="1020"/>
      <c r="BY749" s="1020"/>
      <c r="BZ749" s="1020"/>
      <c r="CA749" s="1020"/>
      <c r="CB749" s="1020"/>
      <c r="CC749" s="1020"/>
    </row>
    <row r="750" spans="1:81" s="937" customFormat="1" ht="12.75" hidden="1" customHeight="1">
      <c r="A750" s="1065"/>
      <c r="B750" s="1101"/>
      <c r="C750" s="1101"/>
      <c r="D750" s="1101"/>
      <c r="E750" s="1101"/>
      <c r="F750" s="1101"/>
      <c r="G750" s="1101"/>
      <c r="H750" s="1101"/>
      <c r="I750" s="1101"/>
      <c r="J750" s="1101"/>
      <c r="K750" s="1101"/>
      <c r="L750" s="1101"/>
      <c r="M750" s="1101"/>
      <c r="N750" s="1101"/>
      <c r="O750" s="1101"/>
      <c r="P750" s="1101"/>
      <c r="Q750" s="1101"/>
      <c r="R750" s="1101"/>
      <c r="S750" s="1101"/>
      <c r="T750" s="1101"/>
      <c r="U750" s="1101"/>
      <c r="V750" s="1101"/>
      <c r="W750" s="1101"/>
      <c r="X750" s="1101"/>
      <c r="Y750" s="1101"/>
      <c r="Z750" s="1101"/>
      <c r="AA750" s="1101"/>
      <c r="AB750" s="1101"/>
      <c r="AC750" s="1102"/>
      <c r="AD750" s="1101"/>
      <c r="AE750" s="1101"/>
      <c r="AF750" s="1101"/>
      <c r="AG750" s="1101"/>
      <c r="AH750" s="1012"/>
      <c r="AI750" s="953"/>
      <c r="AJ750" s="953" t="s">
        <v>1847</v>
      </c>
      <c r="AK750" s="3100">
        <f>SUM(AG694:AG739)</f>
        <v>0</v>
      </c>
      <c r="AL750" s="3101"/>
      <c r="AM750" s="3102"/>
      <c r="AN750" s="994"/>
      <c r="AO750" s="1020"/>
      <c r="AP750" s="1000"/>
      <c r="AQ750" s="1000"/>
      <c r="AR750" s="1000"/>
      <c r="AS750" s="1000"/>
      <c r="AT750" s="1000"/>
      <c r="AU750" s="1000"/>
      <c r="AV750" s="1000"/>
      <c r="AW750" s="1000"/>
      <c r="AX750" s="1000"/>
      <c r="AY750" s="1000"/>
      <c r="AZ750" s="1000"/>
      <c r="BA750" s="1020"/>
      <c r="BB750" s="1020"/>
      <c r="BC750" s="1020"/>
      <c r="BD750" s="1020"/>
      <c r="BE750" s="1020"/>
      <c r="BF750" s="1020"/>
      <c r="BG750" s="1020"/>
      <c r="BH750" s="1020"/>
      <c r="BI750" s="1020"/>
      <c r="BJ750" s="1020"/>
      <c r="BK750" s="1020"/>
      <c r="BL750" s="1020"/>
      <c r="BM750" s="1020"/>
      <c r="BN750" s="1020"/>
      <c r="BO750" s="1020"/>
      <c r="BP750" s="1020"/>
      <c r="BQ750" s="1020"/>
      <c r="BR750" s="1020"/>
      <c r="BS750" s="1020"/>
      <c r="BT750" s="1020"/>
      <c r="BU750" s="1020"/>
      <c r="BV750" s="1020"/>
      <c r="BW750" s="1020"/>
      <c r="BX750" s="1020"/>
      <c r="BY750" s="1020"/>
      <c r="BZ750" s="1020"/>
      <c r="CA750" s="1020"/>
      <c r="CB750" s="1020"/>
      <c r="CC750" s="1020"/>
    </row>
    <row r="751" spans="1:81" s="937" customFormat="1" ht="12.75" hidden="1" customHeight="1" thickBot="1">
      <c r="A751" s="1054"/>
      <c r="B751" s="938"/>
      <c r="C751" s="938"/>
      <c r="D751" s="938"/>
      <c r="E751" s="938"/>
      <c r="F751" s="938"/>
      <c r="G751" s="938"/>
      <c r="H751" s="938"/>
      <c r="I751" s="938"/>
      <c r="J751" s="938"/>
      <c r="K751" s="938"/>
      <c r="L751" s="938"/>
      <c r="M751" s="938"/>
      <c r="N751" s="938"/>
      <c r="O751" s="938"/>
      <c r="P751" s="938"/>
      <c r="Q751" s="938"/>
      <c r="R751" s="938"/>
      <c r="S751" s="938"/>
      <c r="T751" s="938"/>
      <c r="U751" s="938"/>
      <c r="V751" s="938"/>
      <c r="W751" s="938"/>
      <c r="X751" s="938"/>
      <c r="Y751" s="938"/>
      <c r="Z751" s="938"/>
      <c r="AA751" s="938"/>
      <c r="AB751" s="938"/>
      <c r="AC751" s="1029"/>
      <c r="AD751" s="938"/>
      <c r="AE751" s="938"/>
      <c r="AF751" s="938"/>
      <c r="AG751" s="938"/>
      <c r="AH751" s="1020"/>
      <c r="AI751" s="1774"/>
      <c r="AJ751" s="1774"/>
      <c r="AK751" s="999"/>
      <c r="AL751" s="999"/>
      <c r="AM751" s="999"/>
      <c r="AN751" s="994"/>
      <c r="AO751" s="1020"/>
      <c r="AP751" s="1000"/>
      <c r="AQ751" s="1000"/>
      <c r="AR751" s="1000"/>
      <c r="AS751" s="1000"/>
      <c r="AT751" s="1000"/>
      <c r="AU751" s="1000"/>
      <c r="AV751" s="1000"/>
      <c r="AW751" s="1000"/>
      <c r="AX751" s="1000"/>
      <c r="AY751" s="1000"/>
      <c r="AZ751" s="1000"/>
      <c r="BA751" s="1020"/>
      <c r="BB751" s="1020"/>
      <c r="BC751" s="1020"/>
      <c r="BD751" s="1020"/>
      <c r="BE751" s="1020"/>
      <c r="BF751" s="1020"/>
      <c r="BG751" s="1020"/>
      <c r="BH751" s="1020"/>
      <c r="BI751" s="1020"/>
      <c r="BJ751" s="1020"/>
      <c r="BK751" s="1020"/>
      <c r="BL751" s="1020"/>
      <c r="BM751" s="1020"/>
      <c r="BN751" s="1020"/>
      <c r="BO751" s="1020"/>
      <c r="BP751" s="1020"/>
      <c r="BQ751" s="1020"/>
      <c r="BR751" s="1020"/>
      <c r="BS751" s="1020"/>
      <c r="BT751" s="1020"/>
      <c r="BU751" s="1020"/>
      <c r="BV751" s="1020"/>
      <c r="BW751" s="1020"/>
      <c r="BX751" s="1020"/>
      <c r="BY751" s="1020"/>
      <c r="BZ751" s="1020"/>
      <c r="CA751" s="1020"/>
      <c r="CB751" s="1020"/>
      <c r="CC751" s="1020"/>
    </row>
    <row r="752" spans="1:81" ht="13.8" thickTop="1"/>
    <row r="753" spans="1:49" s="937" customFormat="1" ht="12.75" customHeight="1">
      <c r="A753" s="1006" t="s">
        <v>1848</v>
      </c>
      <c r="B753" s="1006" t="s">
        <v>1849</v>
      </c>
      <c r="C753" s="938"/>
      <c r="D753" s="938"/>
      <c r="E753" s="938"/>
      <c r="F753" s="938"/>
      <c r="G753" s="938"/>
      <c r="H753" s="938"/>
      <c r="I753" s="938"/>
      <c r="J753" s="938"/>
      <c r="K753" s="938"/>
      <c r="L753" s="938"/>
      <c r="M753" s="938"/>
      <c r="N753" s="938"/>
      <c r="O753" s="938"/>
      <c r="P753" s="938"/>
      <c r="Q753" s="938"/>
      <c r="R753" s="938"/>
      <c r="S753" s="938"/>
      <c r="T753" s="938"/>
      <c r="U753" s="938"/>
      <c r="V753" s="938"/>
      <c r="W753" s="938"/>
      <c r="X753" s="938"/>
      <c r="Y753" s="938"/>
      <c r="Z753" s="938"/>
      <c r="AA753" s="938"/>
      <c r="AB753" s="938"/>
      <c r="AC753" s="1029"/>
      <c r="AD753" s="938"/>
      <c r="AE753" s="3182" t="s">
        <v>1850</v>
      </c>
      <c r="AF753" s="3182"/>
      <c r="AG753" s="3182"/>
      <c r="AH753" s="3182"/>
      <c r="AI753" s="3182"/>
      <c r="AJ753" s="3182"/>
      <c r="AK753" s="3182"/>
      <c r="AL753" s="999"/>
      <c r="AM753" s="999"/>
      <c r="AN753" s="994"/>
    </row>
    <row r="754" spans="1:49" s="937" customFormat="1" ht="12.75" customHeight="1">
      <c r="A754" s="1006"/>
      <c r="B754" s="1006" t="s">
        <v>1593</v>
      </c>
      <c r="C754" s="938"/>
      <c r="D754" s="938"/>
      <c r="E754" s="938"/>
      <c r="F754" s="938"/>
      <c r="G754" s="938"/>
      <c r="H754" s="938"/>
      <c r="I754" s="938"/>
      <c r="J754" s="938"/>
      <c r="K754" s="938"/>
      <c r="L754" s="938"/>
      <c r="M754" s="938"/>
      <c r="N754" s="938"/>
      <c r="O754" s="938"/>
      <c r="P754" s="938"/>
      <c r="Q754" s="938"/>
      <c r="R754" s="938"/>
      <c r="S754" s="938"/>
      <c r="T754" s="938"/>
      <c r="U754" s="938"/>
      <c r="V754" s="938"/>
      <c r="W754" s="938"/>
      <c r="X754" s="938"/>
      <c r="Y754" s="938"/>
      <c r="Z754" s="938"/>
      <c r="AA754" s="938"/>
      <c r="AB754" s="938"/>
      <c r="AC754" s="1029"/>
      <c r="AD754" s="938"/>
      <c r="AE754" s="1774"/>
      <c r="AF754" s="1774"/>
      <c r="AG754" s="1774"/>
      <c r="AH754" s="1774"/>
      <c r="AI754" s="1774"/>
      <c r="AJ754" s="1774"/>
      <c r="AK754" s="1774"/>
      <c r="AL754" s="999"/>
      <c r="AM754" s="999"/>
      <c r="AN754" s="994"/>
    </row>
    <row r="755" spans="1:49" s="937" customFormat="1" ht="12.75" customHeight="1">
      <c r="A755" s="1006"/>
      <c r="B755" s="1006"/>
      <c r="C755" s="938"/>
      <c r="D755" s="938"/>
      <c r="E755" s="938"/>
      <c r="F755" s="938"/>
      <c r="G755" s="938"/>
      <c r="H755" s="938"/>
      <c r="I755" s="938"/>
      <c r="J755" s="938"/>
      <c r="K755" s="938"/>
      <c r="L755" s="938"/>
      <c r="M755" s="938"/>
      <c r="N755" s="938"/>
      <c r="O755" s="938"/>
      <c r="P755" s="938"/>
      <c r="Q755" s="938"/>
      <c r="R755" s="938"/>
      <c r="S755" s="938"/>
      <c r="T755" s="938"/>
      <c r="U755" s="938"/>
      <c r="V755" s="938"/>
      <c r="W755" s="938"/>
      <c r="X755" s="938"/>
      <c r="Y755" s="938"/>
      <c r="Z755" s="938"/>
      <c r="AA755" s="938"/>
      <c r="AB755" s="938"/>
      <c r="AC755" s="1029"/>
      <c r="AD755" s="938"/>
      <c r="AE755" s="1031"/>
      <c r="AF755" s="1031"/>
      <c r="AG755" s="1031"/>
      <c r="AH755" s="1031"/>
      <c r="AI755" s="1031"/>
      <c r="AJ755" s="1031"/>
      <c r="AK755" s="1031"/>
      <c r="AL755" s="999"/>
      <c r="AM755" s="999"/>
      <c r="AN755" s="994"/>
    </row>
    <row r="756" spans="1:49" s="937" customFormat="1" ht="12.75" customHeight="1">
      <c r="A756" s="1006"/>
      <c r="B756" s="1006"/>
      <c r="C756" s="3114" t="s">
        <v>578</v>
      </c>
      <c r="D756" s="3114"/>
      <c r="E756" s="938"/>
      <c r="F756" s="3183" t="s">
        <v>1851</v>
      </c>
      <c r="G756" s="3184"/>
      <c r="H756" s="3184"/>
      <c r="I756" s="3184"/>
      <c r="J756" s="3184"/>
      <c r="K756" s="3184"/>
      <c r="L756" s="3184"/>
      <c r="M756" s="3184"/>
      <c r="N756" s="3184"/>
      <c r="O756" s="3184"/>
      <c r="P756" s="3184"/>
      <c r="Q756" s="3184"/>
      <c r="R756" s="3184"/>
      <c r="S756" s="3184"/>
      <c r="T756" s="3184"/>
      <c r="U756" s="3184"/>
      <c r="V756" s="3184"/>
      <c r="W756" s="3184"/>
      <c r="X756" s="3184"/>
      <c r="Y756" s="3184"/>
      <c r="Z756" s="3184"/>
      <c r="AA756" s="3184"/>
      <c r="AB756" s="3184"/>
      <c r="AC756" s="3184"/>
      <c r="AD756" s="3184"/>
      <c r="AE756" s="3184"/>
      <c r="AF756" s="3184"/>
      <c r="AG756" s="3184"/>
      <c r="AH756" s="3184"/>
      <c r="AI756" s="3184"/>
      <c r="AJ756" s="3184"/>
      <c r="AK756" s="3184"/>
      <c r="AL756" s="3185"/>
      <c r="AM756" s="999"/>
      <c r="AN756" s="994"/>
    </row>
    <row r="757" spans="1:49" s="937" customFormat="1" ht="12.75" customHeight="1">
      <c r="A757" s="1006"/>
      <c r="B757" s="1006"/>
      <c r="C757" s="938"/>
      <c r="D757" s="938"/>
      <c r="E757" s="938"/>
      <c r="F757" s="3186"/>
      <c r="G757" s="3187"/>
      <c r="H757" s="3187"/>
      <c r="I757" s="3187"/>
      <c r="J757" s="3187"/>
      <c r="K757" s="3187"/>
      <c r="L757" s="3187"/>
      <c r="M757" s="3187"/>
      <c r="N757" s="3187"/>
      <c r="O757" s="3187"/>
      <c r="P757" s="3187"/>
      <c r="Q757" s="3187"/>
      <c r="R757" s="3187"/>
      <c r="S757" s="3187"/>
      <c r="T757" s="3187"/>
      <c r="U757" s="3187"/>
      <c r="V757" s="3187"/>
      <c r="W757" s="3187"/>
      <c r="X757" s="3187"/>
      <c r="Y757" s="3187"/>
      <c r="Z757" s="3187"/>
      <c r="AA757" s="3187"/>
      <c r="AB757" s="3187"/>
      <c r="AC757" s="3187"/>
      <c r="AD757" s="3187"/>
      <c r="AE757" s="3187"/>
      <c r="AF757" s="3187"/>
      <c r="AG757" s="3187"/>
      <c r="AH757" s="3187"/>
      <c r="AI757" s="3187"/>
      <c r="AJ757" s="3187"/>
      <c r="AK757" s="3187"/>
      <c r="AL757" s="3188"/>
      <c r="AM757" s="999"/>
      <c r="AN757" s="994"/>
    </row>
    <row r="758" spans="1:49" s="937" customFormat="1" ht="12.75" customHeight="1">
      <c r="A758" s="1006"/>
      <c r="B758" s="1006"/>
      <c r="C758" s="938"/>
      <c r="D758" s="938"/>
      <c r="E758" s="938"/>
      <c r="F758" s="1298"/>
      <c r="G758" s="1298"/>
      <c r="H758" s="1298"/>
      <c r="I758" s="1298"/>
      <c r="J758" s="1298"/>
      <c r="K758" s="1298"/>
      <c r="L758" s="1298"/>
      <c r="M758" s="1298"/>
      <c r="N758" s="1298"/>
      <c r="O758" s="1298"/>
      <c r="P758" s="1298"/>
      <c r="Q758" s="1298"/>
      <c r="R758" s="1298"/>
      <c r="S758" s="1298"/>
      <c r="T758" s="1298"/>
      <c r="U758" s="1298"/>
      <c r="V758" s="1298"/>
      <c r="W758" s="1298"/>
      <c r="X758" s="1298"/>
      <c r="Y758" s="1298"/>
      <c r="Z758" s="1298"/>
      <c r="AA758" s="1298"/>
      <c r="AB758" s="1298"/>
      <c r="AC758" s="1298"/>
      <c r="AD758" s="1298"/>
      <c r="AE758" s="1298"/>
      <c r="AF758" s="1298"/>
      <c r="AG758" s="1298"/>
      <c r="AH758" s="1298"/>
      <c r="AI758" s="1298"/>
      <c r="AJ758" s="1298"/>
      <c r="AK758" s="1298"/>
      <c r="AL758" s="1298"/>
      <c r="AM758" s="999"/>
      <c r="AN758" s="994"/>
    </row>
    <row r="759" spans="1:49" s="937" customFormat="1" ht="12.75" customHeight="1">
      <c r="A759" s="1006"/>
      <c r="B759" s="1299"/>
      <c r="C759" s="3114" t="s">
        <v>626</v>
      </c>
      <c r="D759" s="3114"/>
      <c r="E759" s="1299"/>
      <c r="F759" s="1300" t="s">
        <v>1852</v>
      </c>
      <c r="G759" s="1301"/>
      <c r="H759" s="1302"/>
      <c r="I759" s="1302"/>
      <c r="J759" s="1302"/>
      <c r="K759" s="1302"/>
      <c r="L759" s="1302"/>
      <c r="M759" s="1302"/>
      <c r="N759" s="1302"/>
      <c r="O759" s="1302"/>
      <c r="P759" s="1302"/>
      <c r="Q759" s="1302"/>
      <c r="R759" s="1302"/>
      <c r="S759" s="1302"/>
      <c r="T759" s="1302"/>
      <c r="U759" s="1302"/>
      <c r="V759" s="1302"/>
      <c r="W759" s="1302"/>
      <c r="X759" s="1302"/>
      <c r="Y759" s="1302"/>
      <c r="Z759" s="1302"/>
      <c r="AA759" s="1302"/>
      <c r="AB759" s="1302"/>
      <c r="AC759" s="1302"/>
      <c r="AD759" s="1302"/>
      <c r="AE759" s="1302"/>
      <c r="AF759" s="1302"/>
      <c r="AG759" s="1302"/>
      <c r="AH759" s="1302"/>
      <c r="AI759" s="1302"/>
      <c r="AJ759" s="1302"/>
      <c r="AK759" s="1303"/>
      <c r="AL759" s="1304"/>
      <c r="AM759" s="999"/>
      <c r="AN759" s="994"/>
    </row>
    <row r="760" spans="1:49" s="937" customFormat="1" ht="12.75" customHeight="1">
      <c r="A760" s="1020"/>
      <c r="B760" s="1299"/>
      <c r="C760" s="1299"/>
      <c r="D760" s="1299"/>
      <c r="E760" s="1299"/>
      <c r="F760" s="3092" t="s">
        <v>1853</v>
      </c>
      <c r="G760" s="3093"/>
      <c r="H760" s="3093"/>
      <c r="I760" s="3093"/>
      <c r="J760" s="3093"/>
      <c r="K760" s="3093"/>
      <c r="L760" s="3093"/>
      <c r="M760" s="3093"/>
      <c r="N760" s="3093"/>
      <c r="O760" s="3093"/>
      <c r="P760" s="3093"/>
      <c r="Q760" s="3093"/>
      <c r="R760" s="3093"/>
      <c r="S760" s="3093"/>
      <c r="T760" s="3093"/>
      <c r="U760" s="3093"/>
      <c r="V760" s="3093"/>
      <c r="W760" s="3093"/>
      <c r="X760" s="3093"/>
      <c r="Y760" s="3093"/>
      <c r="Z760" s="3093"/>
      <c r="AA760" s="3093"/>
      <c r="AB760" s="3093"/>
      <c r="AC760" s="3093"/>
      <c r="AD760" s="3093"/>
      <c r="AE760" s="3093"/>
      <c r="AF760" s="3093"/>
      <c r="AG760" s="3093"/>
      <c r="AH760" s="3093"/>
      <c r="AI760" s="3093"/>
      <c r="AJ760" s="3093"/>
      <c r="AK760" s="3093"/>
      <c r="AL760" s="3094"/>
      <c r="AM760" s="999"/>
      <c r="AN760" s="994"/>
      <c r="AS760" s="1477"/>
      <c r="AT760" s="1477"/>
      <c r="AU760" s="1477"/>
      <c r="AV760" s="1477"/>
      <c r="AW760" s="1477"/>
    </row>
    <row r="761" spans="1:49" s="937" customFormat="1" ht="12.75" customHeight="1">
      <c r="A761" s="1020"/>
      <c r="B761" s="1299"/>
      <c r="C761" s="1299"/>
      <c r="D761" s="1299"/>
      <c r="E761" s="1299"/>
      <c r="F761" s="3092"/>
      <c r="G761" s="3093"/>
      <c r="H761" s="3093"/>
      <c r="I761" s="3093"/>
      <c r="J761" s="3093"/>
      <c r="K761" s="3093"/>
      <c r="L761" s="3093"/>
      <c r="M761" s="3093"/>
      <c r="N761" s="3093"/>
      <c r="O761" s="3093"/>
      <c r="P761" s="3093"/>
      <c r="Q761" s="3093"/>
      <c r="R761" s="3093"/>
      <c r="S761" s="3093"/>
      <c r="T761" s="3093"/>
      <c r="U761" s="3093"/>
      <c r="V761" s="3093"/>
      <c r="W761" s="3093"/>
      <c r="X761" s="3093"/>
      <c r="Y761" s="3093"/>
      <c r="Z761" s="3093"/>
      <c r="AA761" s="3093"/>
      <c r="AB761" s="3093"/>
      <c r="AC761" s="3093"/>
      <c r="AD761" s="3093"/>
      <c r="AE761" s="3093"/>
      <c r="AF761" s="3093"/>
      <c r="AG761" s="3093"/>
      <c r="AH761" s="3093"/>
      <c r="AI761" s="3093"/>
      <c r="AJ761" s="3093"/>
      <c r="AK761" s="3093"/>
      <c r="AL761" s="3094"/>
      <c r="AM761" s="999"/>
      <c r="AN761" s="994"/>
    </row>
    <row r="762" spans="1:49" s="937" customFormat="1" ht="12.75" customHeight="1">
      <c r="A762" s="1020"/>
      <c r="B762" s="1299"/>
      <c r="C762" s="1299"/>
      <c r="D762" s="1299"/>
      <c r="E762" s="1299"/>
      <c r="F762" s="1305" t="s">
        <v>1854</v>
      </c>
      <c r="G762" s="1306"/>
      <c r="H762" s="1306"/>
      <c r="I762" s="1306"/>
      <c r="J762" s="1306"/>
      <c r="K762" s="1306"/>
      <c r="L762" s="1306"/>
      <c r="M762" s="1306"/>
      <c r="N762" s="1306"/>
      <c r="O762" s="1306"/>
      <c r="P762" s="1306"/>
      <c r="Q762" s="1306"/>
      <c r="R762" s="1306"/>
      <c r="S762" s="1306"/>
      <c r="T762" s="1306"/>
      <c r="U762" s="1306"/>
      <c r="V762" s="1306"/>
      <c r="W762" s="1306"/>
      <c r="X762" s="1306"/>
      <c r="Y762" s="1306"/>
      <c r="Z762" s="1306"/>
      <c r="AA762" s="1306"/>
      <c r="AB762" s="1306"/>
      <c r="AC762" s="1306"/>
      <c r="AD762" s="1306"/>
      <c r="AE762" s="1306"/>
      <c r="AF762" s="1306"/>
      <c r="AG762" s="1306"/>
      <c r="AH762" s="1306"/>
      <c r="AI762" s="1306"/>
      <c r="AJ762" s="1306"/>
      <c r="AK762" s="1306"/>
      <c r="AL762" s="1307"/>
      <c r="AM762" s="999"/>
      <c r="AN762" s="994"/>
      <c r="AT762" s="1083"/>
      <c r="AU762" s="1083"/>
      <c r="AV762" s="1083"/>
    </row>
    <row r="763" spans="1:49" s="937" customFormat="1" ht="12.75" customHeight="1">
      <c r="A763" s="1020"/>
      <c r="B763" s="1299"/>
      <c r="C763" s="1299"/>
      <c r="D763" s="1299"/>
      <c r="E763" s="1299"/>
      <c r="F763" s="3092" t="s">
        <v>1855</v>
      </c>
      <c r="G763" s="3093"/>
      <c r="H763" s="3093"/>
      <c r="I763" s="3093"/>
      <c r="J763" s="3093"/>
      <c r="K763" s="3093"/>
      <c r="L763" s="3093"/>
      <c r="M763" s="3093"/>
      <c r="N763" s="3093"/>
      <c r="O763" s="3093"/>
      <c r="P763" s="3093"/>
      <c r="Q763" s="3093"/>
      <c r="R763" s="3093"/>
      <c r="S763" s="3093"/>
      <c r="T763" s="3093"/>
      <c r="U763" s="3093"/>
      <c r="V763" s="3093"/>
      <c r="W763" s="3093"/>
      <c r="X763" s="3093"/>
      <c r="Y763" s="3093"/>
      <c r="Z763" s="3093"/>
      <c r="AA763" s="3093"/>
      <c r="AB763" s="3093"/>
      <c r="AC763" s="3093"/>
      <c r="AD763" s="3093"/>
      <c r="AE763" s="3093"/>
      <c r="AF763" s="3093"/>
      <c r="AG763" s="3093"/>
      <c r="AH763" s="3093"/>
      <c r="AI763" s="3093"/>
      <c r="AJ763" s="3093"/>
      <c r="AK763" s="3093"/>
      <c r="AL763" s="1308"/>
      <c r="AM763" s="999"/>
      <c r="AN763" s="994"/>
      <c r="AT763" s="1083"/>
      <c r="AU763" s="1083"/>
      <c r="AV763" s="1083"/>
    </row>
    <row r="764" spans="1:49" s="937" customFormat="1" ht="12.75" customHeight="1">
      <c r="A764" s="1020"/>
      <c r="B764" s="1299"/>
      <c r="C764" s="1299"/>
      <c r="D764" s="1299"/>
      <c r="E764" s="1299"/>
      <c r="F764" s="3095"/>
      <c r="G764" s="3096"/>
      <c r="H764" s="3096"/>
      <c r="I764" s="3096"/>
      <c r="J764" s="3096"/>
      <c r="K764" s="3096"/>
      <c r="L764" s="3096"/>
      <c r="M764" s="3096"/>
      <c r="N764" s="3096"/>
      <c r="O764" s="3096"/>
      <c r="P764" s="3096"/>
      <c r="Q764" s="3096"/>
      <c r="R764" s="3096"/>
      <c r="S764" s="3096"/>
      <c r="T764" s="3096"/>
      <c r="U764" s="3096"/>
      <c r="V764" s="3096"/>
      <c r="W764" s="3096"/>
      <c r="X764" s="3096"/>
      <c r="Y764" s="3096"/>
      <c r="Z764" s="3096"/>
      <c r="AA764" s="3096"/>
      <c r="AB764" s="3096"/>
      <c r="AC764" s="3096"/>
      <c r="AD764" s="3096"/>
      <c r="AE764" s="3096"/>
      <c r="AF764" s="3096"/>
      <c r="AG764" s="3096"/>
      <c r="AH764" s="3096"/>
      <c r="AI764" s="3096"/>
      <c r="AJ764" s="3096"/>
      <c r="AK764" s="3096"/>
      <c r="AL764" s="1309"/>
      <c r="AM764" s="999"/>
      <c r="AN764" s="994"/>
      <c r="AT764" s="1083"/>
      <c r="AU764" s="1083"/>
      <c r="AV764" s="1083"/>
    </row>
    <row r="765" spans="1:49" s="937" customFormat="1" ht="12.75" customHeight="1">
      <c r="A765" s="1020"/>
      <c r="B765" s="1299"/>
      <c r="C765" s="1299"/>
      <c r="D765" s="1299"/>
      <c r="E765" s="1299"/>
      <c r="F765" s="1310"/>
      <c r="G765" s="1310"/>
      <c r="H765" s="1310"/>
      <c r="I765" s="1310"/>
      <c r="J765" s="1310"/>
      <c r="K765" s="1310"/>
      <c r="L765" s="1310"/>
      <c r="M765" s="1310"/>
      <c r="N765" s="1310"/>
      <c r="O765" s="1310"/>
      <c r="P765" s="1310"/>
      <c r="Q765" s="1310"/>
      <c r="R765" s="1310"/>
      <c r="S765" s="1310"/>
      <c r="T765" s="1310"/>
      <c r="U765" s="1310"/>
      <c r="V765" s="1310"/>
      <c r="W765" s="1310"/>
      <c r="X765" s="1310"/>
      <c r="Y765" s="1310"/>
      <c r="Z765" s="1310"/>
      <c r="AA765" s="1310"/>
      <c r="AB765" s="1310"/>
      <c r="AC765" s="1310"/>
      <c r="AD765" s="1310"/>
      <c r="AE765" s="1310"/>
      <c r="AF765" s="1310"/>
      <c r="AG765" s="1310"/>
      <c r="AH765" s="1310"/>
      <c r="AI765" s="1310"/>
      <c r="AJ765" s="1310"/>
      <c r="AK765" s="1310"/>
      <c r="AL765" s="999"/>
      <c r="AM765" s="999"/>
      <c r="AN765" s="994"/>
      <c r="AP765" s="3086">
        <f>Application!AJ975</f>
        <v>80616211</v>
      </c>
      <c r="AQ765" s="3086"/>
      <c r="AR765" s="3086"/>
    </row>
    <row r="766" spans="1:49" s="937" customFormat="1" ht="12.75" customHeight="1">
      <c r="A766" s="1311"/>
      <c r="B766" s="918" t="s">
        <v>1856</v>
      </c>
      <c r="C766" s="1040"/>
      <c r="D766" s="1041"/>
      <c r="E766" s="1041"/>
      <c r="F766" s="51"/>
      <c r="G766" s="1042"/>
      <c r="H766" s="1042"/>
      <c r="I766" s="1042"/>
      <c r="J766" s="1042"/>
      <c r="K766" s="1042"/>
      <c r="L766" s="1042"/>
      <c r="M766" s="1042"/>
      <c r="N766" s="1042"/>
      <c r="O766" s="1042"/>
      <c r="P766" s="1042"/>
      <c r="Q766" s="1042"/>
      <c r="R766" s="51"/>
      <c r="S766" s="51"/>
      <c r="T766" s="51"/>
      <c r="U766" s="51"/>
      <c r="V766" s="51"/>
      <c r="W766" s="51"/>
      <c r="X766" s="1042"/>
      <c r="Y766" s="1042"/>
      <c r="Z766" s="1042"/>
      <c r="AA766" s="1039"/>
      <c r="AB766" s="1039"/>
      <c r="AC766" s="1039"/>
      <c r="AD766" s="1039"/>
      <c r="AE766" s="51"/>
      <c r="AF766" s="3097">
        <f>'Sources and Uses Budget'!S107+'Sources and Uses Budget'!T107</f>
        <v>90226199</v>
      </c>
      <c r="AG766" s="3097"/>
      <c r="AH766" s="3097"/>
      <c r="AI766" s="3097"/>
      <c r="AJ766" s="3097"/>
      <c r="AK766" s="999"/>
      <c r="AL766" s="999"/>
      <c r="AM766" s="999"/>
      <c r="AN766" s="994"/>
    </row>
    <row r="767" spans="1:49" s="937" customFormat="1" ht="12.75" customHeight="1">
      <c r="A767" s="1043"/>
      <c r="B767" s="1043" t="s">
        <v>1857</v>
      </c>
      <c r="C767" s="1042"/>
      <c r="D767" s="1042"/>
      <c r="E767" s="1044"/>
      <c r="F767" s="1044"/>
      <c r="G767" s="1044"/>
      <c r="H767" s="1044"/>
      <c r="I767" s="1044"/>
      <c r="J767" s="1044"/>
      <c r="K767" s="1044"/>
      <c r="L767" s="1042"/>
      <c r="M767" s="1044"/>
      <c r="N767" s="1044"/>
      <c r="O767" s="1044"/>
      <c r="P767" s="1044"/>
      <c r="Q767" s="1044"/>
      <c r="R767" s="51"/>
      <c r="S767" s="51"/>
      <c r="T767" s="51"/>
      <c r="U767" s="51"/>
      <c r="V767" s="51"/>
      <c r="W767" s="51"/>
      <c r="X767" s="1042"/>
      <c r="Y767" s="1042"/>
      <c r="Z767" s="1042"/>
      <c r="AA767" s="1039"/>
      <c r="AB767" s="1039"/>
      <c r="AC767" s="1039"/>
      <c r="AD767" s="1039"/>
      <c r="AE767" s="51"/>
      <c r="AF767" s="3098">
        <f>AP774</f>
        <v>131231380.70999999</v>
      </c>
      <c r="AG767" s="3098"/>
      <c r="AH767" s="3098"/>
      <c r="AI767" s="3098"/>
      <c r="AJ767" s="3098"/>
      <c r="AK767" s="999"/>
      <c r="AL767" s="999"/>
      <c r="AM767" s="999"/>
      <c r="AN767" s="994"/>
      <c r="AP767" s="3086">
        <f>Application!AJ1024</f>
        <v>28215673.849999998</v>
      </c>
      <c r="AQ767" s="3086"/>
      <c r="AR767" s="3086"/>
    </row>
    <row r="768" spans="1:49" s="937" customFormat="1" ht="12.75" customHeight="1">
      <c r="A768" s="1042"/>
      <c r="B768" s="1042" t="s">
        <v>13</v>
      </c>
      <c r="C768" s="1042"/>
      <c r="D768" s="1042"/>
      <c r="E768" s="1042"/>
      <c r="F768" s="1042"/>
      <c r="G768" s="1042"/>
      <c r="H768" s="1042"/>
      <c r="I768" s="1042"/>
      <c r="J768" s="1042"/>
      <c r="K768" s="1042"/>
      <c r="L768" s="1042"/>
      <c r="M768" s="1042"/>
      <c r="N768" s="1042"/>
      <c r="O768" s="1042"/>
      <c r="P768" s="1042"/>
      <c r="Q768" s="1042"/>
      <c r="R768" s="51"/>
      <c r="S768" s="51"/>
      <c r="T768" s="51"/>
      <c r="U768" s="51"/>
      <c r="V768" s="51"/>
      <c r="W768" s="51"/>
      <c r="X768" s="1042"/>
      <c r="Y768" s="1042"/>
      <c r="Z768" s="1042"/>
      <c r="AA768" s="1039"/>
      <c r="AB768" s="1039"/>
      <c r="AC768" s="1039"/>
      <c r="AD768" s="1039"/>
      <c r="AE768" s="51"/>
      <c r="AF768" s="3099">
        <f>ROUNDDOWN(IF(C759="YES",((1-(AF766/AF767))*2),(1-(AF766/AF767))),2)</f>
        <v>0.31</v>
      </c>
      <c r="AG768" s="3099"/>
      <c r="AH768" s="3099"/>
      <c r="AI768" s="3099"/>
      <c r="AJ768" s="3099"/>
      <c r="AK768" s="999"/>
      <c r="AL768" s="999"/>
      <c r="AM768" s="999"/>
      <c r="AN768" s="994"/>
      <c r="AP768" s="3087">
        <f>Application!AJ1028</f>
        <v>20960214.859999999</v>
      </c>
      <c r="AQ768" s="3087"/>
      <c r="AR768" s="3087"/>
    </row>
    <row r="769" spans="1:44" s="937" customFormat="1" ht="12.75" customHeight="1">
      <c r="A769" s="1042"/>
      <c r="B769" s="1042"/>
      <c r="C769" s="1042"/>
      <c r="D769" s="1042"/>
      <c r="E769" s="1042"/>
      <c r="F769" s="1042"/>
      <c r="G769" s="1042"/>
      <c r="H769" s="1042"/>
      <c r="I769" s="1042"/>
      <c r="J769" s="1042"/>
      <c r="K769" s="1042"/>
      <c r="L769" s="1042"/>
      <c r="M769" s="1042"/>
      <c r="N769" s="1042"/>
      <c r="O769" s="1042"/>
      <c r="P769" s="1042"/>
      <c r="Q769" s="1042"/>
      <c r="R769" s="51"/>
      <c r="S769" s="51"/>
      <c r="T769" s="51"/>
      <c r="U769" s="51"/>
      <c r="V769" s="51"/>
      <c r="W769" s="51"/>
      <c r="X769" s="1042"/>
      <c r="Y769" s="1042"/>
      <c r="Z769" s="1042"/>
      <c r="AA769" s="1039"/>
      <c r="AB769" s="1039"/>
      <c r="AC769" s="1039"/>
      <c r="AD769" s="1039"/>
      <c r="AE769" s="51"/>
      <c r="AF769" s="1312"/>
      <c r="AG769" s="1312"/>
      <c r="AH769" s="1312"/>
      <c r="AI769" s="1312"/>
      <c r="AJ769" s="1312"/>
      <c r="AK769" s="999"/>
      <c r="AL769" s="999"/>
      <c r="AM769" s="999"/>
      <c r="AN769" s="994"/>
      <c r="AP769" s="3106">
        <f>IF(((AP767+AP768)/AP765)&gt;0.8,0.8,((AP767+AP768)/AP765))</f>
        <v>0.60999999999999988</v>
      </c>
      <c r="AQ769" s="3106"/>
      <c r="AR769" s="3106"/>
    </row>
    <row r="770" spans="1:44" s="937" customFormat="1" ht="12.75" customHeight="1">
      <c r="A770" s="1042"/>
      <c r="B770" s="3158" t="s">
        <v>1858</v>
      </c>
      <c r="C770" s="3159"/>
      <c r="D770" s="3159"/>
      <c r="E770" s="3159"/>
      <c r="F770" s="3159"/>
      <c r="G770" s="3159"/>
      <c r="H770" s="3159"/>
      <c r="I770" s="3159"/>
      <c r="J770" s="3159"/>
      <c r="K770" s="3159"/>
      <c r="L770" s="3159"/>
      <c r="M770" s="3159"/>
      <c r="N770" s="3159"/>
      <c r="O770" s="3159"/>
      <c r="P770" s="3159"/>
      <c r="Q770" s="3159"/>
      <c r="R770" s="3159"/>
      <c r="S770" s="3159"/>
      <c r="T770" s="3159"/>
      <c r="U770" s="3159"/>
      <c r="V770" s="3159"/>
      <c r="W770" s="3159"/>
      <c r="X770" s="3159"/>
      <c r="Y770" s="3159"/>
      <c r="Z770" s="3159"/>
      <c r="AA770" s="3159"/>
      <c r="AB770" s="3159"/>
      <c r="AC770" s="3159"/>
      <c r="AD770" s="3159"/>
      <c r="AE770" s="3159"/>
      <c r="AF770" s="3159"/>
      <c r="AG770" s="3159"/>
      <c r="AH770" s="3159"/>
      <c r="AI770" s="3159"/>
      <c r="AJ770" s="3160"/>
      <c r="AK770" s="999"/>
      <c r="AL770" s="999"/>
      <c r="AM770" s="999"/>
      <c r="AN770" s="994"/>
    </row>
    <row r="771" spans="1:44" s="937" customFormat="1" ht="12.75" customHeight="1">
      <c r="A771" s="1042"/>
      <c r="B771" s="3161"/>
      <c r="C771" s="3162"/>
      <c r="D771" s="3162"/>
      <c r="E771" s="3162"/>
      <c r="F771" s="3162"/>
      <c r="G771" s="3162"/>
      <c r="H771" s="3162"/>
      <c r="I771" s="3162"/>
      <c r="J771" s="3162"/>
      <c r="K771" s="3162"/>
      <c r="L771" s="3162"/>
      <c r="M771" s="3162"/>
      <c r="N771" s="3162"/>
      <c r="O771" s="3162"/>
      <c r="P771" s="3162"/>
      <c r="Q771" s="3162"/>
      <c r="R771" s="3162"/>
      <c r="S771" s="3162"/>
      <c r="T771" s="3162"/>
      <c r="U771" s="3162"/>
      <c r="V771" s="3162"/>
      <c r="W771" s="3162"/>
      <c r="X771" s="3162"/>
      <c r="Y771" s="3162"/>
      <c r="Z771" s="3162"/>
      <c r="AA771" s="3162"/>
      <c r="AB771" s="3162"/>
      <c r="AC771" s="3162"/>
      <c r="AD771" s="3162"/>
      <c r="AE771" s="3162"/>
      <c r="AF771" s="3162"/>
      <c r="AG771" s="3162"/>
      <c r="AH771" s="3162"/>
      <c r="AI771" s="3162"/>
      <c r="AJ771" s="3163"/>
      <c r="AK771" s="999"/>
      <c r="AL771" s="999"/>
      <c r="AM771" s="999"/>
      <c r="AN771" s="994"/>
      <c r="AP771" s="3086">
        <f>AP772-AP767-AP768</f>
        <v>82055492</v>
      </c>
      <c r="AQ771" s="3107"/>
      <c r="AR771" s="3107"/>
    </row>
    <row r="772" spans="1:44" s="937" customFormat="1" ht="12.75" customHeight="1">
      <c r="A772" s="1042"/>
      <c r="B772" s="3164"/>
      <c r="C772" s="3165"/>
      <c r="D772" s="3165"/>
      <c r="E772" s="3165"/>
      <c r="F772" s="3165"/>
      <c r="G772" s="3165"/>
      <c r="H772" s="3165"/>
      <c r="I772" s="3165"/>
      <c r="J772" s="3165"/>
      <c r="K772" s="3165"/>
      <c r="L772" s="3165"/>
      <c r="M772" s="3165"/>
      <c r="N772" s="3165"/>
      <c r="O772" s="3165"/>
      <c r="P772" s="3165"/>
      <c r="Q772" s="3165"/>
      <c r="R772" s="3165"/>
      <c r="S772" s="3165"/>
      <c r="T772" s="3165"/>
      <c r="U772" s="3165"/>
      <c r="V772" s="3165"/>
      <c r="W772" s="3165"/>
      <c r="X772" s="3165"/>
      <c r="Y772" s="3165"/>
      <c r="Z772" s="3165"/>
      <c r="AA772" s="3165"/>
      <c r="AB772" s="3165"/>
      <c r="AC772" s="3165"/>
      <c r="AD772" s="3165"/>
      <c r="AE772" s="3165"/>
      <c r="AF772" s="3165"/>
      <c r="AG772" s="3165"/>
      <c r="AH772" s="3165"/>
      <c r="AI772" s="3165"/>
      <c r="AJ772" s="3166"/>
      <c r="AK772" s="999"/>
      <c r="AL772" s="999"/>
      <c r="AM772" s="999"/>
      <c r="AN772" s="994"/>
      <c r="AP772" s="3086">
        <f>Application!AJ1032</f>
        <v>131231380.70999999</v>
      </c>
      <c r="AQ772" s="3086"/>
      <c r="AR772" s="3086"/>
    </row>
    <row r="773" spans="1:44" s="937" customFormat="1" ht="12.75" customHeight="1">
      <c r="A773" s="1020"/>
      <c r="B773" s="938"/>
      <c r="C773" s="938"/>
      <c r="D773" s="938"/>
      <c r="E773" s="938"/>
      <c r="F773" s="938"/>
      <c r="G773" s="938"/>
      <c r="H773" s="938"/>
      <c r="I773" s="938"/>
      <c r="J773" s="938"/>
      <c r="K773" s="938"/>
      <c r="L773" s="938"/>
      <c r="M773" s="938"/>
      <c r="N773" s="938"/>
      <c r="O773" s="938"/>
      <c r="P773" s="938"/>
      <c r="Q773" s="938"/>
      <c r="R773" s="938"/>
      <c r="S773" s="938"/>
      <c r="T773" s="938"/>
      <c r="U773" s="938"/>
      <c r="V773" s="938"/>
      <c r="W773" s="938"/>
      <c r="X773" s="938"/>
      <c r="Y773" s="938"/>
      <c r="Z773" s="938"/>
      <c r="AA773" s="938"/>
      <c r="AB773" s="938"/>
      <c r="AC773" s="1029"/>
      <c r="AD773" s="938"/>
      <c r="AE773" s="1020"/>
      <c r="AF773" s="1020"/>
      <c r="AG773" s="1020"/>
      <c r="AH773" s="1020"/>
      <c r="AI773" s="1031"/>
      <c r="AJ773" s="1031"/>
      <c r="AK773" s="999"/>
      <c r="AL773" s="999"/>
      <c r="AM773" s="999"/>
      <c r="AN773" s="994"/>
    </row>
    <row r="774" spans="1:44" s="937" customFormat="1" ht="12.75" customHeight="1">
      <c r="A774" s="1046"/>
      <c r="B774" s="1046"/>
      <c r="C774" s="1046"/>
      <c r="D774" s="1046"/>
      <c r="E774" s="1046"/>
      <c r="F774" s="1046"/>
      <c r="G774" s="1046"/>
      <c r="H774" s="1046"/>
      <c r="I774" s="1046"/>
      <c r="J774" s="1046"/>
      <c r="K774" s="1046"/>
      <c r="L774" s="1046"/>
      <c r="M774" s="1046"/>
      <c r="N774" s="1046"/>
      <c r="O774" s="1046"/>
      <c r="P774" s="1046"/>
      <c r="Q774" s="1046"/>
      <c r="R774" s="1046"/>
      <c r="S774" s="1046"/>
      <c r="T774" s="1046"/>
      <c r="U774" s="1046"/>
      <c r="V774" s="1046"/>
      <c r="W774" s="1046"/>
      <c r="X774" s="1046"/>
      <c r="Y774" s="1046"/>
      <c r="Z774" s="1046"/>
      <c r="AA774" s="1046"/>
      <c r="AB774" s="1046"/>
      <c r="AC774" s="1046"/>
      <c r="AD774" s="1046"/>
      <c r="AE774" s="1046"/>
      <c r="AF774" s="1046"/>
      <c r="AG774" s="1046"/>
      <c r="AH774" s="1047"/>
      <c r="AI774" s="953"/>
      <c r="AJ774" s="953" t="s">
        <v>1859</v>
      </c>
      <c r="AK774" s="3167">
        <f>IF(AF768=0,0,IF((AF768*100)&gt;12,12,(AF768*100)))</f>
        <v>12</v>
      </c>
      <c r="AL774" s="3167"/>
      <c r="AM774" s="3168"/>
      <c r="AN774" s="994"/>
      <c r="AP774" s="3075">
        <f>AP771+(AP765*AP769)</f>
        <v>131231380.70999999</v>
      </c>
      <c r="AQ774" s="3076"/>
      <c r="AR774" s="3077"/>
    </row>
    <row r="775" spans="1:44" s="937" customFormat="1" ht="12.75" customHeight="1">
      <c r="A775" s="1020"/>
      <c r="B775" s="938"/>
      <c r="C775" s="938"/>
      <c r="D775" s="938"/>
      <c r="E775" s="938"/>
      <c r="F775" s="938"/>
      <c r="G775" s="938"/>
      <c r="H775" s="938"/>
      <c r="I775" s="938"/>
      <c r="J775" s="938"/>
      <c r="K775" s="938"/>
      <c r="L775" s="938"/>
      <c r="M775" s="938"/>
      <c r="N775" s="938"/>
      <c r="O775" s="938"/>
      <c r="P775" s="938"/>
      <c r="Q775" s="938"/>
      <c r="R775" s="938"/>
      <c r="S775" s="938"/>
      <c r="T775" s="938"/>
      <c r="U775" s="938"/>
      <c r="V775" s="938"/>
      <c r="W775" s="938"/>
      <c r="X775" s="938"/>
      <c r="Y775" s="938"/>
      <c r="Z775" s="938"/>
      <c r="AA775" s="938"/>
      <c r="AB775" s="938"/>
      <c r="AC775" s="1029"/>
      <c r="AD775" s="938"/>
      <c r="AE775" s="1020"/>
      <c r="AF775" s="1020"/>
      <c r="AG775" s="1020"/>
      <c r="AH775" s="1020"/>
      <c r="AI775" s="1031"/>
      <c r="AJ775" s="1031"/>
      <c r="AK775" s="999"/>
      <c r="AL775" s="999"/>
      <c r="AM775" s="999"/>
      <c r="AN775" s="994"/>
    </row>
    <row r="776" spans="1:44">
      <c r="A776" s="1056"/>
      <c r="B776" s="937"/>
      <c r="C776" s="937"/>
      <c r="D776" s="937"/>
      <c r="E776" s="937"/>
      <c r="F776" s="937"/>
      <c r="G776" s="937"/>
      <c r="H776" s="937"/>
      <c r="I776" s="937"/>
      <c r="J776" s="937"/>
      <c r="K776" s="937"/>
      <c r="L776" s="937"/>
      <c r="M776" s="937"/>
      <c r="N776" s="937"/>
      <c r="O776" s="937"/>
      <c r="P776" s="937"/>
      <c r="Q776" s="937"/>
      <c r="R776" s="937"/>
      <c r="S776" s="937"/>
      <c r="T776" s="937"/>
      <c r="U776" s="937"/>
      <c r="V776" s="937"/>
      <c r="W776" s="937"/>
      <c r="X776" s="937"/>
      <c r="Y776" s="937"/>
      <c r="Z776" s="937"/>
      <c r="AA776" s="937"/>
      <c r="AB776" s="937"/>
      <c r="AC776" s="937"/>
      <c r="AD776" s="937"/>
      <c r="AE776" s="937"/>
      <c r="AF776" s="937"/>
      <c r="AG776" s="937"/>
      <c r="AH776" s="937"/>
      <c r="AI776" s="937"/>
      <c r="AJ776" s="937"/>
      <c r="AK776" s="1020"/>
      <c r="AL776" s="1020"/>
      <c r="AM776" s="1020"/>
    </row>
    <row r="777" spans="1:44">
      <c r="A777" s="3169" t="s">
        <v>1860</v>
      </c>
      <c r="B777" s="3170"/>
      <c r="C777" s="3170"/>
      <c r="D777" s="3170"/>
      <c r="E777" s="3170"/>
      <c r="F777" s="3170"/>
      <c r="G777" s="3170"/>
      <c r="H777" s="3170"/>
      <c r="I777" s="3170"/>
      <c r="J777" s="3170"/>
      <c r="K777" s="3170"/>
      <c r="L777" s="3170"/>
      <c r="M777" s="3170"/>
      <c r="N777" s="3170"/>
      <c r="O777" s="3170"/>
      <c r="P777" s="3170"/>
      <c r="Q777" s="3170"/>
      <c r="R777" s="3170"/>
      <c r="S777" s="3170"/>
      <c r="T777" s="3170"/>
      <c r="U777" s="3170"/>
      <c r="V777" s="3170"/>
      <c r="W777" s="3170"/>
      <c r="X777" s="3170"/>
      <c r="Y777" s="3170"/>
      <c r="Z777" s="3170"/>
      <c r="AA777" s="3170"/>
      <c r="AB777" s="3170"/>
      <c r="AC777" s="3170"/>
      <c r="AD777" s="3170"/>
      <c r="AE777" s="3170"/>
      <c r="AF777" s="3170"/>
      <c r="AG777" s="3170"/>
      <c r="AH777" s="3170"/>
      <c r="AI777" s="3170"/>
      <c r="AJ777" s="3170"/>
      <c r="AK777" s="3170"/>
      <c r="AL777" s="3170"/>
      <c r="AM777" s="3170"/>
    </row>
    <row r="778" spans="1:44">
      <c r="A778" s="3171"/>
      <c r="B778" s="3171"/>
      <c r="C778" s="3171"/>
      <c r="D778" s="3171"/>
      <c r="E778" s="3171"/>
      <c r="F778" s="3171"/>
      <c r="G778" s="3171"/>
      <c r="H778" s="3171"/>
      <c r="I778" s="3171"/>
      <c r="J778" s="3171"/>
      <c r="K778" s="3171"/>
      <c r="L778" s="3171"/>
      <c r="M778" s="3171"/>
      <c r="N778" s="3171"/>
      <c r="O778" s="3171"/>
      <c r="P778" s="3171"/>
      <c r="Q778" s="3171"/>
      <c r="R778" s="3171"/>
      <c r="S778" s="3171"/>
      <c r="T778" s="3171"/>
      <c r="U778" s="3171"/>
      <c r="V778" s="3171"/>
      <c r="W778" s="3171"/>
      <c r="X778" s="3171"/>
      <c r="Y778" s="3171"/>
      <c r="Z778" s="3171"/>
      <c r="AA778" s="3171"/>
      <c r="AB778" s="3171"/>
      <c r="AC778" s="3171"/>
      <c r="AD778" s="3171"/>
      <c r="AE778" s="3171"/>
      <c r="AF778" s="3171"/>
      <c r="AG778" s="3171"/>
      <c r="AH778" s="3171"/>
      <c r="AI778" s="3171"/>
      <c r="AJ778" s="3171"/>
      <c r="AK778" s="3171"/>
      <c r="AL778" s="3171"/>
      <c r="AM778" s="3171"/>
      <c r="AO778" s="1313"/>
      <c r="AP778" s="1313"/>
      <c r="AQ778" s="1313"/>
    </row>
    <row r="779" spans="1:44">
      <c r="A779" s="1019"/>
      <c r="B779" s="959"/>
      <c r="C779" s="960"/>
      <c r="D779" s="960"/>
      <c r="E779" s="960"/>
      <c r="F779" s="960"/>
      <c r="G779" s="960"/>
      <c r="H779" s="960"/>
      <c r="I779" s="961"/>
      <c r="J779" s="961"/>
      <c r="K779" s="961"/>
      <c r="L779" s="961"/>
      <c r="M779" s="961"/>
      <c r="N779" s="961"/>
      <c r="O779" s="961"/>
      <c r="P779" s="961"/>
      <c r="Q779" s="961"/>
      <c r="R779" s="112"/>
      <c r="S779" s="1207"/>
      <c r="T779" s="1207"/>
      <c r="U779" s="1207"/>
      <c r="V779" s="1207"/>
      <c r="W779" s="1207"/>
      <c r="X779" s="1207"/>
      <c r="Y779" s="1207"/>
      <c r="Z779" s="1207"/>
      <c r="AA779" s="1207"/>
      <c r="AB779" s="1207"/>
      <c r="AC779" s="1207"/>
      <c r="AD779" s="1207"/>
      <c r="AE779" s="1207"/>
      <c r="AF779" s="112"/>
      <c r="AG779" s="1207"/>
      <c r="AH779" s="1207"/>
      <c r="AI779" s="1207"/>
      <c r="AJ779" s="1207"/>
      <c r="AK779" s="1019"/>
      <c r="AL779" s="1019"/>
      <c r="AM779" s="922"/>
      <c r="AO779" s="1313"/>
      <c r="AP779" s="1313"/>
      <c r="AQ779" s="1313"/>
    </row>
    <row r="780" spans="1:44">
      <c r="A780" s="3103"/>
      <c r="B780" s="3103"/>
      <c r="C780" s="3103"/>
      <c r="D780" s="3103"/>
      <c r="E780" s="3103"/>
      <c r="F780" s="3103"/>
      <c r="G780" s="3103"/>
      <c r="H780" s="3103"/>
      <c r="I780" s="3103"/>
      <c r="J780" s="3103"/>
      <c r="K780" s="3103"/>
      <c r="L780" s="3103"/>
      <c r="M780" s="3103"/>
      <c r="N780" s="3103"/>
      <c r="O780" s="3103"/>
      <c r="P780" s="3103"/>
      <c r="Q780" s="3103"/>
      <c r="R780" s="3103"/>
      <c r="S780" s="3103"/>
      <c r="T780" s="3103"/>
      <c r="U780" s="3103"/>
      <c r="V780" s="3103"/>
      <c r="W780" s="3103"/>
      <c r="X780" s="3103"/>
      <c r="Y780" s="3103"/>
      <c r="Z780" s="3103"/>
      <c r="AA780" s="3103"/>
      <c r="AB780" s="3103"/>
      <c r="AC780" s="3103"/>
      <c r="AD780" s="3103"/>
      <c r="AE780" s="3103"/>
      <c r="AF780" s="3103"/>
      <c r="AG780" s="3103"/>
      <c r="AH780" s="3103"/>
      <c r="AI780" s="3103"/>
      <c r="AJ780" s="3103"/>
      <c r="AK780" s="3103"/>
      <c r="AL780" s="3103"/>
      <c r="AM780" s="3103"/>
      <c r="AO780" s="1221"/>
      <c r="AP780" s="1314"/>
      <c r="AQ780" s="1313"/>
    </row>
    <row r="781" spans="1:44">
      <c r="A781" s="3103"/>
      <c r="B781" s="3103"/>
      <c r="C781" s="3103"/>
      <c r="D781" s="3103"/>
      <c r="E781" s="3103"/>
      <c r="F781" s="3103"/>
      <c r="G781" s="3103"/>
      <c r="H781" s="3103"/>
      <c r="I781" s="3103"/>
      <c r="J781" s="3103"/>
      <c r="K781" s="3103"/>
      <c r="L781" s="3103"/>
      <c r="M781" s="3103"/>
      <c r="N781" s="3103"/>
      <c r="O781" s="3103"/>
      <c r="P781" s="3103"/>
      <c r="Q781" s="3103"/>
      <c r="R781" s="3103"/>
      <c r="S781" s="3103"/>
      <c r="T781" s="3103"/>
      <c r="U781" s="3103"/>
      <c r="V781" s="3103"/>
      <c r="W781" s="3103"/>
      <c r="X781" s="3103"/>
      <c r="Y781" s="3103"/>
      <c r="Z781" s="3103"/>
      <c r="AA781" s="3103"/>
      <c r="AB781" s="3103"/>
      <c r="AC781" s="3103"/>
      <c r="AD781" s="3103"/>
      <c r="AE781" s="3103"/>
      <c r="AF781" s="3103"/>
      <c r="AG781" s="3103"/>
      <c r="AH781" s="3103"/>
      <c r="AI781" s="3103"/>
      <c r="AJ781" s="3103"/>
      <c r="AK781" s="3103"/>
      <c r="AL781" s="3103"/>
      <c r="AM781" s="3103"/>
      <c r="AO781" s="1314"/>
      <c r="AQ781" s="1313"/>
    </row>
    <row r="782" spans="1:44">
      <c r="A782" s="1315"/>
      <c r="B782" s="1104"/>
      <c r="C782" s="1104"/>
      <c r="D782" s="1104"/>
      <c r="E782" s="1104"/>
      <c r="F782" s="1104"/>
      <c r="G782" s="1104"/>
      <c r="H782" s="1104"/>
      <c r="I782" s="1104"/>
      <c r="J782" s="1104"/>
      <c r="K782" s="1104"/>
      <c r="L782" s="1104"/>
      <c r="M782" s="1104"/>
      <c r="N782" s="1104"/>
      <c r="O782" s="1104"/>
      <c r="P782" s="1104"/>
      <c r="Q782" s="1104"/>
      <c r="R782" s="1104"/>
      <c r="S782" s="1108"/>
      <c r="T782" s="3172" t="s">
        <v>1861</v>
      </c>
      <c r="U782" s="3173"/>
      <c r="V782" s="3173"/>
      <c r="W782" s="3173"/>
      <c r="X782" s="3173"/>
      <c r="Y782" s="3174"/>
      <c r="Z782" s="3172" t="s">
        <v>1862</v>
      </c>
      <c r="AA782" s="3173"/>
      <c r="AB782" s="3173"/>
      <c r="AC782" s="3173"/>
      <c r="AD782" s="3173"/>
      <c r="AE782" s="3174"/>
      <c r="AF782" s="3172" t="s">
        <v>1863</v>
      </c>
      <c r="AG782" s="3173"/>
      <c r="AH782" s="3173"/>
      <c r="AI782" s="3173"/>
      <c r="AJ782" s="3173"/>
      <c r="AK782" s="3174"/>
      <c r="AL782" s="1316"/>
      <c r="AM782" s="1210"/>
      <c r="AO782" s="1314"/>
      <c r="AP782" s="1313"/>
      <c r="AQ782" s="1313"/>
    </row>
    <row r="783" spans="1:44">
      <c r="A783" s="1317"/>
      <c r="B783" s="1144"/>
      <c r="C783" s="1144"/>
      <c r="D783" s="1144"/>
      <c r="E783" s="1144"/>
      <c r="F783" s="1144"/>
      <c r="G783" s="1144"/>
      <c r="H783" s="1144"/>
      <c r="I783" s="1144"/>
      <c r="J783" s="1144"/>
      <c r="K783" s="1144"/>
      <c r="L783" s="1144"/>
      <c r="M783" s="1144"/>
      <c r="N783" s="1144"/>
      <c r="O783" s="1144"/>
      <c r="P783" s="1144"/>
      <c r="Q783" s="1144"/>
      <c r="R783" s="1144"/>
      <c r="S783" s="1318"/>
      <c r="T783" s="3175"/>
      <c r="U783" s="3176"/>
      <c r="V783" s="3176"/>
      <c r="W783" s="3176"/>
      <c r="X783" s="3176"/>
      <c r="Y783" s="3177"/>
      <c r="Z783" s="3175"/>
      <c r="AA783" s="3176"/>
      <c r="AB783" s="3176"/>
      <c r="AC783" s="3176"/>
      <c r="AD783" s="3176"/>
      <c r="AE783" s="3177"/>
      <c r="AF783" s="3175"/>
      <c r="AG783" s="3176"/>
      <c r="AH783" s="3176"/>
      <c r="AI783" s="3176"/>
      <c r="AJ783" s="3176"/>
      <c r="AK783" s="3177"/>
      <c r="AL783" s="1316"/>
      <c r="AM783" s="1210"/>
      <c r="AO783" s="1314"/>
      <c r="AP783" s="1313"/>
      <c r="AQ783" s="1313"/>
    </row>
    <row r="784" spans="1:44">
      <c r="A784" s="1317" t="s">
        <v>798</v>
      </c>
      <c r="B784" s="3126" t="s">
        <v>1561</v>
      </c>
      <c r="C784" s="3126"/>
      <c r="D784" s="3126"/>
      <c r="E784" s="3126"/>
      <c r="F784" s="3126"/>
      <c r="G784" s="3126"/>
      <c r="H784" s="3126"/>
      <c r="I784" s="3126"/>
      <c r="J784" s="3126"/>
      <c r="K784" s="3126"/>
      <c r="L784" s="3126"/>
      <c r="M784" s="3126"/>
      <c r="N784" s="3126"/>
      <c r="O784" s="3126"/>
      <c r="P784" s="3126"/>
      <c r="Q784" s="3126"/>
      <c r="R784" s="3126"/>
      <c r="S784" s="3127"/>
      <c r="T784" s="3157">
        <f>AK51</f>
        <v>0</v>
      </c>
      <c r="U784" s="3130"/>
      <c r="V784" s="3130"/>
      <c r="W784" s="3130"/>
      <c r="X784" s="3130"/>
      <c r="Y784" s="3131"/>
      <c r="Z784" s="3129">
        <v>20</v>
      </c>
      <c r="AA784" s="3130"/>
      <c r="AB784" s="3130"/>
      <c r="AC784" s="3130"/>
      <c r="AD784" s="3130"/>
      <c r="AE784" s="3131"/>
      <c r="AF784" s="3132">
        <f>IF(T784&gt;Z784,Z784,T784)</f>
        <v>0</v>
      </c>
      <c r="AG784" s="3132"/>
      <c r="AH784" s="3132"/>
      <c r="AI784" s="3132"/>
      <c r="AJ784" s="3132"/>
      <c r="AK784" s="3132"/>
      <c r="AL784" s="1316"/>
      <c r="AM784" s="1210"/>
      <c r="AO784" s="1313"/>
      <c r="AP784" s="1313"/>
      <c r="AQ784" s="1313"/>
    </row>
    <row r="785" spans="1:81">
      <c r="A785" s="1317" t="s">
        <v>1829</v>
      </c>
      <c r="B785" s="3126" t="s">
        <v>1582</v>
      </c>
      <c r="C785" s="3126"/>
      <c r="D785" s="3126"/>
      <c r="E785" s="3126"/>
      <c r="F785" s="3126"/>
      <c r="G785" s="3126"/>
      <c r="H785" s="3126"/>
      <c r="I785" s="3126"/>
      <c r="J785" s="3126"/>
      <c r="K785" s="3126"/>
      <c r="L785" s="3126"/>
      <c r="M785" s="3126"/>
      <c r="N785" s="3126"/>
      <c r="O785" s="3126"/>
      <c r="P785" s="3126"/>
      <c r="Q785" s="3126"/>
      <c r="R785" s="3126"/>
      <c r="S785" s="3127"/>
      <c r="T785" s="3157">
        <f>AK72</f>
        <v>10</v>
      </c>
      <c r="U785" s="3130"/>
      <c r="V785" s="3130"/>
      <c r="W785" s="3130"/>
      <c r="X785" s="3130"/>
      <c r="Y785" s="3131"/>
      <c r="Z785" s="3129">
        <v>10</v>
      </c>
      <c r="AA785" s="3130"/>
      <c r="AB785" s="3130"/>
      <c r="AC785" s="3130"/>
      <c r="AD785" s="3130"/>
      <c r="AE785" s="3131"/>
      <c r="AF785" s="3132">
        <f>IF(T785&gt;Z785,Z785,T785)</f>
        <v>10</v>
      </c>
      <c r="AG785" s="3132"/>
      <c r="AH785" s="3132"/>
      <c r="AI785" s="3132"/>
      <c r="AJ785" s="3132"/>
      <c r="AK785" s="3132"/>
      <c r="AL785" s="1316"/>
      <c r="AM785" s="1210"/>
      <c r="AO785" s="1313"/>
      <c r="AP785" s="1313"/>
      <c r="AQ785" s="1313"/>
    </row>
    <row r="786" spans="1:81">
      <c r="A786" s="1317" t="s">
        <v>1838</v>
      </c>
      <c r="B786" s="3126" t="s">
        <v>1592</v>
      </c>
      <c r="C786" s="3126"/>
      <c r="D786" s="3126"/>
      <c r="E786" s="3126"/>
      <c r="F786" s="3126"/>
      <c r="G786" s="3126"/>
      <c r="H786" s="3126"/>
      <c r="I786" s="3126"/>
      <c r="J786" s="3126"/>
      <c r="K786" s="3126"/>
      <c r="L786" s="3126"/>
      <c r="M786" s="3126"/>
      <c r="N786" s="3126"/>
      <c r="O786" s="3126"/>
      <c r="P786" s="3126"/>
      <c r="Q786" s="3126"/>
      <c r="R786" s="3126"/>
      <c r="S786" s="3127"/>
      <c r="T786" s="3157">
        <f ca="1">AK97</f>
        <v>20</v>
      </c>
      <c r="U786" s="3130"/>
      <c r="V786" s="3130"/>
      <c r="W786" s="3130"/>
      <c r="X786" s="3130"/>
      <c r="Y786" s="3131"/>
      <c r="Z786" s="3129">
        <v>20</v>
      </c>
      <c r="AA786" s="3130"/>
      <c r="AB786" s="3130"/>
      <c r="AC786" s="3130"/>
      <c r="AD786" s="3130"/>
      <c r="AE786" s="3131"/>
      <c r="AF786" s="3132">
        <f ca="1">IF(T786&gt;Z786,Z786,T786)</f>
        <v>20</v>
      </c>
      <c r="AG786" s="3132"/>
      <c r="AH786" s="3132"/>
      <c r="AI786" s="3132"/>
      <c r="AJ786" s="3132"/>
      <c r="AK786" s="3132"/>
      <c r="AL786" s="1316"/>
      <c r="AM786" s="1210"/>
      <c r="AO786" s="1313"/>
      <c r="AP786" s="1313"/>
      <c r="AQ786" s="1313"/>
    </row>
    <row r="787" spans="1:81">
      <c r="A787" s="1317" t="s">
        <v>1864</v>
      </c>
      <c r="B787" s="3126" t="s">
        <v>1602</v>
      </c>
      <c r="C787" s="3126"/>
      <c r="D787" s="3126"/>
      <c r="E787" s="3126"/>
      <c r="F787" s="3126"/>
      <c r="G787" s="3126"/>
      <c r="H787" s="3126"/>
      <c r="I787" s="3126"/>
      <c r="J787" s="3126"/>
      <c r="K787" s="3126"/>
      <c r="L787" s="3126"/>
      <c r="M787" s="3126"/>
      <c r="N787" s="3126"/>
      <c r="O787" s="3126"/>
      <c r="P787" s="3126"/>
      <c r="Q787" s="3126"/>
      <c r="R787" s="3126"/>
      <c r="S787" s="3127"/>
      <c r="T787" s="3157">
        <f>AK131</f>
        <v>10</v>
      </c>
      <c r="U787" s="3130"/>
      <c r="V787" s="3130"/>
      <c r="W787" s="3130"/>
      <c r="X787" s="3130"/>
      <c r="Y787" s="3131"/>
      <c r="Z787" s="3129">
        <v>10</v>
      </c>
      <c r="AA787" s="3130"/>
      <c r="AB787" s="3130"/>
      <c r="AC787" s="3130"/>
      <c r="AD787" s="3130"/>
      <c r="AE787" s="3131"/>
      <c r="AF787" s="3132">
        <f>IF(T787&gt;Z787,Z787,T787)</f>
        <v>10</v>
      </c>
      <c r="AG787" s="3132"/>
      <c r="AH787" s="3132"/>
      <c r="AI787" s="3132"/>
      <c r="AJ787" s="3132"/>
      <c r="AK787" s="3132"/>
      <c r="AL787" s="1316"/>
      <c r="AM787" s="1210"/>
      <c r="AO787" s="1313"/>
      <c r="AP787" s="1313"/>
      <c r="AQ787" s="1313"/>
    </row>
    <row r="788" spans="1:81">
      <c r="A788" s="1319" t="s">
        <v>1865</v>
      </c>
      <c r="B788" s="3126" t="s">
        <v>1866</v>
      </c>
      <c r="C788" s="3126"/>
      <c r="D788" s="3126"/>
      <c r="E788" s="3126"/>
      <c r="F788" s="3126"/>
      <c r="G788" s="3126"/>
      <c r="H788" s="3126"/>
      <c r="I788" s="3126"/>
      <c r="J788" s="3126"/>
      <c r="K788" s="3126"/>
      <c r="L788" s="3126"/>
      <c r="M788" s="3126"/>
      <c r="N788" s="3126"/>
      <c r="O788" s="3126"/>
      <c r="P788" s="3126"/>
      <c r="Q788" s="3126"/>
      <c r="R788" s="3126"/>
      <c r="S788" s="3127"/>
      <c r="T788" s="3128">
        <f>SUM(T789:Y790)</f>
        <v>10</v>
      </c>
      <c r="U788" s="3128"/>
      <c r="V788" s="3128"/>
      <c r="W788" s="3128"/>
      <c r="X788" s="3128"/>
      <c r="Y788" s="3128"/>
      <c r="Z788" s="3132">
        <v>10</v>
      </c>
      <c r="AA788" s="3132"/>
      <c r="AB788" s="3132"/>
      <c r="AC788" s="3132"/>
      <c r="AD788" s="3132"/>
      <c r="AE788" s="3132"/>
      <c r="AF788" s="3132">
        <f>IF(T788&gt;Z788,Z788,T788)</f>
        <v>10</v>
      </c>
      <c r="AG788" s="3132"/>
      <c r="AH788" s="3132"/>
      <c r="AI788" s="3132"/>
      <c r="AJ788" s="3132"/>
      <c r="AK788" s="3132"/>
      <c r="AL788" s="1316"/>
      <c r="AM788" s="1210"/>
    </row>
    <row r="789" spans="1:81">
      <c r="A789" s="920"/>
      <c r="B789" s="1003"/>
      <c r="C789" s="3133" t="s">
        <v>1867</v>
      </c>
      <c r="D789" s="3133"/>
      <c r="E789" s="3133"/>
      <c r="F789" s="3133"/>
      <c r="G789" s="3133"/>
      <c r="H789" s="3133"/>
      <c r="I789" s="3133"/>
      <c r="J789" s="3133"/>
      <c r="K789" s="3133"/>
      <c r="L789" s="3133"/>
      <c r="M789" s="3133"/>
      <c r="N789" s="3133"/>
      <c r="O789" s="3133"/>
      <c r="P789" s="3133"/>
      <c r="Q789" s="3133"/>
      <c r="R789" s="3133"/>
      <c r="S789" s="3134"/>
      <c r="T789" s="3135">
        <f>AJ149</f>
        <v>7</v>
      </c>
      <c r="U789" s="3135"/>
      <c r="V789" s="3135"/>
      <c r="W789" s="3135"/>
      <c r="X789" s="3135"/>
      <c r="Y789" s="3135"/>
      <c r="Z789" s="3136">
        <v>7</v>
      </c>
      <c r="AA789" s="3136"/>
      <c r="AB789" s="3136"/>
      <c r="AC789" s="3136"/>
      <c r="AD789" s="3136"/>
      <c r="AE789" s="3136"/>
      <c r="AF789" s="3137"/>
      <c r="AG789" s="3137"/>
      <c r="AH789" s="3137"/>
      <c r="AI789" s="3137"/>
      <c r="AJ789" s="3137"/>
      <c r="AK789" s="3137"/>
      <c r="AL789" s="1316"/>
      <c r="AM789" s="1210"/>
    </row>
    <row r="790" spans="1:81">
      <c r="A790" s="1320"/>
      <c r="B790" s="1003"/>
      <c r="C790" s="3133" t="s">
        <v>1868</v>
      </c>
      <c r="D790" s="3133"/>
      <c r="E790" s="3133"/>
      <c r="F790" s="3133"/>
      <c r="G790" s="3133"/>
      <c r="H790" s="3133"/>
      <c r="I790" s="3133"/>
      <c r="J790" s="3133"/>
      <c r="K790" s="3133"/>
      <c r="L790" s="3133"/>
      <c r="M790" s="3133"/>
      <c r="N790" s="3133"/>
      <c r="O790" s="3133"/>
      <c r="P790" s="3133"/>
      <c r="Q790" s="3133"/>
      <c r="R790" s="3133"/>
      <c r="S790" s="3134"/>
      <c r="T790" s="3135">
        <f>AJ163</f>
        <v>3</v>
      </c>
      <c r="U790" s="3135"/>
      <c r="V790" s="3135"/>
      <c r="W790" s="3135"/>
      <c r="X790" s="3135"/>
      <c r="Y790" s="3135"/>
      <c r="Z790" s="3136">
        <v>3</v>
      </c>
      <c r="AA790" s="3136"/>
      <c r="AB790" s="3136"/>
      <c r="AC790" s="3136"/>
      <c r="AD790" s="3136"/>
      <c r="AE790" s="3136"/>
      <c r="AF790" s="3137"/>
      <c r="AG790" s="3137"/>
      <c r="AH790" s="3137"/>
      <c r="AI790" s="3137"/>
      <c r="AJ790" s="3137"/>
      <c r="AK790" s="3137"/>
      <c r="AL790" s="1316"/>
      <c r="AM790" s="1210"/>
      <c r="AO790" s="937"/>
    </row>
    <row r="791" spans="1:81">
      <c r="A791" s="1319" t="s">
        <v>1630</v>
      </c>
      <c r="B791" s="3126" t="s">
        <v>1869</v>
      </c>
      <c r="C791" s="3126"/>
      <c r="D791" s="3126"/>
      <c r="E791" s="3126"/>
      <c r="F791" s="3126"/>
      <c r="G791" s="3126"/>
      <c r="H791" s="3126"/>
      <c r="I791" s="3126"/>
      <c r="J791" s="3126"/>
      <c r="K791" s="3126"/>
      <c r="L791" s="3126"/>
      <c r="M791" s="3126"/>
      <c r="N791" s="3126"/>
      <c r="O791" s="3126"/>
      <c r="P791" s="3126"/>
      <c r="Q791" s="3126"/>
      <c r="R791" s="3126"/>
      <c r="S791" s="3127"/>
      <c r="T791" s="3128">
        <f>AK174</f>
        <v>10</v>
      </c>
      <c r="U791" s="3128"/>
      <c r="V791" s="3128"/>
      <c r="W791" s="3128"/>
      <c r="X791" s="3128"/>
      <c r="Y791" s="3128"/>
      <c r="Z791" s="3132">
        <v>10</v>
      </c>
      <c r="AA791" s="3132"/>
      <c r="AB791" s="3132"/>
      <c r="AC791" s="3132"/>
      <c r="AD791" s="3132"/>
      <c r="AE791" s="3132"/>
      <c r="AF791" s="3132">
        <f>IF(T791&gt;Z791,Z791,T791)</f>
        <v>10</v>
      </c>
      <c r="AG791" s="3132"/>
      <c r="AH791" s="3132"/>
      <c r="AI791" s="3132"/>
      <c r="AJ791" s="3132"/>
      <c r="AK791" s="3132"/>
      <c r="AL791" s="1316"/>
      <c r="AM791" s="1210"/>
    </row>
    <row r="792" spans="1:81">
      <c r="A792" s="1317" t="s">
        <v>1639</v>
      </c>
      <c r="B792" s="3126" t="s">
        <v>1640</v>
      </c>
      <c r="C792" s="3126"/>
      <c r="D792" s="3126"/>
      <c r="E792" s="3126"/>
      <c r="F792" s="3126"/>
      <c r="G792" s="3126"/>
      <c r="H792" s="3126"/>
      <c r="I792" s="3126"/>
      <c r="J792" s="3126"/>
      <c r="K792" s="3126"/>
      <c r="L792" s="3126"/>
      <c r="M792" s="3126"/>
      <c r="N792" s="3126"/>
      <c r="O792" s="3126"/>
      <c r="P792" s="3126"/>
      <c r="Q792" s="3126"/>
      <c r="R792" s="3126"/>
      <c r="S792" s="3127"/>
      <c r="T792" s="3128">
        <f>AK256</f>
        <v>8</v>
      </c>
      <c r="U792" s="3128"/>
      <c r="V792" s="3128"/>
      <c r="W792" s="3128"/>
      <c r="X792" s="3128"/>
      <c r="Y792" s="3128"/>
      <c r="Z792" s="3129">
        <v>8</v>
      </c>
      <c r="AA792" s="3130"/>
      <c r="AB792" s="3130"/>
      <c r="AC792" s="3130"/>
      <c r="AD792" s="3130"/>
      <c r="AE792" s="3131"/>
      <c r="AF792" s="3132">
        <f>IF(T792&gt;Z792,Z792,T792)</f>
        <v>8</v>
      </c>
      <c r="AG792" s="3132"/>
      <c r="AH792" s="3132"/>
      <c r="AI792" s="3132"/>
      <c r="AJ792" s="3132"/>
      <c r="AK792" s="3132"/>
      <c r="AL792" s="1316"/>
      <c r="AM792" s="1210"/>
    </row>
    <row r="793" spans="1:81" s="919" customFormat="1" hidden="1">
      <c r="A793" s="1319" t="s">
        <v>624</v>
      </c>
      <c r="B793" s="3126" t="s">
        <v>1870</v>
      </c>
      <c r="C793" s="3126"/>
      <c r="D793" s="3126"/>
      <c r="E793" s="3126"/>
      <c r="F793" s="3126"/>
      <c r="G793" s="3126"/>
      <c r="H793" s="3126"/>
      <c r="I793" s="3126"/>
      <c r="J793" s="3126"/>
      <c r="K793" s="3126"/>
      <c r="L793" s="3126"/>
      <c r="M793" s="3126"/>
      <c r="N793" s="3126"/>
      <c r="O793" s="3126"/>
      <c r="P793" s="3126"/>
      <c r="Q793" s="3126"/>
      <c r="R793" s="3126"/>
      <c r="S793" s="3127"/>
      <c r="T793" s="3128">
        <f>IF(AK750&gt;5,5,AK750)</f>
        <v>0</v>
      </c>
      <c r="U793" s="3128"/>
      <c r="V793" s="3128"/>
      <c r="W793" s="3128"/>
      <c r="X793" s="3128"/>
      <c r="Y793" s="3128"/>
      <c r="Z793" s="3132">
        <v>5</v>
      </c>
      <c r="AA793" s="3132"/>
      <c r="AB793" s="3132"/>
      <c r="AC793" s="3132"/>
      <c r="AD793" s="3132"/>
      <c r="AE793" s="3132"/>
      <c r="AF793" s="3132">
        <f>IF(T793&gt;Z793,5,T793)</f>
        <v>0</v>
      </c>
      <c r="AG793" s="3132"/>
      <c r="AH793" s="3132"/>
      <c r="AI793" s="3132"/>
      <c r="AJ793" s="3132"/>
      <c r="AK793" s="3132"/>
      <c r="AL793" s="1316"/>
      <c r="AM793" s="1210"/>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19" customFormat="1">
      <c r="A794" s="1317" t="s">
        <v>1645</v>
      </c>
      <c r="B794" s="3126" t="s">
        <v>1871</v>
      </c>
      <c r="C794" s="3126"/>
      <c r="D794" s="3126"/>
      <c r="E794" s="3126"/>
      <c r="F794" s="3126"/>
      <c r="G794" s="3126"/>
      <c r="H794" s="3126"/>
      <c r="I794" s="3126"/>
      <c r="J794" s="3126"/>
      <c r="K794" s="3126"/>
      <c r="L794" s="3126"/>
      <c r="M794" s="3126"/>
      <c r="N794" s="3126"/>
      <c r="O794" s="3126"/>
      <c r="P794" s="3126"/>
      <c r="Q794" s="3126"/>
      <c r="R794" s="3126"/>
      <c r="S794" s="3127"/>
      <c r="T794" s="3128">
        <f>AK267</f>
        <v>10</v>
      </c>
      <c r="U794" s="3128"/>
      <c r="V794" s="3128"/>
      <c r="W794" s="3128"/>
      <c r="X794" s="3128"/>
      <c r="Y794" s="3128"/>
      <c r="Z794" s="3132">
        <v>10</v>
      </c>
      <c r="AA794" s="3132"/>
      <c r="AB794" s="3132"/>
      <c r="AC794" s="3132"/>
      <c r="AD794" s="3132"/>
      <c r="AE794" s="3132"/>
      <c r="AF794" s="3138">
        <f>IF(T794&gt;Z794,Z794,T794)</f>
        <v>10</v>
      </c>
      <c r="AG794" s="3139"/>
      <c r="AH794" s="3139"/>
      <c r="AI794" s="3139"/>
      <c r="AJ794" s="3139"/>
      <c r="AK794" s="3140"/>
      <c r="AL794" s="1316"/>
      <c r="AM794" s="987"/>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19" customFormat="1">
      <c r="A795" s="1319" t="s">
        <v>1649</v>
      </c>
      <c r="B795" s="3126" t="s">
        <v>1650</v>
      </c>
      <c r="C795" s="3126"/>
      <c r="D795" s="3126"/>
      <c r="E795" s="3126"/>
      <c r="F795" s="3126"/>
      <c r="G795" s="3126"/>
      <c r="H795" s="3126"/>
      <c r="I795" s="3126"/>
      <c r="J795" s="3126"/>
      <c r="K795" s="3126"/>
      <c r="L795" s="3126"/>
      <c r="M795" s="3126"/>
      <c r="N795" s="3126"/>
      <c r="O795" s="3126"/>
      <c r="P795" s="3126"/>
      <c r="Q795" s="3126"/>
      <c r="R795" s="3126"/>
      <c r="S795" s="3127"/>
      <c r="T795" s="3128">
        <f>AK553</f>
        <v>19</v>
      </c>
      <c r="U795" s="3128"/>
      <c r="V795" s="3128"/>
      <c r="W795" s="3128"/>
      <c r="X795" s="3128"/>
      <c r="Y795" s="3128"/>
      <c r="Z795" s="3138">
        <v>20</v>
      </c>
      <c r="AA795" s="3139"/>
      <c r="AB795" s="3139"/>
      <c r="AC795" s="3139"/>
      <c r="AD795" s="3139"/>
      <c r="AE795" s="3140"/>
      <c r="AF795" s="3138">
        <f>IF(T795&gt;Z795,Z795,T795)</f>
        <v>19</v>
      </c>
      <c r="AG795" s="3141"/>
      <c r="AH795" s="3141"/>
      <c r="AI795" s="3141"/>
      <c r="AJ795" s="3141"/>
      <c r="AK795" s="3142"/>
      <c r="AL795" s="1321"/>
      <c r="AM795" s="987"/>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19" customFormat="1">
      <c r="A796" s="1319"/>
      <c r="B796" s="1322"/>
      <c r="C796" s="1323" t="s">
        <v>1872</v>
      </c>
      <c r="D796" s="1324"/>
      <c r="E796" s="1324"/>
      <c r="F796" s="1324"/>
      <c r="G796" s="1324"/>
      <c r="H796" s="1324"/>
      <c r="I796" s="1324"/>
      <c r="J796" s="1324"/>
      <c r="K796" s="1324"/>
      <c r="L796" s="1324"/>
      <c r="M796" s="1324"/>
      <c r="N796" s="1324"/>
      <c r="O796" s="1324"/>
      <c r="P796" s="1324"/>
      <c r="Q796" s="1324"/>
      <c r="R796" s="1322"/>
      <c r="S796" s="1325"/>
      <c r="T796" s="3135">
        <f>AK320</f>
        <v>9</v>
      </c>
      <c r="U796" s="3135"/>
      <c r="V796" s="3135"/>
      <c r="W796" s="3135"/>
      <c r="X796" s="3135"/>
      <c r="Y796" s="3135"/>
      <c r="Z796" s="3100">
        <v>20</v>
      </c>
      <c r="AA796" s="3101"/>
      <c r="AB796" s="3101"/>
      <c r="AC796" s="3101"/>
      <c r="AD796" s="3101"/>
      <c r="AE796" s="3102"/>
      <c r="AF796" s="3137"/>
      <c r="AG796" s="3137"/>
      <c r="AH796" s="3137"/>
      <c r="AI796" s="3137"/>
      <c r="AJ796" s="3137"/>
      <c r="AK796" s="3137"/>
      <c r="AL796" s="1321"/>
      <c r="AM796" s="987"/>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19" customFormat="1">
      <c r="A797" s="1319"/>
      <c r="B797" s="1322"/>
      <c r="C797" s="1323" t="s">
        <v>1873</v>
      </c>
      <c r="D797" s="1323"/>
      <c r="E797" s="1323"/>
      <c r="F797" s="1323"/>
      <c r="G797" s="1323"/>
      <c r="H797" s="1323"/>
      <c r="I797" s="1323"/>
      <c r="J797" s="1323"/>
      <c r="K797" s="1323"/>
      <c r="L797" s="1323"/>
      <c r="M797" s="1323"/>
      <c r="N797" s="1323"/>
      <c r="O797" s="1323"/>
      <c r="P797" s="1323"/>
      <c r="Q797" s="1323"/>
      <c r="R797" s="1322"/>
      <c r="S797" s="1325"/>
      <c r="T797" s="3135">
        <f>AK551</f>
        <v>10</v>
      </c>
      <c r="U797" s="3135"/>
      <c r="V797" s="3135"/>
      <c r="W797" s="3135"/>
      <c r="X797" s="3135"/>
      <c r="Y797" s="3135"/>
      <c r="Z797" s="3100">
        <v>10</v>
      </c>
      <c r="AA797" s="3101"/>
      <c r="AB797" s="3101"/>
      <c r="AC797" s="3101"/>
      <c r="AD797" s="3101"/>
      <c r="AE797" s="3102"/>
      <c r="AF797" s="3137"/>
      <c r="AG797" s="3137"/>
      <c r="AH797" s="3137"/>
      <c r="AI797" s="3137"/>
      <c r="AJ797" s="3137"/>
      <c r="AK797" s="3137"/>
      <c r="AL797" s="1321"/>
      <c r="AM797" s="987"/>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19" customFormat="1">
      <c r="A798" s="1319" t="s">
        <v>1735</v>
      </c>
      <c r="B798" s="3126" t="s">
        <v>908</v>
      </c>
      <c r="C798" s="3126"/>
      <c r="D798" s="3126"/>
      <c r="E798" s="3126"/>
      <c r="F798" s="3126"/>
      <c r="G798" s="3126"/>
      <c r="H798" s="3126"/>
      <c r="I798" s="3126"/>
      <c r="J798" s="3126"/>
      <c r="K798" s="3126"/>
      <c r="L798" s="3126"/>
      <c r="M798" s="3126"/>
      <c r="N798" s="3126"/>
      <c r="O798" s="3126"/>
      <c r="P798" s="3126"/>
      <c r="Q798" s="3126"/>
      <c r="R798" s="3126"/>
      <c r="S798" s="3127"/>
      <c r="T798" s="3128">
        <f>AK684</f>
        <v>10</v>
      </c>
      <c r="U798" s="3128"/>
      <c r="V798" s="3128"/>
      <c r="W798" s="3128"/>
      <c r="X798" s="3128"/>
      <c r="Y798" s="3128"/>
      <c r="Z798" s="3138">
        <v>10</v>
      </c>
      <c r="AA798" s="3139"/>
      <c r="AB798" s="3139"/>
      <c r="AC798" s="3139"/>
      <c r="AD798" s="3139"/>
      <c r="AE798" s="3140"/>
      <c r="AF798" s="3132">
        <f>IF(T798&gt;Z798,Z798,T798)</f>
        <v>10</v>
      </c>
      <c r="AG798" s="3132"/>
      <c r="AH798" s="3132"/>
      <c r="AI798" s="3132"/>
      <c r="AJ798" s="3132"/>
      <c r="AK798" s="3132"/>
      <c r="AL798" s="1321"/>
      <c r="AM798" s="987"/>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9" customFormat="1">
      <c r="A799" s="1319" t="s">
        <v>1848</v>
      </c>
      <c r="B799" s="3126" t="s">
        <v>1849</v>
      </c>
      <c r="C799" s="3126"/>
      <c r="D799" s="3126"/>
      <c r="E799" s="3126"/>
      <c r="F799" s="3126"/>
      <c r="G799" s="3126"/>
      <c r="H799" s="3126"/>
      <c r="I799" s="3126"/>
      <c r="J799" s="3126"/>
      <c r="K799" s="3126"/>
      <c r="L799" s="3126"/>
      <c r="M799" s="3126"/>
      <c r="N799" s="3126"/>
      <c r="O799" s="3126"/>
      <c r="P799" s="3126"/>
      <c r="Q799" s="3126"/>
      <c r="R799" s="3126"/>
      <c r="S799" s="3127"/>
      <c r="T799" s="3128">
        <f>AK774</f>
        <v>12</v>
      </c>
      <c r="U799" s="3128"/>
      <c r="V799" s="3128"/>
      <c r="W799" s="3128"/>
      <c r="X799" s="3128"/>
      <c r="Y799" s="3128"/>
      <c r="Z799" s="3138">
        <v>12</v>
      </c>
      <c r="AA799" s="3139"/>
      <c r="AB799" s="3139"/>
      <c r="AC799" s="3139"/>
      <c r="AD799" s="3139"/>
      <c r="AE799" s="3140"/>
      <c r="AF799" s="3132">
        <f>IF(T799&gt;Z799,Z799,T799)</f>
        <v>12</v>
      </c>
      <c r="AG799" s="3132"/>
      <c r="AH799" s="3132"/>
      <c r="AI799" s="3132"/>
      <c r="AJ799" s="3132"/>
      <c r="AK799" s="3132"/>
      <c r="AL799" s="1321"/>
      <c r="AM799" s="987"/>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9" customFormat="1">
      <c r="A800" s="3143" t="s">
        <v>1874</v>
      </c>
      <c r="B800" s="3126"/>
      <c r="C800" s="3126"/>
      <c r="D800" s="3126"/>
      <c r="E800" s="3126"/>
      <c r="F800" s="3126"/>
      <c r="G800" s="3126"/>
      <c r="H800" s="3126"/>
      <c r="I800" s="3126"/>
      <c r="J800" s="3126"/>
      <c r="K800" s="3126"/>
      <c r="L800" s="3126"/>
      <c r="M800" s="3126"/>
      <c r="N800" s="3126"/>
      <c r="O800" s="3126"/>
      <c r="P800" s="3126"/>
      <c r="Q800" s="3126"/>
      <c r="R800" s="3126"/>
      <c r="S800" s="3127"/>
      <c r="T800" s="3144"/>
      <c r="U800" s="3144"/>
      <c r="V800" s="3144"/>
      <c r="W800" s="3144"/>
      <c r="X800" s="3144"/>
      <c r="Y800" s="3144"/>
      <c r="Z800" s="3136" t="s">
        <v>1875</v>
      </c>
      <c r="AA800" s="3136"/>
      <c r="AB800" s="3136"/>
      <c r="AC800" s="3136"/>
      <c r="AD800" s="3136"/>
      <c r="AE800" s="3136"/>
      <c r="AF800" s="3138">
        <f>IF(T800&gt;0,T800,0)</f>
        <v>0</v>
      </c>
      <c r="AG800" s="3139"/>
      <c r="AH800" s="3139"/>
      <c r="AI800" s="3139"/>
      <c r="AJ800" s="3139"/>
      <c r="AK800" s="3140"/>
      <c r="AL800" s="1028"/>
      <c r="AM800" s="987"/>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9" customFormat="1" ht="15.6">
      <c r="A801" s="3145" t="s">
        <v>1876</v>
      </c>
      <c r="B801" s="3146"/>
      <c r="C801" s="3146"/>
      <c r="D801" s="3146"/>
      <c r="E801" s="3146"/>
      <c r="F801" s="3146"/>
      <c r="G801" s="3146"/>
      <c r="H801" s="3146"/>
      <c r="I801" s="3146"/>
      <c r="J801" s="3146"/>
      <c r="K801" s="3146"/>
      <c r="L801" s="3146"/>
      <c r="M801" s="3146"/>
      <c r="N801" s="3146"/>
      <c r="O801" s="3146"/>
      <c r="P801" s="3146"/>
      <c r="Q801" s="3146"/>
      <c r="R801" s="3146"/>
      <c r="S801" s="3146"/>
      <c r="T801" s="3146"/>
      <c r="U801" s="3146"/>
      <c r="V801" s="3146"/>
      <c r="W801" s="3146"/>
      <c r="X801" s="3146"/>
      <c r="Y801" s="3146"/>
      <c r="Z801" s="3146"/>
      <c r="AA801" s="3146"/>
      <c r="AB801" s="3146"/>
      <c r="AC801" s="3146"/>
      <c r="AD801" s="3146"/>
      <c r="AE801" s="3147"/>
      <c r="AF801" s="3151">
        <f ca="1">SUM(AF784:AK799)-AF800</f>
        <v>119</v>
      </c>
      <c r="AG801" s="3152"/>
      <c r="AH801" s="3152"/>
      <c r="AI801" s="3152"/>
      <c r="AJ801" s="3152"/>
      <c r="AK801" s="3153"/>
      <c r="AL801" s="1326"/>
      <c r="AM801" s="937"/>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9" customFormat="1" ht="15.6">
      <c r="A802" s="3148"/>
      <c r="B802" s="3149"/>
      <c r="C802" s="3149"/>
      <c r="D802" s="3149"/>
      <c r="E802" s="3149"/>
      <c r="F802" s="3149"/>
      <c r="G802" s="3149"/>
      <c r="H802" s="3149"/>
      <c r="I802" s="3149"/>
      <c r="J802" s="3149"/>
      <c r="K802" s="3149"/>
      <c r="L802" s="3149"/>
      <c r="M802" s="3149"/>
      <c r="N802" s="3149"/>
      <c r="O802" s="3149"/>
      <c r="P802" s="3149"/>
      <c r="Q802" s="3149"/>
      <c r="R802" s="3149"/>
      <c r="S802" s="3149"/>
      <c r="T802" s="3149"/>
      <c r="U802" s="3149"/>
      <c r="V802" s="3149"/>
      <c r="W802" s="3149"/>
      <c r="X802" s="3149"/>
      <c r="Y802" s="3149"/>
      <c r="Z802" s="3149"/>
      <c r="AA802" s="3149"/>
      <c r="AB802" s="3149"/>
      <c r="AC802" s="3149"/>
      <c r="AD802" s="3149"/>
      <c r="AE802" s="3150"/>
      <c r="AF802" s="3154"/>
      <c r="AG802" s="3155"/>
      <c r="AH802" s="3155"/>
      <c r="AI802" s="3155"/>
      <c r="AJ802" s="3155"/>
      <c r="AK802" s="3156"/>
      <c r="AL802" s="1326"/>
      <c r="AM802" s="937"/>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9" customFormat="1">
      <c r="A803" s="1100"/>
      <c r="B803" s="1100"/>
      <c r="C803" s="1100"/>
      <c r="D803" s="1100"/>
      <c r="E803" s="1100"/>
      <c r="F803" s="1100"/>
      <c r="G803" s="1100"/>
      <c r="H803" s="1100"/>
      <c r="I803" s="1100"/>
      <c r="J803" s="1100"/>
      <c r="K803" s="1100"/>
      <c r="L803" s="1100"/>
      <c r="M803" s="1100"/>
      <c r="N803" s="1100"/>
      <c r="O803" s="1100"/>
      <c r="P803" s="1100"/>
      <c r="Q803" s="1100"/>
      <c r="R803" s="1100"/>
      <c r="S803" s="1100"/>
      <c r="T803" s="1100"/>
      <c r="U803" s="1100"/>
      <c r="V803" s="1100"/>
      <c r="W803" s="1100"/>
      <c r="X803" s="1100"/>
      <c r="Y803" s="1100"/>
      <c r="Z803" s="1100"/>
      <c r="AA803" s="1100"/>
      <c r="AB803" s="1100"/>
      <c r="AC803" s="1100"/>
      <c r="AD803" s="1100"/>
      <c r="AE803" s="1100"/>
      <c r="AF803" s="1100"/>
      <c r="AG803" s="1100"/>
      <c r="AH803" s="1100"/>
      <c r="AI803" s="1100"/>
      <c r="AJ803" s="1100"/>
      <c r="AK803" s="1100"/>
      <c r="AL803" s="1100"/>
      <c r="AM803" s="1327"/>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6" sqref="E6"/>
    </sheetView>
  </sheetViews>
  <sheetFormatPr defaultColWidth="9.109375" defaultRowHeight="13.8"/>
  <cols>
    <col min="1" max="1" width="3.77734375" style="1328" customWidth="1"/>
    <col min="2" max="2" width="1.77734375" style="1328" customWidth="1"/>
    <col min="3" max="3" width="2.77734375" style="1328" customWidth="1"/>
    <col min="4" max="4" width="40.77734375" style="1328" customWidth="1"/>
    <col min="5" max="5" width="13.44140625" style="1328" customWidth="1"/>
    <col min="6" max="6" width="2.77734375" style="1332" customWidth="1"/>
    <col min="7" max="7" width="10.77734375" style="1328" customWidth="1"/>
    <col min="8" max="8" width="2.77734375" style="1332" customWidth="1"/>
    <col min="9" max="9" width="10.77734375" style="1328" customWidth="1"/>
    <col min="10" max="10" width="1.44140625" style="1328" customWidth="1"/>
    <col min="11" max="11" width="47.44140625" style="1329" customWidth="1"/>
    <col min="12" max="16384" width="9.109375" style="1328"/>
  </cols>
  <sheetData>
    <row r="1" spans="1:11" ht="30" customHeight="1">
      <c r="A1" s="3337" t="s">
        <v>1877</v>
      </c>
      <c r="B1" s="3337"/>
      <c r="C1" s="3337"/>
      <c r="D1" s="3337"/>
      <c r="E1" s="3337"/>
      <c r="F1" s="3337"/>
      <c r="G1" s="3337"/>
      <c r="H1" s="3337"/>
      <c r="I1" s="3337"/>
    </row>
    <row r="2" spans="1:11">
      <c r="A2" s="1330"/>
      <c r="B2" s="1330"/>
      <c r="E2" s="1331"/>
      <c r="I2" s="1333"/>
      <c r="K2" s="1334"/>
    </row>
    <row r="3" spans="1:11">
      <c r="A3" s="1335" t="s">
        <v>1584</v>
      </c>
      <c r="B3" s="1335"/>
      <c r="C3" s="1328" t="s">
        <v>2177</v>
      </c>
      <c r="E3" s="1810">
        <f>ROUND(Application!AM564+'Basis &amp; Credits'!AB77,0)</f>
        <v>77124582</v>
      </c>
      <c r="F3" s="1336"/>
      <c r="K3" s="1407"/>
    </row>
    <row r="4" spans="1:11" s="1337" customFormat="1" ht="15" customHeight="1">
      <c r="C4" s="1337" t="s">
        <v>1878</v>
      </c>
      <c r="E4" s="1413">
        <f>Application!AD1037</f>
        <v>6.1403508771929821E-2</v>
      </c>
      <c r="F4" s="1338"/>
      <c r="H4" s="1339"/>
      <c r="K4" s="1626"/>
    </row>
    <row r="5" spans="1:11" s="1340" customFormat="1" ht="15" customHeight="1">
      <c r="A5" s="3338"/>
      <c r="B5" s="3338"/>
      <c r="D5" s="1340" t="s">
        <v>2178</v>
      </c>
      <c r="E5" s="1341">
        <f>IF('CDLAC Points System'!C274="Yes",0.2,0)</f>
        <v>0</v>
      </c>
      <c r="F5" s="1338"/>
      <c r="H5" s="1339"/>
      <c r="K5" s="1627"/>
    </row>
    <row r="6" spans="1:11" s="1340" customFormat="1" ht="15" customHeight="1">
      <c r="A6" s="1490"/>
      <c r="B6" s="1490"/>
      <c r="D6" s="1340" t="s">
        <v>2179</v>
      </c>
      <c r="E6" s="1341" t="str">
        <f>IF(AND((Application!W464&gt;=(0.5*Application!G753)),Application!D210="Special Needs",(OR(Application!M354="Yes",Application!M355="Yes"))),0.2," ")</f>
        <v xml:space="preserve"> </v>
      </c>
      <c r="F6" s="1338"/>
      <c r="H6" s="1339"/>
      <c r="K6" s="1627"/>
    </row>
    <row r="7" spans="1:11">
      <c r="A7" s="1330"/>
      <c r="B7" s="1330"/>
      <c r="C7" s="1328" t="s">
        <v>2181</v>
      </c>
      <c r="E7" s="1411">
        <f>E3-(E3*(E4+(MAX(E5,E6))))</f>
        <v>72388862.052631587</v>
      </c>
      <c r="F7" s="1336"/>
      <c r="I7" s="1342"/>
      <c r="K7" s="1628"/>
    </row>
    <row r="8" spans="1:11">
      <c r="A8" s="1330"/>
      <c r="B8" s="1330"/>
      <c r="E8" s="1342"/>
      <c r="F8" s="1343"/>
      <c r="G8" s="1344"/>
      <c r="H8" s="1345"/>
      <c r="I8" s="1342"/>
    </row>
    <row r="9" spans="1:11" s="1348" customFormat="1" ht="15" customHeight="1">
      <c r="A9" s="1346"/>
      <c r="B9" s="1346"/>
      <c r="C9" s="1347"/>
      <c r="E9" s="1349" t="s">
        <v>1879</v>
      </c>
      <c r="F9" s="1350"/>
      <c r="G9" s="1351" t="s">
        <v>1880</v>
      </c>
      <c r="H9" s="1345"/>
      <c r="I9" s="1351" t="s">
        <v>1881</v>
      </c>
      <c r="K9" s="1352"/>
    </row>
    <row r="10" spans="1:11">
      <c r="A10" s="1335" t="s">
        <v>1586</v>
      </c>
      <c r="B10" s="1335"/>
      <c r="C10" s="1328" t="s">
        <v>1882</v>
      </c>
      <c r="E10" s="1353" t="s">
        <v>1883</v>
      </c>
      <c r="F10" s="1345"/>
      <c r="G10" s="1353" t="s">
        <v>1884</v>
      </c>
      <c r="H10" s="1345"/>
      <c r="I10" s="1353" t="s">
        <v>1883</v>
      </c>
    </row>
    <row r="11" spans="1:11">
      <c r="A11" s="1330"/>
      <c r="B11" s="1330"/>
      <c r="C11" s="1354" t="s">
        <v>1885</v>
      </c>
      <c r="D11" s="1354"/>
      <c r="E11" s="1408">
        <f>Application!BN635+Application!BN644+Application!CS658</f>
        <v>0</v>
      </c>
      <c r="G11" s="1355">
        <v>0.9</v>
      </c>
      <c r="H11" s="1356"/>
      <c r="I11" s="1357">
        <f>E11*G11</f>
        <v>0</v>
      </c>
      <c r="J11" s="1348"/>
      <c r="K11" s="1352"/>
    </row>
    <row r="12" spans="1:11">
      <c r="A12" s="1330"/>
      <c r="B12" s="1330"/>
      <c r="C12" s="1348" t="s">
        <v>1886</v>
      </c>
      <c r="D12" s="1348"/>
      <c r="E12" s="1408">
        <f>Application!BS635+Application!BS644+Application!CX658</f>
        <v>47</v>
      </c>
      <c r="G12" s="1355">
        <v>1</v>
      </c>
      <c r="H12" s="1356"/>
      <c r="I12" s="1357">
        <f>E12*G12</f>
        <v>47</v>
      </c>
      <c r="J12" s="1348"/>
    </row>
    <row r="13" spans="1:11">
      <c r="A13" s="1330"/>
      <c r="B13" s="1330"/>
      <c r="C13" s="1348" t="s">
        <v>1887</v>
      </c>
      <c r="D13" s="1348"/>
      <c r="E13" s="1408">
        <f>Application!BX635+Application!BX644+Application!DC658</f>
        <v>95</v>
      </c>
      <c r="G13" s="1355">
        <v>1.25</v>
      </c>
      <c r="H13" s="1356"/>
      <c r="I13" s="1357">
        <f>E13*G13</f>
        <v>118.75</v>
      </c>
      <c r="J13" s="1348"/>
    </row>
    <row r="14" spans="1:11">
      <c r="A14" s="1330"/>
      <c r="B14" s="1330"/>
      <c r="C14" s="1348" t="s">
        <v>1888</v>
      </c>
      <c r="D14" s="1348"/>
      <c r="E14" s="1408">
        <f>Application!CC635+Application!CC644+Application!DH658</f>
        <v>58</v>
      </c>
      <c r="G14" s="1355">
        <f>1.5+0.25*0</f>
        <v>1.5</v>
      </c>
      <c r="H14" s="1356"/>
      <c r="I14" s="1357">
        <f>IF(E14/E16&lt;=30%,E14*G14,TRUNC(0.3*E16)*G14+(E14-TRUNC(0.3*E16))*G13)</f>
        <v>87</v>
      </c>
      <c r="J14" s="1348"/>
    </row>
    <row r="15" spans="1:11">
      <c r="A15" s="1330"/>
      <c r="B15" s="1330"/>
      <c r="C15" s="1348" t="s">
        <v>1889</v>
      </c>
      <c r="D15" s="1348"/>
      <c r="E15" s="1409">
        <f>Application!CH635+Application!CM635+Application!CH644+Application!CM644+Application!DM658+Application!DR658</f>
        <v>0</v>
      </c>
      <c r="G15" s="1355">
        <f>1.75+0.25*0</f>
        <v>1.75</v>
      </c>
      <c r="H15" s="1356"/>
      <c r="I15" s="1358">
        <f>IF(E15/E16&lt;=10%,E15*G15,TRUNC(0.1*E16)*G15+(E15-TRUNC(0.1*E16))*G13)</f>
        <v>0</v>
      </c>
      <c r="J15" s="1348"/>
    </row>
    <row r="16" spans="1:11">
      <c r="A16" s="1330"/>
      <c r="B16" s="1330"/>
      <c r="E16" s="1331">
        <f>SUM(E11:E15)</f>
        <v>200</v>
      </c>
      <c r="G16" s="1331"/>
      <c r="I16" s="1412">
        <f>SUM(I11:I15)</f>
        <v>252.75</v>
      </c>
    </row>
    <row r="17" spans="1:9">
      <c r="A17" s="1330"/>
      <c r="B17" s="1330"/>
      <c r="E17" s="1331"/>
      <c r="I17" s="1359"/>
    </row>
    <row r="18" spans="1:9">
      <c r="A18" s="1335" t="s">
        <v>1589</v>
      </c>
      <c r="B18" s="1335"/>
      <c r="C18" s="1360" t="s">
        <v>1890</v>
      </c>
      <c r="D18" s="1332"/>
      <c r="E18" s="1361">
        <f>E7/I16</f>
        <v>286404.99328439799</v>
      </c>
      <c r="F18" s="1362"/>
      <c r="G18" s="1363"/>
      <c r="H18" s="1364"/>
      <c r="I18" s="1359"/>
    </row>
    <row r="21" spans="1:9" ht="14.25" customHeight="1">
      <c r="A21" s="3339" t="s">
        <v>2176</v>
      </c>
      <c r="B21" s="3339"/>
      <c r="C21" s="3339"/>
      <c r="D21" s="3339"/>
      <c r="E21" s="3339"/>
      <c r="F21" s="3339"/>
      <c r="G21" s="3339"/>
      <c r="H21" s="3339"/>
      <c r="I21" s="3339"/>
    </row>
    <row r="22" spans="1:9">
      <c r="A22" s="3339"/>
      <c r="B22" s="3339"/>
      <c r="C22" s="3339"/>
      <c r="D22" s="3339"/>
      <c r="E22" s="3339"/>
      <c r="F22" s="3339"/>
      <c r="G22" s="3339"/>
      <c r="H22" s="3339"/>
      <c r="I22" s="3339"/>
    </row>
    <row r="23" spans="1:9">
      <c r="A23" s="3339"/>
      <c r="B23" s="3339"/>
      <c r="C23" s="3339"/>
      <c r="D23" s="3339"/>
      <c r="E23" s="3339"/>
      <c r="F23" s="3339"/>
      <c r="G23" s="3339"/>
      <c r="H23" s="3339"/>
      <c r="I23" s="3339"/>
    </row>
    <row r="24" spans="1:9">
      <c r="A24" s="3339"/>
      <c r="B24" s="3339"/>
      <c r="C24" s="3339"/>
      <c r="D24" s="3339"/>
      <c r="E24" s="3339"/>
      <c r="F24" s="3339"/>
      <c r="G24" s="3339"/>
      <c r="H24" s="3339"/>
      <c r="I24" s="3339"/>
    </row>
    <row r="26" spans="1:9" ht="20.25" customHeight="1">
      <c r="A26" s="1328" t="s">
        <v>2180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C25" zoomScaleNormal="100" zoomScaleSheetLayoutView="80" workbookViewId="0">
      <selection activeCell="J10" sqref="J10"/>
    </sheetView>
  </sheetViews>
  <sheetFormatPr defaultColWidth="9" defaultRowHeight="13.8" zeroHeight="1"/>
  <cols>
    <col min="1" max="2" width="2.44140625" style="1418" customWidth="1"/>
    <col min="3" max="3" width="3.77734375" style="1418" customWidth="1"/>
    <col min="4" max="4" width="15.44140625" style="1418" customWidth="1"/>
    <col min="5" max="5" width="32.44140625" style="1418" customWidth="1"/>
    <col min="6" max="8" width="15.44140625" style="1418" customWidth="1"/>
    <col min="9" max="9" width="40.44140625" style="1418" customWidth="1"/>
    <col min="10" max="10" width="30.44140625" style="1418" customWidth="1"/>
    <col min="11" max="13" width="2.44140625" style="1418" customWidth="1"/>
    <col min="14" max="14" width="29.77734375" style="1418" customWidth="1"/>
    <col min="15" max="24" width="2.44140625" style="1418" customWidth="1"/>
    <col min="25" max="33" width="9" style="1418" customWidth="1"/>
    <col min="34" max="16384" width="9" style="1418"/>
  </cols>
  <sheetData>
    <row r="1" spans="1:33">
      <c r="A1" s="3342" t="s">
        <v>1934</v>
      </c>
      <c r="B1" s="3342"/>
      <c r="C1" s="3342"/>
      <c r="D1" s="3342"/>
      <c r="E1" s="3342"/>
      <c r="F1" s="3342"/>
      <c r="G1" s="3342"/>
      <c r="H1" s="3342"/>
      <c r="I1" s="3342"/>
      <c r="J1" s="3342"/>
      <c r="K1" s="3342"/>
      <c r="L1" s="1417"/>
      <c r="M1" s="1417"/>
      <c r="N1" s="1417"/>
      <c r="O1" s="1417"/>
      <c r="P1" s="1417"/>
      <c r="Q1" s="1417"/>
      <c r="R1" s="1417"/>
      <c r="S1" s="1417"/>
      <c r="T1" s="1417"/>
      <c r="U1" s="1417"/>
      <c r="V1" s="1417"/>
      <c r="W1" s="1417"/>
      <c r="X1" s="1417"/>
      <c r="Y1" s="1417"/>
      <c r="Z1" s="1417"/>
      <c r="AA1" s="1417"/>
      <c r="AB1" s="1417"/>
      <c r="AC1" s="1417"/>
      <c r="AD1" s="1417"/>
      <c r="AE1" s="1417"/>
      <c r="AF1" s="1417"/>
      <c r="AG1" s="1417"/>
    </row>
    <row r="2" spans="1:33">
      <c r="A2" s="3342"/>
      <c r="B2" s="3342"/>
      <c r="C2" s="3342"/>
      <c r="D2" s="3342"/>
      <c r="E2" s="3342"/>
      <c r="F2" s="3342"/>
      <c r="G2" s="3342"/>
      <c r="H2" s="3342"/>
      <c r="I2" s="3342"/>
      <c r="J2" s="3342"/>
      <c r="K2" s="3342"/>
      <c r="L2" s="1417"/>
      <c r="M2" s="1417"/>
      <c r="N2" s="1417"/>
      <c r="O2" s="1417"/>
      <c r="P2" s="1417"/>
      <c r="Q2" s="1417"/>
      <c r="R2" s="1417"/>
      <c r="S2" s="1417"/>
      <c r="T2" s="1417"/>
      <c r="U2" s="1417"/>
      <c r="V2" s="1417"/>
      <c r="W2" s="1417"/>
      <c r="X2" s="1417"/>
      <c r="Y2" s="1417"/>
      <c r="Z2" s="1417"/>
      <c r="AA2" s="1417"/>
      <c r="AB2" s="1417"/>
      <c r="AC2" s="1417"/>
      <c r="AD2" s="1417"/>
      <c r="AE2" s="1417"/>
      <c r="AF2" s="1417"/>
      <c r="AG2" s="1417"/>
    </row>
    <row r="3" spans="1:33">
      <c r="L3" s="1419"/>
      <c r="M3" s="1419"/>
      <c r="N3" s="1419"/>
      <c r="O3" s="1419"/>
      <c r="P3" s="1419"/>
      <c r="Q3" s="1419"/>
      <c r="R3" s="1419"/>
      <c r="S3" s="1419"/>
      <c r="T3" s="1419"/>
      <c r="U3" s="1419"/>
      <c r="V3" s="1419"/>
      <c r="W3" s="1419"/>
      <c r="X3" s="1419"/>
      <c r="Y3" s="1419"/>
      <c r="Z3" s="1419"/>
      <c r="AA3" s="1419"/>
      <c r="AB3" s="1419"/>
      <c r="AC3" s="1419"/>
    </row>
    <row r="4" spans="1:33">
      <c r="C4" s="3343" t="s">
        <v>1935</v>
      </c>
      <c r="D4" s="3343"/>
      <c r="E4" s="3343"/>
      <c r="F4" s="3343"/>
      <c r="G4" s="3343"/>
      <c r="H4" s="3343"/>
      <c r="I4" s="3343"/>
      <c r="J4" s="3343"/>
    </row>
    <row r="5" spans="1:33">
      <c r="C5" s="3343"/>
      <c r="D5" s="3343"/>
      <c r="E5" s="3343"/>
      <c r="F5" s="3343"/>
      <c r="G5" s="3343"/>
      <c r="H5" s="3343"/>
      <c r="I5" s="3343"/>
      <c r="J5" s="3343"/>
    </row>
    <row r="6" spans="1:33">
      <c r="C6" s="1420"/>
      <c r="D6" s="1420"/>
      <c r="E6" s="1420"/>
      <c r="F6" s="1420"/>
      <c r="G6" s="1420"/>
      <c r="H6" s="1420"/>
      <c r="I6" s="1420"/>
      <c r="J6" s="1420"/>
    </row>
    <row r="7" spans="1:33">
      <c r="C7" s="1421" t="s">
        <v>1936</v>
      </c>
      <c r="D7" s="1420"/>
      <c r="E7" s="3344" t="str">
        <f>Application!H16</f>
        <v xml:space="preserve">Mercy Housing California </v>
      </c>
      <c r="F7" s="3344"/>
      <c r="G7" s="3344"/>
      <c r="H7" s="1420"/>
      <c r="I7" s="1421" t="s">
        <v>1937</v>
      </c>
      <c r="J7" s="1422">
        <f>Application!AG437+Application!AG439</f>
        <v>198</v>
      </c>
    </row>
    <row r="8" spans="1:33">
      <c r="C8" s="1421" t="s">
        <v>1938</v>
      </c>
      <c r="D8" s="1420"/>
      <c r="E8" s="3344" t="str">
        <f>Application!H18</f>
        <v xml:space="preserve">4995 Stockton Boulevard </v>
      </c>
      <c r="F8" s="3344"/>
      <c r="G8" s="3344"/>
      <c r="H8" s="1420"/>
      <c r="I8" s="1421" t="s">
        <v>1939</v>
      </c>
      <c r="J8" s="1423">
        <f>Application!CS663</f>
        <v>407</v>
      </c>
    </row>
    <row r="9" spans="1:33" ht="14.25" customHeight="1">
      <c r="C9" s="1421" t="s">
        <v>1940</v>
      </c>
      <c r="D9" s="1420"/>
      <c r="E9" s="3345" t="str">
        <f>Application!D210</f>
        <v>Large Family</v>
      </c>
      <c r="F9" s="3345"/>
      <c r="G9" s="3345"/>
      <c r="H9" s="1420"/>
      <c r="I9" s="1421" t="s">
        <v>1941</v>
      </c>
      <c r="J9" s="1424"/>
      <c r="N9" s="1425"/>
    </row>
    <row r="10" spans="1:33" ht="27" customHeight="1">
      <c r="C10" s="3343" t="s">
        <v>1942</v>
      </c>
      <c r="D10" s="3343"/>
      <c r="E10" s="3346" t="str">
        <f>Application!D213</f>
        <v>N/A</v>
      </c>
      <c r="F10" s="3346"/>
      <c r="G10" s="3346"/>
      <c r="H10" s="1420"/>
      <c r="I10" s="1426" t="s">
        <v>1943</v>
      </c>
      <c r="J10" s="1427">
        <f>IF(J9&gt;0,J8-J9,J8)</f>
        <v>407</v>
      </c>
      <c r="N10" s="1425"/>
    </row>
    <row r="11" spans="1:33">
      <c r="C11" s="1428"/>
      <c r="N11" s="1425"/>
    </row>
    <row r="12" spans="1:33" ht="15" customHeight="1">
      <c r="C12" s="3347" t="s">
        <v>1944</v>
      </c>
      <c r="D12" s="3348"/>
      <c r="E12" s="3349"/>
      <c r="F12" s="3340" t="s">
        <v>1945</v>
      </c>
      <c r="G12" s="3340" t="s">
        <v>1946</v>
      </c>
      <c r="H12" s="3353" t="s">
        <v>2157</v>
      </c>
      <c r="I12" s="3340" t="s">
        <v>2156</v>
      </c>
      <c r="J12" s="3340" t="s">
        <v>1947</v>
      </c>
      <c r="N12" s="1425"/>
    </row>
    <row r="13" spans="1:33" ht="68.25" customHeight="1">
      <c r="C13" s="3350"/>
      <c r="D13" s="3351"/>
      <c r="E13" s="3352"/>
      <c r="F13" s="3341"/>
      <c r="G13" s="3341"/>
      <c r="H13" s="3354"/>
      <c r="I13" s="3341"/>
      <c r="J13" s="3341"/>
    </row>
    <row r="14" spans="1:33" ht="15" customHeight="1">
      <c r="C14" s="1429" t="s">
        <v>1948</v>
      </c>
      <c r="D14" s="1430"/>
      <c r="E14" s="1430"/>
      <c r="F14" s="1431"/>
      <c r="G14" s="1431"/>
      <c r="H14" s="1432"/>
      <c r="I14" s="1432"/>
      <c r="J14" s="1432"/>
    </row>
    <row r="15" spans="1:33">
      <c r="C15" s="1433" t="s">
        <v>1949</v>
      </c>
      <c r="D15" s="1418" t="s">
        <v>1950</v>
      </c>
      <c r="F15" s="1434" t="s">
        <v>2664</v>
      </c>
      <c r="G15" s="1435">
        <v>85000</v>
      </c>
      <c r="H15" s="1436" t="s">
        <v>2661</v>
      </c>
      <c r="I15" s="1436" t="s">
        <v>2665</v>
      </c>
      <c r="J15" s="1436" t="s">
        <v>2635</v>
      </c>
    </row>
    <row r="16" spans="1:33">
      <c r="C16" s="1433" t="s">
        <v>1951</v>
      </c>
      <c r="D16" s="1418" t="s">
        <v>1952</v>
      </c>
      <c r="F16" s="1434"/>
      <c r="G16" s="1437"/>
      <c r="H16" s="1436"/>
      <c r="I16" s="1436"/>
      <c r="J16" s="1436"/>
    </row>
    <row r="17" spans="3:10">
      <c r="C17" s="1433" t="s">
        <v>1835</v>
      </c>
      <c r="D17" s="1418" t="s">
        <v>1953</v>
      </c>
      <c r="F17" s="1434"/>
      <c r="G17" s="1437"/>
      <c r="H17" s="1436"/>
      <c r="I17" s="1436"/>
      <c r="J17" s="1436"/>
    </row>
    <row r="18" spans="3:10">
      <c r="C18" s="1433" t="s">
        <v>1954</v>
      </c>
      <c r="D18" s="1419" t="s">
        <v>1955</v>
      </c>
      <c r="E18" s="1419"/>
      <c r="F18" s="1434"/>
      <c r="G18" s="1437"/>
      <c r="H18" s="1436"/>
      <c r="I18" s="1436"/>
      <c r="J18" s="1436"/>
    </row>
    <row r="19" spans="3:10">
      <c r="C19" s="1433" t="s">
        <v>1956</v>
      </c>
      <c r="D19" s="1419" t="s">
        <v>1957</v>
      </c>
      <c r="E19" s="1419"/>
      <c r="F19" s="1434"/>
      <c r="G19" s="1437"/>
      <c r="H19" s="1436"/>
      <c r="I19" s="1436"/>
      <c r="J19" s="1436"/>
    </row>
    <row r="20" spans="3:10">
      <c r="C20" s="1433" t="s">
        <v>1958</v>
      </c>
      <c r="D20" s="1419" t="s">
        <v>1959</v>
      </c>
      <c r="E20" s="1438"/>
      <c r="F20" s="1439">
        <v>10</v>
      </c>
      <c r="G20" s="1437">
        <v>60000</v>
      </c>
      <c r="H20" s="1436" t="s">
        <v>2661</v>
      </c>
      <c r="I20" s="1436" t="s">
        <v>2666</v>
      </c>
      <c r="J20" s="1436" t="s">
        <v>2635</v>
      </c>
    </row>
    <row r="21" spans="3:10">
      <c r="C21" s="1440"/>
      <c r="D21" s="1441"/>
      <c r="E21" s="1442"/>
      <c r="F21" s="1439"/>
      <c r="G21" s="1437"/>
      <c r="H21" s="1436"/>
      <c r="I21" s="1436"/>
      <c r="J21" s="1436"/>
    </row>
    <row r="22" spans="3:10">
      <c r="C22" s="1443" t="s">
        <v>1960</v>
      </c>
      <c r="D22" s="1444"/>
      <c r="E22" s="1444"/>
      <c r="F22" s="1445"/>
      <c r="G22" s="1446"/>
      <c r="H22" s="1447"/>
      <c r="I22" s="1447"/>
      <c r="J22" s="1447"/>
    </row>
    <row r="23" spans="3:10">
      <c r="C23" s="1433" t="s">
        <v>1961</v>
      </c>
      <c r="D23" s="1419" t="s">
        <v>1962</v>
      </c>
      <c r="E23" s="1419"/>
      <c r="F23" s="1434"/>
      <c r="G23" s="1437"/>
      <c r="H23" s="1436"/>
      <c r="I23" s="1436"/>
      <c r="J23" s="1436"/>
    </row>
    <row r="24" spans="3:10">
      <c r="C24" s="1433" t="s">
        <v>1963</v>
      </c>
      <c r="D24" s="1419" t="s">
        <v>1964</v>
      </c>
      <c r="E24" s="1419"/>
      <c r="F24" s="1434"/>
      <c r="G24" s="1437"/>
      <c r="H24" s="1436"/>
      <c r="I24" s="1436"/>
      <c r="J24" s="1436"/>
    </row>
    <row r="25" spans="3:10">
      <c r="C25" s="1433" t="s">
        <v>1965</v>
      </c>
      <c r="D25" s="1418" t="s">
        <v>1953</v>
      </c>
      <c r="E25" s="1419"/>
      <c r="F25" s="1434"/>
      <c r="G25" s="1437"/>
      <c r="H25" s="1436"/>
      <c r="I25" s="1436"/>
      <c r="J25" s="1436"/>
    </row>
    <row r="26" spans="3:10">
      <c r="C26" s="1433" t="s">
        <v>1966</v>
      </c>
      <c r="D26" s="1419" t="s">
        <v>1967</v>
      </c>
      <c r="E26" s="1419"/>
      <c r="F26" s="1434"/>
      <c r="G26" s="1437"/>
      <c r="H26" s="1436"/>
      <c r="I26" s="1436"/>
      <c r="J26" s="1436"/>
    </row>
    <row r="27" spans="3:10">
      <c r="C27" s="1433" t="s">
        <v>1968</v>
      </c>
      <c r="D27" s="1419" t="s">
        <v>1957</v>
      </c>
      <c r="E27" s="1419"/>
      <c r="F27" s="1434"/>
      <c r="G27" s="1437"/>
      <c r="H27" s="1436"/>
      <c r="I27" s="1436"/>
      <c r="J27" s="1436"/>
    </row>
    <row r="28" spans="3:10">
      <c r="C28" s="1433" t="s">
        <v>1969</v>
      </c>
      <c r="D28" s="1419" t="s">
        <v>1959</v>
      </c>
      <c r="E28" s="1419"/>
      <c r="F28" s="1434"/>
      <c r="G28" s="1437"/>
      <c r="H28" s="1436"/>
      <c r="I28" s="1436"/>
      <c r="J28" s="1436"/>
    </row>
    <row r="29" spans="3:10">
      <c r="C29" s="1448"/>
      <c r="D29" s="1428"/>
      <c r="E29" s="1428"/>
      <c r="F29" s="1434"/>
      <c r="G29" s="1437"/>
      <c r="H29" s="1436"/>
      <c r="I29" s="1436"/>
      <c r="J29" s="1436"/>
    </row>
    <row r="30" spans="3:10">
      <c r="C30" s="1449" t="s">
        <v>1970</v>
      </c>
      <c r="D30" s="1444"/>
      <c r="E30" s="1444"/>
      <c r="F30" s="1450"/>
      <c r="G30" s="1451"/>
      <c r="H30" s="1452"/>
      <c r="I30" s="1452"/>
      <c r="J30" s="1452"/>
    </row>
    <row r="31" spans="3:10">
      <c r="C31" s="1433"/>
      <c r="D31" s="1453"/>
      <c r="E31" s="1453" t="s">
        <v>2662</v>
      </c>
      <c r="F31" s="1434"/>
      <c r="G31" s="1437">
        <v>20000</v>
      </c>
      <c r="H31" s="1436"/>
      <c r="I31" s="1436" t="s">
        <v>2666</v>
      </c>
      <c r="J31" s="1436"/>
    </row>
    <row r="32" spans="3:10">
      <c r="C32" s="1433"/>
      <c r="D32" s="1453"/>
      <c r="E32" s="1453" t="s">
        <v>151</v>
      </c>
      <c r="F32" s="1434"/>
      <c r="G32" s="1437">
        <v>20000</v>
      </c>
      <c r="H32" s="1436"/>
      <c r="I32" s="1436" t="s">
        <v>2666</v>
      </c>
      <c r="J32" s="1436"/>
    </row>
    <row r="33" spans="3:10">
      <c r="C33" s="1433"/>
      <c r="D33" s="1454"/>
      <c r="E33" s="1453" t="s">
        <v>2663</v>
      </c>
      <c r="F33" s="1434"/>
      <c r="G33" s="1437">
        <v>15000</v>
      </c>
      <c r="H33" s="1436"/>
      <c r="I33" s="1436" t="s">
        <v>2666</v>
      </c>
      <c r="J33" s="1436"/>
    </row>
    <row r="34" spans="3:10">
      <c r="C34" s="1433"/>
      <c r="F34" s="1455"/>
      <c r="G34" s="1455"/>
      <c r="H34" s="1455"/>
      <c r="I34" s="1455"/>
      <c r="J34" s="1455"/>
    </row>
    <row r="35" spans="3:10">
      <c r="C35" s="1456" t="s">
        <v>966</v>
      </c>
      <c r="D35" s="1457"/>
      <c r="E35" s="1457"/>
      <c r="F35" s="1458"/>
      <c r="G35" s="1459">
        <f>SUM(G15:G33)</f>
        <v>200000</v>
      </c>
      <c r="H35" s="1460"/>
      <c r="I35" s="1460"/>
      <c r="J35" s="1460"/>
    </row>
    <row r="36" spans="3:10"/>
    <row r="37" spans="3:10" ht="16.2">
      <c r="C37" s="1461" t="s">
        <v>1971</v>
      </c>
    </row>
    <row r="38" spans="3:10" s="1463" customFormat="1" ht="17.25" customHeight="1">
      <c r="C38" s="1462" t="s">
        <v>1972</v>
      </c>
    </row>
    <row r="39" spans="3:10" s="1463" customFormat="1" ht="14.4">
      <c r="C39" s="1463" t="s">
        <v>1973</v>
      </c>
    </row>
    <row r="40" spans="3:10" s="1463" customFormat="1"/>
    <row r="41" spans="3:10" s="1463" customFormat="1"/>
    <row r="42" spans="3:10" s="1463" customFormat="1" hidden="1"/>
    <row r="43" spans="3:10" s="1463" customFormat="1" hidden="1"/>
    <row r="44" spans="3:10" s="1463" customFormat="1" hidden="1"/>
    <row r="45" spans="3:10" s="1463" customFormat="1" hidden="1"/>
    <row r="46" spans="3:10" s="1463" customFormat="1" hidden="1"/>
    <row r="47" spans="3:10" s="1463" customFormat="1" hidden="1"/>
    <row r="48" spans="3:10" s="1463" customFormat="1" hidden="1"/>
    <row r="49" s="1463" customFormat="1" hidden="1"/>
    <row r="50" s="1463" customFormat="1" hidden="1"/>
    <row r="51" s="1463" customFormat="1" hidden="1"/>
    <row r="52" s="1463" customFormat="1" hidden="1"/>
    <row r="53" s="1463"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S218"/>
  <sheetViews>
    <sheetView topLeftCell="A10" zoomScale="85" zoomScaleNormal="85" zoomScaleSheetLayoutView="100" workbookViewId="0">
      <selection activeCell="O99" sqref="O99"/>
    </sheetView>
  </sheetViews>
  <sheetFormatPr defaultColWidth="8.77734375" defaultRowHeight="13.2"/>
  <cols>
    <col min="1" max="1" width="3.77734375" customWidth="1"/>
    <col min="2" max="2" width="27.77734375" customWidth="1"/>
    <col min="3" max="3" width="9.109375" style="345" customWidth="1"/>
    <col min="4" max="18" width="12.77734375" customWidth="1"/>
  </cols>
  <sheetData>
    <row r="1" spans="1:18" ht="17.399999999999999">
      <c r="A1" s="339" t="s">
        <v>935</v>
      </c>
      <c r="B1" s="339"/>
    </row>
    <row r="3" spans="1:18" ht="15.6">
      <c r="A3" s="340" t="s">
        <v>882</v>
      </c>
      <c r="B3" s="340"/>
      <c r="C3" s="366" t="s">
        <v>883</v>
      </c>
      <c r="D3" s="367" t="s">
        <v>884</v>
      </c>
      <c r="E3" s="367" t="s">
        <v>885</v>
      </c>
      <c r="F3" s="367" t="s">
        <v>886</v>
      </c>
      <c r="G3" s="367" t="s">
        <v>887</v>
      </c>
      <c r="H3" s="367" t="s">
        <v>888</v>
      </c>
      <c r="I3" s="367" t="s">
        <v>889</v>
      </c>
      <c r="J3" s="367" t="s">
        <v>890</v>
      </c>
      <c r="K3" s="367" t="s">
        <v>891</v>
      </c>
      <c r="L3" s="367" t="s">
        <v>892</v>
      </c>
      <c r="M3" s="367" t="s">
        <v>893</v>
      </c>
      <c r="N3" s="367" t="s">
        <v>894</v>
      </c>
      <c r="O3" s="367" t="s">
        <v>895</v>
      </c>
      <c r="P3" s="367" t="s">
        <v>896</v>
      </c>
      <c r="Q3" s="367" t="s">
        <v>897</v>
      </c>
      <c r="R3" s="367" t="s">
        <v>898</v>
      </c>
    </row>
    <row r="4" spans="1:18" s="350" customFormat="1" ht="13.8">
      <c r="A4" s="350" t="s">
        <v>900</v>
      </c>
      <c r="C4" s="369">
        <v>1.0249999999999999</v>
      </c>
      <c r="D4" s="350">
        <f>Application!Y799</f>
        <v>2464716</v>
      </c>
      <c r="E4" s="350">
        <f t="shared" ref="E4:R4" si="0">D4*$C$4</f>
        <v>2526333.9</v>
      </c>
      <c r="F4" s="350">
        <f t="shared" si="0"/>
        <v>2589492.2474999996</v>
      </c>
      <c r="G4" s="350">
        <f t="shared" si="0"/>
        <v>2654229.5536874994</v>
      </c>
      <c r="H4" s="350">
        <f t="shared" si="0"/>
        <v>2720585.2925296868</v>
      </c>
      <c r="I4" s="350">
        <f t="shared" si="0"/>
        <v>2788599.9248429285</v>
      </c>
      <c r="J4" s="350">
        <f t="shared" si="0"/>
        <v>2858314.9229640015</v>
      </c>
      <c r="K4" s="350">
        <f t="shared" si="0"/>
        <v>2929772.7960381014</v>
      </c>
      <c r="L4" s="350">
        <f t="shared" si="0"/>
        <v>3003017.1159390537</v>
      </c>
      <c r="M4" s="350">
        <f t="shared" si="0"/>
        <v>3078092.5438375296</v>
      </c>
      <c r="N4" s="350">
        <f t="shared" si="0"/>
        <v>3155044.8574334676</v>
      </c>
      <c r="O4" s="350">
        <f t="shared" si="0"/>
        <v>3233920.9788693041</v>
      </c>
      <c r="P4" s="350">
        <f t="shared" si="0"/>
        <v>3314769.0033410364</v>
      </c>
      <c r="Q4" s="350">
        <f t="shared" si="0"/>
        <v>3397638.2284245621</v>
      </c>
      <c r="R4" s="350">
        <f t="shared" si="0"/>
        <v>3482579.1841351758</v>
      </c>
    </row>
    <row r="5" spans="1:18" s="338" customFormat="1" ht="13.8">
      <c r="B5" s="338" t="s">
        <v>901</v>
      </c>
      <c r="C5" s="370">
        <f>IF(Application!$D$210="Special Needs",0.1,0.05)</f>
        <v>0.05</v>
      </c>
      <c r="D5" s="352">
        <f t="shared" ref="D5:R5" si="1">-D4*$C$5</f>
        <v>-123235.8</v>
      </c>
      <c r="E5" s="352">
        <f t="shared" si="1"/>
        <v>-126316.69500000001</v>
      </c>
      <c r="F5" s="352">
        <f t="shared" si="1"/>
        <v>-129474.61237499998</v>
      </c>
      <c r="G5" s="352">
        <f t="shared" si="1"/>
        <v>-132711.47768437499</v>
      </c>
      <c r="H5" s="352">
        <f t="shared" si="1"/>
        <v>-136029.26462648434</v>
      </c>
      <c r="I5" s="352">
        <f t="shared" si="1"/>
        <v>-139429.99624214644</v>
      </c>
      <c r="J5" s="352">
        <f t="shared" si="1"/>
        <v>-142915.74614820009</v>
      </c>
      <c r="K5" s="352">
        <f t="shared" si="1"/>
        <v>-146488.63980190508</v>
      </c>
      <c r="L5" s="352">
        <f t="shared" si="1"/>
        <v>-150150.8557969527</v>
      </c>
      <c r="M5" s="352">
        <f t="shared" si="1"/>
        <v>-153904.6271918765</v>
      </c>
      <c r="N5" s="352">
        <f t="shared" si="1"/>
        <v>-157752.2428716734</v>
      </c>
      <c r="O5" s="352">
        <f t="shared" si="1"/>
        <v>-161696.04894346523</v>
      </c>
      <c r="P5" s="352">
        <f t="shared" si="1"/>
        <v>-165738.45016705184</v>
      </c>
      <c r="Q5" s="352">
        <f t="shared" si="1"/>
        <v>-169881.91142122811</v>
      </c>
      <c r="R5" s="352">
        <f t="shared" si="1"/>
        <v>-174128.95920675879</v>
      </c>
    </row>
    <row r="6" spans="1:18" s="338" customFormat="1" ht="13.8">
      <c r="A6" s="338" t="s">
        <v>899</v>
      </c>
      <c r="C6" s="369">
        <v>1.0249999999999999</v>
      </c>
      <c r="D6" s="353">
        <f>Application!Z807</f>
        <v>0</v>
      </c>
      <c r="E6" s="353">
        <f t="shared" ref="E6:R6" si="2">D6*$C$6</f>
        <v>0</v>
      </c>
      <c r="F6" s="353">
        <f t="shared" si="2"/>
        <v>0</v>
      </c>
      <c r="G6" s="353">
        <f t="shared" si="2"/>
        <v>0</v>
      </c>
      <c r="H6" s="353">
        <f t="shared" si="2"/>
        <v>0</v>
      </c>
      <c r="I6" s="353">
        <f t="shared" si="2"/>
        <v>0</v>
      </c>
      <c r="J6" s="353">
        <f t="shared" si="2"/>
        <v>0</v>
      </c>
      <c r="K6" s="353">
        <f t="shared" si="2"/>
        <v>0</v>
      </c>
      <c r="L6" s="353">
        <f t="shared" si="2"/>
        <v>0</v>
      </c>
      <c r="M6" s="353">
        <f t="shared" si="2"/>
        <v>0</v>
      </c>
      <c r="N6" s="353">
        <f t="shared" si="2"/>
        <v>0</v>
      </c>
      <c r="O6" s="353">
        <f t="shared" si="2"/>
        <v>0</v>
      </c>
      <c r="P6" s="353">
        <f t="shared" si="2"/>
        <v>0</v>
      </c>
      <c r="Q6" s="353">
        <f t="shared" si="2"/>
        <v>0</v>
      </c>
      <c r="R6" s="353">
        <f t="shared" si="2"/>
        <v>0</v>
      </c>
    </row>
    <row r="7" spans="1:18" s="338" customFormat="1" ht="13.8">
      <c r="B7" s="338" t="s">
        <v>901</v>
      </c>
      <c r="C7" s="370">
        <f>IF(Application!$D$210="Special Needs",0.1,0.05)</f>
        <v>0.05</v>
      </c>
      <c r="D7" s="352">
        <f t="shared" ref="D7:R7" si="3">-D6*$C$7</f>
        <v>0</v>
      </c>
      <c r="E7" s="352">
        <f t="shared" si="3"/>
        <v>0</v>
      </c>
      <c r="F7" s="352">
        <f t="shared" si="3"/>
        <v>0</v>
      </c>
      <c r="G7" s="352">
        <f t="shared" si="3"/>
        <v>0</v>
      </c>
      <c r="H7" s="352">
        <f t="shared" si="3"/>
        <v>0</v>
      </c>
      <c r="I7" s="352">
        <f t="shared" si="3"/>
        <v>0</v>
      </c>
      <c r="J7" s="352">
        <f t="shared" si="3"/>
        <v>0</v>
      </c>
      <c r="K7" s="352">
        <f t="shared" si="3"/>
        <v>0</v>
      </c>
      <c r="L7" s="352">
        <f t="shared" si="3"/>
        <v>0</v>
      </c>
      <c r="M7" s="352">
        <f t="shared" si="3"/>
        <v>0</v>
      </c>
      <c r="N7" s="352">
        <f t="shared" si="3"/>
        <v>0</v>
      </c>
      <c r="O7" s="352">
        <f t="shared" si="3"/>
        <v>0</v>
      </c>
      <c r="P7" s="352">
        <f t="shared" si="3"/>
        <v>0</v>
      </c>
      <c r="Q7" s="352">
        <f t="shared" si="3"/>
        <v>0</v>
      </c>
      <c r="R7" s="352">
        <f t="shared" si="3"/>
        <v>0</v>
      </c>
    </row>
    <row r="8" spans="1:18" s="338" customFormat="1" ht="13.8">
      <c r="A8" s="338" t="s">
        <v>296</v>
      </c>
      <c r="C8" s="369">
        <v>1.0249999999999999</v>
      </c>
      <c r="D8" s="353">
        <f>Application!Z815</f>
        <v>6600</v>
      </c>
      <c r="E8" s="353">
        <f t="shared" ref="E8:R8" si="4">D8*$C$8</f>
        <v>6764.9999999999991</v>
      </c>
      <c r="F8" s="353">
        <f t="shared" si="4"/>
        <v>6934.1249999999982</v>
      </c>
      <c r="G8" s="353">
        <f t="shared" si="4"/>
        <v>7107.4781249999978</v>
      </c>
      <c r="H8" s="353">
        <f t="shared" si="4"/>
        <v>7285.1650781249973</v>
      </c>
      <c r="I8" s="353">
        <f t="shared" si="4"/>
        <v>7467.2942050781212</v>
      </c>
      <c r="J8" s="353">
        <f t="shared" si="4"/>
        <v>7653.9765602050738</v>
      </c>
      <c r="K8" s="353">
        <f t="shared" si="4"/>
        <v>7845.3259742102</v>
      </c>
      <c r="L8" s="353">
        <f t="shared" si="4"/>
        <v>8041.4591235654543</v>
      </c>
      <c r="M8" s="353">
        <f t="shared" si="4"/>
        <v>8242.4956016545893</v>
      </c>
      <c r="N8" s="353">
        <f t="shared" si="4"/>
        <v>8448.5579916959541</v>
      </c>
      <c r="O8" s="353">
        <f t="shared" si="4"/>
        <v>8659.7719414883522</v>
      </c>
      <c r="P8" s="353">
        <f t="shared" si="4"/>
        <v>8876.2662400255595</v>
      </c>
      <c r="Q8" s="353">
        <f t="shared" si="4"/>
        <v>9098.1728960261971</v>
      </c>
      <c r="R8" s="353">
        <f t="shared" si="4"/>
        <v>9325.627218426851</v>
      </c>
    </row>
    <row r="9" spans="1:18" s="338" customFormat="1" ht="13.8">
      <c r="B9" s="338" t="s">
        <v>901</v>
      </c>
      <c r="C9" s="370">
        <f>IF(Application!$D$210="Special Needs",0.1,0.05)</f>
        <v>0.05</v>
      </c>
      <c r="D9" s="368">
        <f t="shared" ref="D9:R9" si="5">-D8*$C$9</f>
        <v>-330</v>
      </c>
      <c r="E9" s="368">
        <f t="shared" si="5"/>
        <v>-338.25</v>
      </c>
      <c r="F9" s="368">
        <f t="shared" si="5"/>
        <v>-346.70624999999995</v>
      </c>
      <c r="G9" s="368">
        <f t="shared" si="5"/>
        <v>-355.37390624999989</v>
      </c>
      <c r="H9" s="368">
        <f t="shared" si="5"/>
        <v>-364.25825390624988</v>
      </c>
      <c r="I9" s="368">
        <f t="shared" si="5"/>
        <v>-373.36471025390608</v>
      </c>
      <c r="J9" s="368">
        <f t="shared" si="5"/>
        <v>-382.69882801025369</v>
      </c>
      <c r="K9" s="368">
        <f t="shared" si="5"/>
        <v>-392.26629871051</v>
      </c>
      <c r="L9" s="368">
        <f t="shared" si="5"/>
        <v>-402.07295617827276</v>
      </c>
      <c r="M9" s="368">
        <f t="shared" si="5"/>
        <v>-412.1247800827295</v>
      </c>
      <c r="N9" s="368">
        <f t="shared" si="5"/>
        <v>-422.42789958479773</v>
      </c>
      <c r="O9" s="368">
        <f t="shared" si="5"/>
        <v>-432.98859707441761</v>
      </c>
      <c r="P9" s="368">
        <f t="shared" si="5"/>
        <v>-443.81331200127801</v>
      </c>
      <c r="Q9" s="368">
        <f t="shared" si="5"/>
        <v>-454.90864480130989</v>
      </c>
      <c r="R9" s="368">
        <f t="shared" si="5"/>
        <v>-466.28136092134258</v>
      </c>
    </row>
    <row r="10" spans="1:18" s="354" customFormat="1" ht="13.8">
      <c r="A10" s="354" t="s">
        <v>920</v>
      </c>
      <c r="C10" s="347"/>
      <c r="D10" s="354">
        <f t="shared" ref="D10:R10" si="6">SUM(D4:D9)</f>
        <v>2347750.2000000002</v>
      </c>
      <c r="E10" s="354">
        <f t="shared" si="6"/>
        <v>2406443.9550000001</v>
      </c>
      <c r="F10" s="354">
        <f t="shared" si="6"/>
        <v>2466605.0538749998</v>
      </c>
      <c r="G10" s="354">
        <f t="shared" si="6"/>
        <v>2528270.1802218743</v>
      </c>
      <c r="H10" s="354">
        <f t="shared" si="6"/>
        <v>2591476.934727421</v>
      </c>
      <c r="I10" s="354">
        <f t="shared" si="6"/>
        <v>2656263.8580956059</v>
      </c>
      <c r="J10" s="354">
        <f t="shared" si="6"/>
        <v>2722670.4545479962</v>
      </c>
      <c r="K10" s="354">
        <f t="shared" si="6"/>
        <v>2790737.2159116962</v>
      </c>
      <c r="L10" s="354">
        <f t="shared" si="6"/>
        <v>2860505.646309488</v>
      </c>
      <c r="M10" s="354">
        <f t="shared" si="6"/>
        <v>2932018.287467225</v>
      </c>
      <c r="N10" s="354">
        <f t="shared" si="6"/>
        <v>3005318.7446539057</v>
      </c>
      <c r="O10" s="354">
        <f t="shared" si="6"/>
        <v>3080451.7132702526</v>
      </c>
      <c r="P10" s="354">
        <f t="shared" si="6"/>
        <v>3157463.0061020087</v>
      </c>
      <c r="Q10" s="354">
        <f t="shared" si="6"/>
        <v>3236399.5812545586</v>
      </c>
      <c r="R10" s="354">
        <f t="shared" si="6"/>
        <v>3317309.570785922</v>
      </c>
    </row>
    <row r="11" spans="1:18">
      <c r="C11" s="364"/>
      <c r="D11" s="346"/>
      <c r="E11" s="346"/>
      <c r="F11" s="346"/>
      <c r="G11" s="346"/>
      <c r="H11" s="346"/>
      <c r="I11" s="346"/>
      <c r="J11" s="346"/>
      <c r="K11" s="346"/>
      <c r="L11" s="346"/>
      <c r="M11" s="346"/>
      <c r="N11" s="346"/>
      <c r="O11" s="346"/>
      <c r="P11" s="346"/>
      <c r="Q11" s="346"/>
      <c r="R11" s="346"/>
    </row>
    <row r="12" spans="1:18" ht="15.6">
      <c r="A12" s="340" t="s">
        <v>902</v>
      </c>
      <c r="C12" s="364"/>
      <c r="D12" s="346"/>
      <c r="E12" s="346"/>
      <c r="F12" s="346"/>
      <c r="G12" s="346"/>
      <c r="H12" s="346"/>
      <c r="I12" s="346"/>
      <c r="J12" s="346"/>
      <c r="K12" s="346"/>
      <c r="L12" s="346"/>
      <c r="M12" s="346"/>
      <c r="N12" s="346"/>
      <c r="O12" s="346"/>
      <c r="P12" s="346"/>
      <c r="Q12" s="346"/>
      <c r="R12" s="346"/>
    </row>
    <row r="13" spans="1:18" s="338" customFormat="1" ht="13.8">
      <c r="A13" s="338" t="s">
        <v>903</v>
      </c>
      <c r="C13" s="369">
        <v>1.0349999999999999</v>
      </c>
      <c r="D13" s="353"/>
      <c r="E13" s="353"/>
      <c r="F13" s="353"/>
      <c r="G13" s="353"/>
      <c r="H13" s="353"/>
      <c r="I13" s="353"/>
      <c r="J13" s="353"/>
      <c r="K13" s="353"/>
      <c r="L13" s="353"/>
      <c r="M13" s="353"/>
      <c r="N13" s="353"/>
      <c r="O13" s="353"/>
      <c r="P13" s="353"/>
      <c r="Q13" s="353"/>
      <c r="R13" s="353"/>
    </row>
    <row r="14" spans="1:18" s="350" customFormat="1" ht="13.8">
      <c r="A14" s="350" t="s">
        <v>904</v>
      </c>
      <c r="C14" s="365"/>
      <c r="D14" s="350">
        <f>Application!W845</f>
        <v>109569</v>
      </c>
      <c r="E14" s="350">
        <f t="shared" ref="E14:R14" si="7">D14*$C$13</f>
        <v>113403.91499999999</v>
      </c>
      <c r="F14" s="350">
        <f t="shared" si="7"/>
        <v>117373.05202499998</v>
      </c>
      <c r="G14" s="350">
        <f t="shared" si="7"/>
        <v>121481.10884587497</v>
      </c>
      <c r="H14" s="350">
        <f t="shared" si="7"/>
        <v>125732.94765548059</v>
      </c>
      <c r="I14" s="350">
        <f t="shared" si="7"/>
        <v>130133.6008234224</v>
      </c>
      <c r="J14" s="350">
        <f t="shared" si="7"/>
        <v>134688.27685224218</v>
      </c>
      <c r="K14" s="350">
        <f t="shared" si="7"/>
        <v>139402.36654207064</v>
      </c>
      <c r="L14" s="350">
        <f t="shared" si="7"/>
        <v>144281.4493710431</v>
      </c>
      <c r="M14" s="350">
        <f t="shared" si="7"/>
        <v>149331.30009902958</v>
      </c>
      <c r="N14" s="350">
        <f t="shared" si="7"/>
        <v>154557.89560249561</v>
      </c>
      <c r="O14" s="350">
        <f t="shared" si="7"/>
        <v>159967.42194858295</v>
      </c>
      <c r="P14" s="350">
        <f t="shared" si="7"/>
        <v>165566.28171678336</v>
      </c>
      <c r="Q14" s="350">
        <f t="shared" si="7"/>
        <v>171361.10157687077</v>
      </c>
      <c r="R14" s="350">
        <f t="shared" si="7"/>
        <v>177358.74013206124</v>
      </c>
    </row>
    <row r="15" spans="1:18" s="338" customFormat="1" ht="13.8">
      <c r="A15" s="338" t="s">
        <v>354</v>
      </c>
      <c r="C15" s="364"/>
      <c r="D15" s="353">
        <f>Application!W847</f>
        <v>144000</v>
      </c>
      <c r="E15" s="353">
        <f t="shared" ref="E15:Q15" si="8">D15*$C$13</f>
        <v>149040</v>
      </c>
      <c r="F15" s="353">
        <f t="shared" si="8"/>
        <v>154256.4</v>
      </c>
      <c r="G15" s="353">
        <f t="shared" si="8"/>
        <v>159655.37399999998</v>
      </c>
      <c r="H15" s="353">
        <f t="shared" si="8"/>
        <v>165243.31208999996</v>
      </c>
      <c r="I15" s="353">
        <f t="shared" si="8"/>
        <v>171026.82801314993</v>
      </c>
      <c r="J15" s="353">
        <f t="shared" si="8"/>
        <v>177012.76699361016</v>
      </c>
      <c r="K15" s="353">
        <f t="shared" si="8"/>
        <v>183208.21383838649</v>
      </c>
      <c r="L15" s="353">
        <f t="shared" si="8"/>
        <v>189620.50132273001</v>
      </c>
      <c r="M15" s="353">
        <f t="shared" si="8"/>
        <v>196257.21886902556</v>
      </c>
      <c r="N15" s="353">
        <f t="shared" si="8"/>
        <v>203126.22152944145</v>
      </c>
      <c r="O15" s="353">
        <f t="shared" si="8"/>
        <v>210235.63928297188</v>
      </c>
      <c r="P15" s="353">
        <f t="shared" si="8"/>
        <v>217593.88665787588</v>
      </c>
      <c r="Q15" s="353">
        <f t="shared" si="8"/>
        <v>225209.67269090153</v>
      </c>
      <c r="R15" s="353">
        <f t="shared" ref="R15:R20" si="9">Q15*$C$13</f>
        <v>233092.01123508308</v>
      </c>
    </row>
    <row r="16" spans="1:18" s="338" customFormat="1" ht="13.8">
      <c r="A16" s="338" t="s">
        <v>594</v>
      </c>
      <c r="C16" s="364"/>
      <c r="D16" s="353">
        <f>Application!W853</f>
        <v>197000</v>
      </c>
      <c r="E16" s="353">
        <f t="shared" ref="E16:Q16" si="10">D16*$C$13</f>
        <v>203894.99999999997</v>
      </c>
      <c r="F16" s="353">
        <f t="shared" si="10"/>
        <v>211031.32499999995</v>
      </c>
      <c r="G16" s="353">
        <f t="shared" si="10"/>
        <v>218417.42137499995</v>
      </c>
      <c r="H16" s="353">
        <f t="shared" si="10"/>
        <v>226062.03112312494</v>
      </c>
      <c r="I16" s="353">
        <f t="shared" si="10"/>
        <v>233974.20221243429</v>
      </c>
      <c r="J16" s="353">
        <f t="shared" si="10"/>
        <v>242163.29928986946</v>
      </c>
      <c r="K16" s="353">
        <f t="shared" si="10"/>
        <v>250639.01476501487</v>
      </c>
      <c r="L16" s="353">
        <f t="shared" si="10"/>
        <v>259411.38028179036</v>
      </c>
      <c r="M16" s="353">
        <f t="shared" si="10"/>
        <v>268490.77859165298</v>
      </c>
      <c r="N16" s="353">
        <f t="shared" si="10"/>
        <v>277887.9558423608</v>
      </c>
      <c r="O16" s="353">
        <f t="shared" si="10"/>
        <v>287614.0342968434</v>
      </c>
      <c r="P16" s="353">
        <f t="shared" si="10"/>
        <v>297680.52549723291</v>
      </c>
      <c r="Q16" s="353">
        <f t="shared" si="10"/>
        <v>308099.34388963605</v>
      </c>
      <c r="R16" s="353">
        <f t="shared" si="9"/>
        <v>318882.8209257733</v>
      </c>
    </row>
    <row r="17" spans="1:18" s="338" customFormat="1" ht="13.8">
      <c r="A17" s="338" t="s">
        <v>905</v>
      </c>
      <c r="C17" s="364"/>
      <c r="D17" s="353">
        <f>Application!W860</f>
        <v>437331</v>
      </c>
      <c r="E17" s="353">
        <f t="shared" ref="E17:Q17" si="11">D17*$C$13</f>
        <v>452637.58499999996</v>
      </c>
      <c r="F17" s="353">
        <f t="shared" si="11"/>
        <v>468479.90047499991</v>
      </c>
      <c r="G17" s="353">
        <f t="shared" si="11"/>
        <v>484876.69699162489</v>
      </c>
      <c r="H17" s="353">
        <f t="shared" si="11"/>
        <v>501847.38138633175</v>
      </c>
      <c r="I17" s="353">
        <f t="shared" si="11"/>
        <v>519412.03973485332</v>
      </c>
      <c r="J17" s="353">
        <f t="shared" si="11"/>
        <v>537591.46112557314</v>
      </c>
      <c r="K17" s="353">
        <f t="shared" si="11"/>
        <v>556407.16226496815</v>
      </c>
      <c r="L17" s="353">
        <f t="shared" si="11"/>
        <v>575881.41294424201</v>
      </c>
      <c r="M17" s="353">
        <f t="shared" si="11"/>
        <v>596037.26239729044</v>
      </c>
      <c r="N17" s="353">
        <f t="shared" si="11"/>
        <v>616898.56658119557</v>
      </c>
      <c r="O17" s="353">
        <f t="shared" si="11"/>
        <v>638490.01641153742</v>
      </c>
      <c r="P17" s="353">
        <f t="shared" si="11"/>
        <v>660837.16698594124</v>
      </c>
      <c r="Q17" s="353">
        <f t="shared" si="11"/>
        <v>683966.46783044911</v>
      </c>
      <c r="R17" s="353">
        <f t="shared" si="9"/>
        <v>707905.29420451482</v>
      </c>
    </row>
    <row r="18" spans="1:18" s="338" customFormat="1" ht="13.8">
      <c r="A18" s="338" t="s">
        <v>160</v>
      </c>
      <c r="C18" s="364"/>
      <c r="D18" s="353">
        <f>Application!W861</f>
        <v>105141</v>
      </c>
      <c r="E18" s="353">
        <f t="shared" ref="E18:Q18" si="12">D18*$C$13</f>
        <v>108820.935</v>
      </c>
      <c r="F18" s="353">
        <f t="shared" si="12"/>
        <v>112629.66772499999</v>
      </c>
      <c r="G18" s="353">
        <f t="shared" si="12"/>
        <v>116571.70609537499</v>
      </c>
      <c r="H18" s="353">
        <f t="shared" si="12"/>
        <v>120651.71580871311</v>
      </c>
      <c r="I18" s="353">
        <f t="shared" si="12"/>
        <v>124874.52586201805</v>
      </c>
      <c r="J18" s="353">
        <f t="shared" si="12"/>
        <v>129245.13426718868</v>
      </c>
      <c r="K18" s="353">
        <f t="shared" si="12"/>
        <v>133768.71396654026</v>
      </c>
      <c r="L18" s="353">
        <f t="shared" si="12"/>
        <v>138450.61895536917</v>
      </c>
      <c r="M18" s="353">
        <f t="shared" si="12"/>
        <v>143296.39061880708</v>
      </c>
      <c r="N18" s="353">
        <f t="shared" si="12"/>
        <v>148311.76429046533</v>
      </c>
      <c r="O18" s="353">
        <f t="shared" si="12"/>
        <v>153502.6760406316</v>
      </c>
      <c r="P18" s="353">
        <f t="shared" si="12"/>
        <v>158875.26970205369</v>
      </c>
      <c r="Q18" s="353">
        <f t="shared" si="12"/>
        <v>164435.90414162556</v>
      </c>
      <c r="R18" s="353">
        <f t="shared" si="9"/>
        <v>170191.16078658245</v>
      </c>
    </row>
    <row r="19" spans="1:18" s="338" customFormat="1" ht="13.8">
      <c r="A19" s="338" t="s">
        <v>409</v>
      </c>
      <c r="C19" s="364"/>
      <c r="D19" s="353">
        <f>Application!W870</f>
        <v>201959</v>
      </c>
      <c r="E19" s="353">
        <f t="shared" ref="E19:Q19" si="13">D19*$C$13</f>
        <v>209027.56499999997</v>
      </c>
      <c r="F19" s="353">
        <f t="shared" si="13"/>
        <v>216343.52977499994</v>
      </c>
      <c r="G19" s="353">
        <f t="shared" si="13"/>
        <v>223915.55331712493</v>
      </c>
      <c r="H19" s="353">
        <f t="shared" si="13"/>
        <v>231752.59768322427</v>
      </c>
      <c r="I19" s="353">
        <f t="shared" si="13"/>
        <v>239863.93860213712</v>
      </c>
      <c r="J19" s="353">
        <f t="shared" si="13"/>
        <v>248259.1764532119</v>
      </c>
      <c r="K19" s="353">
        <f t="shared" si="13"/>
        <v>256948.24762907429</v>
      </c>
      <c r="L19" s="353">
        <f t="shared" si="13"/>
        <v>265941.43629609188</v>
      </c>
      <c r="M19" s="353">
        <f t="shared" si="13"/>
        <v>275249.38656645507</v>
      </c>
      <c r="N19" s="353">
        <f t="shared" si="13"/>
        <v>284883.11509628099</v>
      </c>
      <c r="O19" s="353">
        <f t="shared" si="13"/>
        <v>294854.02412465081</v>
      </c>
      <c r="P19" s="353">
        <f t="shared" si="13"/>
        <v>305173.91496901354</v>
      </c>
      <c r="Q19" s="353">
        <f t="shared" si="13"/>
        <v>315855.00199292897</v>
      </c>
      <c r="R19" s="353">
        <f t="shared" si="9"/>
        <v>326909.92706268147</v>
      </c>
    </row>
    <row r="20" spans="1:18" s="338" customFormat="1" ht="13.8">
      <c r="A20" s="357" t="s">
        <v>1039</v>
      </c>
      <c r="B20" s="357"/>
      <c r="C20" s="364"/>
      <c r="D20" s="363">
        <f>Application!W877</f>
        <v>0</v>
      </c>
      <c r="E20" s="363">
        <f t="shared" ref="E20:Q20" si="14">D20*$C$13</f>
        <v>0</v>
      </c>
      <c r="F20" s="363">
        <f t="shared" si="14"/>
        <v>0</v>
      </c>
      <c r="G20" s="363">
        <f t="shared" si="14"/>
        <v>0</v>
      </c>
      <c r="H20" s="363">
        <f t="shared" si="14"/>
        <v>0</v>
      </c>
      <c r="I20" s="363">
        <f t="shared" si="14"/>
        <v>0</v>
      </c>
      <c r="J20" s="363">
        <f t="shared" si="14"/>
        <v>0</v>
      </c>
      <c r="K20" s="363">
        <f t="shared" si="14"/>
        <v>0</v>
      </c>
      <c r="L20" s="363">
        <f t="shared" si="14"/>
        <v>0</v>
      </c>
      <c r="M20" s="363">
        <f t="shared" si="14"/>
        <v>0</v>
      </c>
      <c r="N20" s="363">
        <f t="shared" si="14"/>
        <v>0</v>
      </c>
      <c r="O20" s="363">
        <f t="shared" si="14"/>
        <v>0</v>
      </c>
      <c r="P20" s="363">
        <f t="shared" si="14"/>
        <v>0</v>
      </c>
      <c r="Q20" s="363">
        <f t="shared" si="14"/>
        <v>0</v>
      </c>
      <c r="R20" s="363">
        <f t="shared" si="9"/>
        <v>0</v>
      </c>
    </row>
    <row r="21" spans="1:18" s="354" customFormat="1" ht="13.8">
      <c r="A21" s="354" t="s">
        <v>906</v>
      </c>
      <c r="C21" s="364"/>
      <c r="D21" s="354">
        <f t="shared" ref="D21:R21" si="15">SUM(D14:D20)</f>
        <v>1195000</v>
      </c>
      <c r="E21" s="354">
        <f t="shared" si="15"/>
        <v>1236824.9999999998</v>
      </c>
      <c r="F21" s="354">
        <f t="shared" si="15"/>
        <v>1280113.8749999998</v>
      </c>
      <c r="G21" s="354">
        <f t="shared" si="15"/>
        <v>1324917.8606249997</v>
      </c>
      <c r="H21" s="354">
        <f t="shared" si="15"/>
        <v>1371289.9857468747</v>
      </c>
      <c r="I21" s="354">
        <f t="shared" si="15"/>
        <v>1419285.1352480152</v>
      </c>
      <c r="J21" s="354">
        <f t="shared" si="15"/>
        <v>1468960.1149816955</v>
      </c>
      <c r="K21" s="354">
        <f t="shared" si="15"/>
        <v>1520373.7190060548</v>
      </c>
      <c r="L21" s="354">
        <f t="shared" si="15"/>
        <v>1573586.7991712666</v>
      </c>
      <c r="M21" s="354">
        <f t="shared" si="15"/>
        <v>1628662.3371422607</v>
      </c>
      <c r="N21" s="354">
        <f t="shared" si="15"/>
        <v>1685665.5189422397</v>
      </c>
      <c r="O21" s="354">
        <f t="shared" si="15"/>
        <v>1744663.8121052179</v>
      </c>
      <c r="P21" s="354">
        <f t="shared" si="15"/>
        <v>1805727.0455289006</v>
      </c>
      <c r="Q21" s="354">
        <f t="shared" si="15"/>
        <v>1868927.4921224122</v>
      </c>
      <c r="R21" s="354">
        <f t="shared" si="15"/>
        <v>1934339.9543466961</v>
      </c>
    </row>
    <row r="22" spans="1:18" s="338" customFormat="1" ht="13.8">
      <c r="C22" s="364"/>
      <c r="D22" s="353"/>
      <c r="E22" s="353"/>
      <c r="F22" s="353"/>
      <c r="G22" s="353"/>
      <c r="H22" s="353"/>
      <c r="I22" s="353"/>
      <c r="J22" s="353"/>
      <c r="K22" s="353"/>
      <c r="L22" s="353"/>
      <c r="M22" s="353"/>
      <c r="N22" s="353"/>
      <c r="O22" s="353"/>
      <c r="P22" s="353"/>
      <c r="Q22" s="353"/>
      <c r="R22" s="353"/>
    </row>
    <row r="23" spans="1:18" s="338" customFormat="1" ht="13.8">
      <c r="A23" s="338" t="s">
        <v>2155</v>
      </c>
      <c r="C23" s="364"/>
      <c r="D23" s="1599"/>
      <c r="E23" s="353">
        <f t="shared" ref="E23:R23" si="16">D23*$C$23</f>
        <v>0</v>
      </c>
      <c r="F23" s="353">
        <f t="shared" si="16"/>
        <v>0</v>
      </c>
      <c r="G23" s="353">
        <f t="shared" si="16"/>
        <v>0</v>
      </c>
      <c r="H23" s="353">
        <f t="shared" si="16"/>
        <v>0</v>
      </c>
      <c r="I23" s="353">
        <f t="shared" si="16"/>
        <v>0</v>
      </c>
      <c r="J23" s="353">
        <f t="shared" si="16"/>
        <v>0</v>
      </c>
      <c r="K23" s="353">
        <f t="shared" si="16"/>
        <v>0</v>
      </c>
      <c r="L23" s="353">
        <f t="shared" si="16"/>
        <v>0</v>
      </c>
      <c r="M23" s="353">
        <f t="shared" si="16"/>
        <v>0</v>
      </c>
      <c r="N23" s="353">
        <f t="shared" si="16"/>
        <v>0</v>
      </c>
      <c r="O23" s="353">
        <f t="shared" si="16"/>
        <v>0</v>
      </c>
      <c r="P23" s="353">
        <f t="shared" si="16"/>
        <v>0</v>
      </c>
      <c r="Q23" s="353">
        <f t="shared" si="16"/>
        <v>0</v>
      </c>
      <c r="R23" s="353">
        <f t="shared" si="16"/>
        <v>0</v>
      </c>
    </row>
    <row r="24" spans="1:18" s="338" customFormat="1" ht="13.8">
      <c r="C24" s="364"/>
      <c r="D24" s="353"/>
      <c r="E24" s="353"/>
      <c r="F24" s="353"/>
      <c r="G24" s="353"/>
      <c r="H24" s="353"/>
      <c r="I24" s="353"/>
      <c r="J24" s="353"/>
      <c r="K24" s="353"/>
      <c r="L24" s="353"/>
      <c r="M24" s="353"/>
      <c r="N24" s="353"/>
      <c r="O24" s="353"/>
      <c r="P24" s="353"/>
      <c r="Q24" s="353"/>
      <c r="R24" s="353"/>
    </row>
    <row r="25" spans="1:18" s="338" customFormat="1" ht="13.8">
      <c r="A25" s="338" t="s">
        <v>1352</v>
      </c>
      <c r="C25" s="371">
        <v>1.0349999999999999</v>
      </c>
      <c r="D25" s="353">
        <f>Application!AC885</f>
        <v>0</v>
      </c>
      <c r="E25" s="353">
        <f t="shared" ref="E25:R25" si="17">D25*$C$25</f>
        <v>0</v>
      </c>
      <c r="F25" s="353">
        <f t="shared" si="17"/>
        <v>0</v>
      </c>
      <c r="G25" s="353">
        <f t="shared" si="17"/>
        <v>0</v>
      </c>
      <c r="H25" s="353">
        <f t="shared" si="17"/>
        <v>0</v>
      </c>
      <c r="I25" s="353">
        <f t="shared" si="17"/>
        <v>0</v>
      </c>
      <c r="J25" s="353">
        <f t="shared" si="17"/>
        <v>0</v>
      </c>
      <c r="K25" s="353">
        <f t="shared" si="17"/>
        <v>0</v>
      </c>
      <c r="L25" s="353">
        <f t="shared" si="17"/>
        <v>0</v>
      </c>
      <c r="M25" s="353">
        <f t="shared" si="17"/>
        <v>0</v>
      </c>
      <c r="N25" s="353">
        <f t="shared" si="17"/>
        <v>0</v>
      </c>
      <c r="O25" s="353">
        <f t="shared" si="17"/>
        <v>0</v>
      </c>
      <c r="P25" s="353">
        <f t="shared" si="17"/>
        <v>0</v>
      </c>
      <c r="Q25" s="353">
        <f t="shared" si="17"/>
        <v>0</v>
      </c>
      <c r="R25" s="353">
        <f t="shared" si="17"/>
        <v>0</v>
      </c>
    </row>
    <row r="26" spans="1:18" s="338" customFormat="1" ht="13.8">
      <c r="A26" s="338" t="s">
        <v>908</v>
      </c>
      <c r="C26" s="371">
        <v>1.0349999999999999</v>
      </c>
      <c r="D26" s="353">
        <f>Application!AC886</f>
        <v>200000</v>
      </c>
      <c r="E26" s="353">
        <f t="shared" ref="E26:R26" si="18">D26*$C$26</f>
        <v>206999.99999999997</v>
      </c>
      <c r="F26" s="353">
        <f t="shared" si="18"/>
        <v>214244.99999999994</v>
      </c>
      <c r="G26" s="353">
        <f t="shared" si="18"/>
        <v>221743.57499999992</v>
      </c>
      <c r="H26" s="353">
        <f t="shared" si="18"/>
        <v>229504.60012499991</v>
      </c>
      <c r="I26" s="353">
        <f t="shared" si="18"/>
        <v>237537.26112937488</v>
      </c>
      <c r="J26" s="353">
        <f t="shared" si="18"/>
        <v>245851.06526890298</v>
      </c>
      <c r="K26" s="353">
        <f t="shared" si="18"/>
        <v>254455.85255331456</v>
      </c>
      <c r="L26" s="353">
        <f t="shared" si="18"/>
        <v>263361.80739268055</v>
      </c>
      <c r="M26" s="353">
        <f t="shared" si="18"/>
        <v>272579.47065142437</v>
      </c>
      <c r="N26" s="353">
        <f t="shared" si="18"/>
        <v>282119.75212422421</v>
      </c>
      <c r="O26" s="353">
        <f t="shared" si="18"/>
        <v>291993.94344857201</v>
      </c>
      <c r="P26" s="353">
        <f t="shared" si="18"/>
        <v>302213.731469272</v>
      </c>
      <c r="Q26" s="353">
        <f t="shared" si="18"/>
        <v>312791.21207069646</v>
      </c>
      <c r="R26" s="353">
        <f t="shared" si="18"/>
        <v>323738.90449317079</v>
      </c>
    </row>
    <row r="27" spans="1:18" s="338" customFormat="1" ht="13.8">
      <c r="A27" s="338" t="s">
        <v>909</v>
      </c>
      <c r="C27" s="371"/>
      <c r="D27" s="353">
        <f>Application!AC887</f>
        <v>100000</v>
      </c>
      <c r="E27" s="353">
        <f t="shared" ref="E27:R27" si="19">$D$27</f>
        <v>100000</v>
      </c>
      <c r="F27" s="353">
        <f t="shared" si="19"/>
        <v>100000</v>
      </c>
      <c r="G27" s="353">
        <f t="shared" si="19"/>
        <v>100000</v>
      </c>
      <c r="H27" s="353">
        <f t="shared" si="19"/>
        <v>100000</v>
      </c>
      <c r="I27" s="353">
        <f t="shared" si="19"/>
        <v>100000</v>
      </c>
      <c r="J27" s="353">
        <f t="shared" si="19"/>
        <v>100000</v>
      </c>
      <c r="K27" s="353">
        <f t="shared" si="19"/>
        <v>100000</v>
      </c>
      <c r="L27" s="353">
        <f t="shared" si="19"/>
        <v>100000</v>
      </c>
      <c r="M27" s="353">
        <f t="shared" si="19"/>
        <v>100000</v>
      </c>
      <c r="N27" s="353">
        <f t="shared" si="19"/>
        <v>100000</v>
      </c>
      <c r="O27" s="353">
        <f t="shared" si="19"/>
        <v>100000</v>
      </c>
      <c r="P27" s="353">
        <f t="shared" si="19"/>
        <v>100000</v>
      </c>
      <c r="Q27" s="353">
        <f t="shared" si="19"/>
        <v>100000</v>
      </c>
      <c r="R27" s="353">
        <f t="shared" si="19"/>
        <v>100000</v>
      </c>
    </row>
    <row r="28" spans="1:18" s="338" customFormat="1" ht="13.8">
      <c r="A28" s="338" t="s">
        <v>2153</v>
      </c>
      <c r="C28" s="369"/>
      <c r="D28" s="353">
        <f>Application!AC888</f>
        <v>20337</v>
      </c>
      <c r="E28" s="353">
        <f t="shared" ref="E28:R28" si="20">$D$28</f>
        <v>20337</v>
      </c>
      <c r="F28" s="353">
        <f t="shared" si="20"/>
        <v>20337</v>
      </c>
      <c r="G28" s="353">
        <f t="shared" si="20"/>
        <v>20337</v>
      </c>
      <c r="H28" s="353">
        <f t="shared" si="20"/>
        <v>20337</v>
      </c>
      <c r="I28" s="353">
        <f t="shared" si="20"/>
        <v>20337</v>
      </c>
      <c r="J28" s="353">
        <f t="shared" si="20"/>
        <v>20337</v>
      </c>
      <c r="K28" s="353">
        <f t="shared" si="20"/>
        <v>20337</v>
      </c>
      <c r="L28" s="353">
        <f t="shared" si="20"/>
        <v>20337</v>
      </c>
      <c r="M28" s="353">
        <f t="shared" si="20"/>
        <v>20337</v>
      </c>
      <c r="N28" s="353">
        <f t="shared" si="20"/>
        <v>20337</v>
      </c>
      <c r="O28" s="353">
        <f t="shared" si="20"/>
        <v>20337</v>
      </c>
      <c r="P28" s="353">
        <f t="shared" si="20"/>
        <v>20337</v>
      </c>
      <c r="Q28" s="353">
        <f t="shared" si="20"/>
        <v>20337</v>
      </c>
      <c r="R28" s="353">
        <f t="shared" si="20"/>
        <v>20337</v>
      </c>
    </row>
    <row r="29" spans="1:18" s="338" customFormat="1" ht="13.8">
      <c r="A29" s="338" t="s">
        <v>907</v>
      </c>
      <c r="C29" s="369">
        <v>1.02</v>
      </c>
      <c r="D29" s="353">
        <f>Application!AC889</f>
        <v>25000</v>
      </c>
      <c r="E29" s="353">
        <f t="shared" ref="E29:R29" si="21">D29*$C$29</f>
        <v>25500</v>
      </c>
      <c r="F29" s="353">
        <f t="shared" si="21"/>
        <v>26010</v>
      </c>
      <c r="G29" s="353">
        <f t="shared" si="21"/>
        <v>26530.2</v>
      </c>
      <c r="H29" s="353">
        <f t="shared" si="21"/>
        <v>27060.804</v>
      </c>
      <c r="I29" s="353">
        <f t="shared" si="21"/>
        <v>27602.020080000002</v>
      </c>
      <c r="J29" s="353">
        <f t="shared" si="21"/>
        <v>28154.060481600001</v>
      </c>
      <c r="K29" s="353">
        <f t="shared" si="21"/>
        <v>28717.141691232002</v>
      </c>
      <c r="L29" s="353">
        <f t="shared" si="21"/>
        <v>29291.484525056643</v>
      </c>
      <c r="M29" s="353">
        <f t="shared" si="21"/>
        <v>29877.314215557777</v>
      </c>
      <c r="N29" s="353">
        <f t="shared" si="21"/>
        <v>30474.860499868933</v>
      </c>
      <c r="O29" s="353">
        <f t="shared" si="21"/>
        <v>31084.357709866312</v>
      </c>
      <c r="P29" s="353">
        <f t="shared" si="21"/>
        <v>31706.044864063639</v>
      </c>
      <c r="Q29" s="353">
        <f t="shared" si="21"/>
        <v>32340.165761344913</v>
      </c>
      <c r="R29" s="353">
        <f t="shared" si="21"/>
        <v>32986.969076571811</v>
      </c>
    </row>
    <row r="30" spans="1:18" s="338" customFormat="1" ht="13.8">
      <c r="A30" s="338" t="s">
        <v>2154</v>
      </c>
      <c r="C30" s="369">
        <v>1.02</v>
      </c>
      <c r="D30" s="353">
        <f>Application!AC890</f>
        <v>0</v>
      </c>
      <c r="E30" s="353">
        <f t="shared" ref="E30:R30" si="22">D30*$C$30</f>
        <v>0</v>
      </c>
      <c r="F30" s="353">
        <f t="shared" si="22"/>
        <v>0</v>
      </c>
      <c r="G30" s="353">
        <f t="shared" si="22"/>
        <v>0</v>
      </c>
      <c r="H30" s="353">
        <f t="shared" si="22"/>
        <v>0</v>
      </c>
      <c r="I30" s="353">
        <f t="shared" si="22"/>
        <v>0</v>
      </c>
      <c r="J30" s="353">
        <f t="shared" si="22"/>
        <v>0</v>
      </c>
      <c r="K30" s="353">
        <f t="shared" si="22"/>
        <v>0</v>
      </c>
      <c r="L30" s="353">
        <f t="shared" si="22"/>
        <v>0</v>
      </c>
      <c r="M30" s="353">
        <f t="shared" si="22"/>
        <v>0</v>
      </c>
      <c r="N30" s="353">
        <f t="shared" si="22"/>
        <v>0</v>
      </c>
      <c r="O30" s="353">
        <f t="shared" si="22"/>
        <v>0</v>
      </c>
      <c r="P30" s="353">
        <f t="shared" si="22"/>
        <v>0</v>
      </c>
      <c r="Q30" s="353">
        <f t="shared" si="22"/>
        <v>0</v>
      </c>
      <c r="R30" s="353">
        <f t="shared" si="22"/>
        <v>0</v>
      </c>
    </row>
    <row r="31" spans="1:18" s="338" customFormat="1" ht="13.8">
      <c r="A31" s="357">
        <f>Application!E891</f>
        <v>0</v>
      </c>
      <c r="B31" s="357"/>
      <c r="C31" s="487">
        <v>1.0349999999999999</v>
      </c>
      <c r="D31" s="353">
        <f>Application!AC891</f>
        <v>0</v>
      </c>
      <c r="E31" s="353">
        <f t="shared" ref="E31:R31" si="23">D31*$C$31</f>
        <v>0</v>
      </c>
      <c r="F31" s="353">
        <f t="shared" si="23"/>
        <v>0</v>
      </c>
      <c r="G31" s="353">
        <f t="shared" si="23"/>
        <v>0</v>
      </c>
      <c r="H31" s="353">
        <f t="shared" si="23"/>
        <v>0</v>
      </c>
      <c r="I31" s="353">
        <f t="shared" si="23"/>
        <v>0</v>
      </c>
      <c r="J31" s="353">
        <f t="shared" si="23"/>
        <v>0</v>
      </c>
      <c r="K31" s="353">
        <f t="shared" si="23"/>
        <v>0</v>
      </c>
      <c r="L31" s="353">
        <f t="shared" si="23"/>
        <v>0</v>
      </c>
      <c r="M31" s="353">
        <f t="shared" si="23"/>
        <v>0</v>
      </c>
      <c r="N31" s="353">
        <f t="shared" si="23"/>
        <v>0</v>
      </c>
      <c r="O31" s="353">
        <f t="shared" si="23"/>
        <v>0</v>
      </c>
      <c r="P31" s="353">
        <f t="shared" si="23"/>
        <v>0</v>
      </c>
      <c r="Q31" s="353">
        <f t="shared" si="23"/>
        <v>0</v>
      </c>
      <c r="R31" s="353">
        <f t="shared" si="23"/>
        <v>0</v>
      </c>
    </row>
    <row r="32" spans="1:18" s="338" customFormat="1" ht="13.8">
      <c r="A32" s="357">
        <f>Application!E892</f>
        <v>0</v>
      </c>
      <c r="B32" s="357"/>
      <c r="C32" s="487">
        <v>1.0349999999999999</v>
      </c>
      <c r="D32" s="353">
        <f>Application!AC892</f>
        <v>0</v>
      </c>
      <c r="E32" s="353">
        <f t="shared" ref="E32:R32" si="24">D32*$C$32</f>
        <v>0</v>
      </c>
      <c r="F32" s="353">
        <f t="shared" si="24"/>
        <v>0</v>
      </c>
      <c r="G32" s="353">
        <f t="shared" si="24"/>
        <v>0</v>
      </c>
      <c r="H32" s="353">
        <f t="shared" si="24"/>
        <v>0</v>
      </c>
      <c r="I32" s="353">
        <f t="shared" si="24"/>
        <v>0</v>
      </c>
      <c r="J32" s="353">
        <f t="shared" si="24"/>
        <v>0</v>
      </c>
      <c r="K32" s="353">
        <f t="shared" si="24"/>
        <v>0</v>
      </c>
      <c r="L32" s="353">
        <f t="shared" si="24"/>
        <v>0</v>
      </c>
      <c r="M32" s="353">
        <f t="shared" si="24"/>
        <v>0</v>
      </c>
      <c r="N32" s="353">
        <f t="shared" si="24"/>
        <v>0</v>
      </c>
      <c r="O32" s="353">
        <f t="shared" si="24"/>
        <v>0</v>
      </c>
      <c r="P32" s="353">
        <f t="shared" si="24"/>
        <v>0</v>
      </c>
      <c r="Q32" s="353">
        <f t="shared" si="24"/>
        <v>0</v>
      </c>
      <c r="R32" s="353">
        <f t="shared" si="24"/>
        <v>0</v>
      </c>
    </row>
    <row r="33" spans="1:18" s="338" customFormat="1" ht="13.8">
      <c r="C33" s="351"/>
      <c r="D33" s="353"/>
      <c r="E33" s="353"/>
      <c r="F33" s="353"/>
      <c r="G33" s="353"/>
      <c r="H33" s="353"/>
      <c r="I33" s="353"/>
      <c r="J33" s="353"/>
      <c r="K33" s="353"/>
      <c r="L33" s="353"/>
      <c r="M33" s="353"/>
      <c r="N33" s="353"/>
      <c r="O33" s="353"/>
      <c r="P33" s="353"/>
      <c r="Q33" s="353"/>
      <c r="R33" s="353"/>
    </row>
    <row r="34" spans="1:18" s="354" customFormat="1" ht="13.8">
      <c r="A34" s="354" t="s">
        <v>183</v>
      </c>
      <c r="C34" s="355"/>
      <c r="D34" s="354">
        <f t="shared" ref="D34:R34" si="25">SUM(D21:D32)</f>
        <v>1540337</v>
      </c>
      <c r="E34" s="354">
        <f t="shared" si="25"/>
        <v>1589661.9999999998</v>
      </c>
      <c r="F34" s="354">
        <f t="shared" si="25"/>
        <v>1640705.8749999998</v>
      </c>
      <c r="G34" s="354">
        <f t="shared" si="25"/>
        <v>1693528.6356249996</v>
      </c>
      <c r="H34" s="354">
        <f t="shared" si="25"/>
        <v>1748192.3898718746</v>
      </c>
      <c r="I34" s="354">
        <f t="shared" si="25"/>
        <v>1804761.4164573899</v>
      </c>
      <c r="J34" s="354">
        <f t="shared" si="25"/>
        <v>1863302.2407321986</v>
      </c>
      <c r="K34" s="354">
        <f t="shared" si="25"/>
        <v>1923883.7132506014</v>
      </c>
      <c r="L34" s="354">
        <f t="shared" si="25"/>
        <v>1986577.0910890037</v>
      </c>
      <c r="M34" s="354">
        <f t="shared" si="25"/>
        <v>2051456.1220092431</v>
      </c>
      <c r="N34" s="354">
        <f t="shared" si="25"/>
        <v>2118597.1315663331</v>
      </c>
      <c r="O34" s="354">
        <f t="shared" si="25"/>
        <v>2188079.1132636564</v>
      </c>
      <c r="P34" s="354">
        <f t="shared" si="25"/>
        <v>2259983.8218622361</v>
      </c>
      <c r="Q34" s="354">
        <f t="shared" si="25"/>
        <v>2334395.8699544538</v>
      </c>
      <c r="R34" s="354">
        <f t="shared" si="25"/>
        <v>2411402.8279164387</v>
      </c>
    </row>
    <row r="35" spans="1:18" s="338" customFormat="1" ht="13.8">
      <c r="C35" s="351"/>
      <c r="D35" s="353"/>
      <c r="E35" s="353"/>
      <c r="F35" s="353"/>
      <c r="G35" s="353"/>
      <c r="H35" s="353"/>
      <c r="I35" s="353"/>
      <c r="J35" s="353"/>
      <c r="K35" s="353"/>
      <c r="L35" s="353"/>
      <c r="M35" s="353"/>
      <c r="N35" s="353"/>
      <c r="O35" s="353"/>
      <c r="P35" s="353"/>
      <c r="Q35" s="353"/>
      <c r="R35" s="353"/>
    </row>
    <row r="36" spans="1:18" s="354" customFormat="1" ht="13.8">
      <c r="A36" s="354" t="s">
        <v>910</v>
      </c>
      <c r="C36" s="355"/>
      <c r="D36" s="354">
        <f t="shared" ref="D36:R36" si="26">D10-D34</f>
        <v>807413.20000000019</v>
      </c>
      <c r="E36" s="354">
        <f t="shared" si="26"/>
        <v>816781.95500000031</v>
      </c>
      <c r="F36" s="354">
        <f t="shared" si="26"/>
        <v>825899.17887499998</v>
      </c>
      <c r="G36" s="354">
        <f t="shared" si="26"/>
        <v>834741.54459687462</v>
      </c>
      <c r="H36" s="354">
        <f t="shared" si="26"/>
        <v>843284.54485554644</v>
      </c>
      <c r="I36" s="354">
        <f t="shared" si="26"/>
        <v>851502.44163821591</v>
      </c>
      <c r="J36" s="354">
        <f t="shared" si="26"/>
        <v>859368.21381579759</v>
      </c>
      <c r="K36" s="354">
        <f t="shared" si="26"/>
        <v>866853.50266109477</v>
      </c>
      <c r="L36" s="354">
        <f t="shared" si="26"/>
        <v>873928.55522048427</v>
      </c>
      <c r="M36" s="354">
        <f t="shared" si="26"/>
        <v>880562.16545798187</v>
      </c>
      <c r="N36" s="354">
        <f t="shared" si="26"/>
        <v>886721.61308757262</v>
      </c>
      <c r="O36" s="354">
        <f t="shared" si="26"/>
        <v>892372.60000659619</v>
      </c>
      <c r="P36" s="354">
        <f t="shared" si="26"/>
        <v>897479.18423977261</v>
      </c>
      <c r="Q36" s="354">
        <f t="shared" si="26"/>
        <v>902003.71130010486</v>
      </c>
      <c r="R36" s="354">
        <f t="shared" si="26"/>
        <v>905906.74286948331</v>
      </c>
    </row>
    <row r="37" spans="1:18" s="338" customFormat="1" ht="13.8">
      <c r="C37" s="351"/>
      <c r="D37" s="353"/>
      <c r="E37" s="353"/>
      <c r="F37" s="353"/>
      <c r="G37" s="353"/>
      <c r="H37" s="353"/>
      <c r="I37" s="353"/>
      <c r="J37" s="353"/>
      <c r="K37" s="353"/>
      <c r="L37" s="353"/>
      <c r="M37" s="353"/>
      <c r="N37" s="353"/>
      <c r="O37" s="353"/>
      <c r="P37" s="353"/>
      <c r="Q37" s="353"/>
      <c r="R37" s="353"/>
    </row>
    <row r="38" spans="1:18" s="338" customFormat="1" ht="13.8">
      <c r="A38" s="349" t="s">
        <v>921</v>
      </c>
      <c r="C38" s="351"/>
      <c r="D38" s="353"/>
      <c r="E38" s="353"/>
      <c r="F38" s="353"/>
      <c r="G38" s="353"/>
      <c r="H38" s="353"/>
      <c r="I38" s="353"/>
      <c r="J38" s="353"/>
      <c r="K38" s="353"/>
      <c r="L38" s="353"/>
      <c r="M38" s="353"/>
      <c r="N38" s="353"/>
      <c r="O38" s="353"/>
      <c r="P38" s="353"/>
      <c r="Q38" s="353"/>
      <c r="R38" s="353"/>
    </row>
    <row r="39" spans="1:18" s="338" customFormat="1" ht="13.8">
      <c r="A39" s="356" t="str">
        <f>Application!C637</f>
        <v xml:space="preserve">CCRC Tax Exempt Perm Loan </v>
      </c>
      <c r="B39" s="357"/>
      <c r="C39" s="351"/>
      <c r="D39" s="353">
        <f>Application!AF637</f>
        <v>644811</v>
      </c>
      <c r="E39" s="353">
        <f t="shared" ref="E39:R39" si="27">$D$39</f>
        <v>644811</v>
      </c>
      <c r="F39" s="353">
        <f t="shared" si="27"/>
        <v>644811</v>
      </c>
      <c r="G39" s="353">
        <f t="shared" si="27"/>
        <v>644811</v>
      </c>
      <c r="H39" s="353">
        <f t="shared" si="27"/>
        <v>644811</v>
      </c>
      <c r="I39" s="353">
        <f t="shared" si="27"/>
        <v>644811</v>
      </c>
      <c r="J39" s="353">
        <f t="shared" si="27"/>
        <v>644811</v>
      </c>
      <c r="K39" s="353">
        <f t="shared" si="27"/>
        <v>644811</v>
      </c>
      <c r="L39" s="353">
        <f t="shared" si="27"/>
        <v>644811</v>
      </c>
      <c r="M39" s="353">
        <f t="shared" si="27"/>
        <v>644811</v>
      </c>
      <c r="N39" s="353">
        <f t="shared" si="27"/>
        <v>644811</v>
      </c>
      <c r="O39" s="353">
        <f t="shared" si="27"/>
        <v>644811</v>
      </c>
      <c r="P39" s="353">
        <f t="shared" si="27"/>
        <v>644811</v>
      </c>
      <c r="Q39" s="353">
        <f t="shared" si="27"/>
        <v>644811</v>
      </c>
      <c r="R39" s="353">
        <f t="shared" si="27"/>
        <v>644811</v>
      </c>
    </row>
    <row r="40" spans="1:18" s="338" customFormat="1" ht="13.8">
      <c r="A40" s="356"/>
      <c r="B40" s="357"/>
      <c r="C40" s="351"/>
      <c r="D40" s="353"/>
      <c r="E40" s="353">
        <f t="shared" ref="E40:R40" si="28">$D$40</f>
        <v>0</v>
      </c>
      <c r="F40" s="353">
        <f t="shared" si="28"/>
        <v>0</v>
      </c>
      <c r="G40" s="353">
        <f t="shared" si="28"/>
        <v>0</v>
      </c>
      <c r="H40" s="353">
        <f t="shared" si="28"/>
        <v>0</v>
      </c>
      <c r="I40" s="353">
        <f t="shared" si="28"/>
        <v>0</v>
      </c>
      <c r="J40" s="353">
        <f t="shared" si="28"/>
        <v>0</v>
      </c>
      <c r="K40" s="353">
        <f t="shared" si="28"/>
        <v>0</v>
      </c>
      <c r="L40" s="353">
        <f t="shared" si="28"/>
        <v>0</v>
      </c>
      <c r="M40" s="353">
        <f t="shared" si="28"/>
        <v>0</v>
      </c>
      <c r="N40" s="353">
        <f t="shared" si="28"/>
        <v>0</v>
      </c>
      <c r="O40" s="353">
        <f t="shared" si="28"/>
        <v>0</v>
      </c>
      <c r="P40" s="353">
        <f t="shared" si="28"/>
        <v>0</v>
      </c>
      <c r="Q40" s="353">
        <f t="shared" si="28"/>
        <v>0</v>
      </c>
      <c r="R40" s="353">
        <f t="shared" si="28"/>
        <v>0</v>
      </c>
    </row>
    <row r="41" spans="1:18" s="338" customFormat="1" ht="13.8">
      <c r="A41" s="356"/>
      <c r="B41" s="357"/>
      <c r="C41" s="351"/>
      <c r="D41" s="363"/>
      <c r="E41" s="363">
        <f t="shared" ref="E41:R41" si="29">$D$41</f>
        <v>0</v>
      </c>
      <c r="F41" s="363">
        <f t="shared" si="29"/>
        <v>0</v>
      </c>
      <c r="G41" s="363">
        <f t="shared" si="29"/>
        <v>0</v>
      </c>
      <c r="H41" s="363">
        <f t="shared" si="29"/>
        <v>0</v>
      </c>
      <c r="I41" s="363">
        <f t="shared" si="29"/>
        <v>0</v>
      </c>
      <c r="J41" s="363">
        <f t="shared" si="29"/>
        <v>0</v>
      </c>
      <c r="K41" s="363">
        <f t="shared" si="29"/>
        <v>0</v>
      </c>
      <c r="L41" s="363">
        <f t="shared" si="29"/>
        <v>0</v>
      </c>
      <c r="M41" s="363">
        <f t="shared" si="29"/>
        <v>0</v>
      </c>
      <c r="N41" s="363">
        <f t="shared" si="29"/>
        <v>0</v>
      </c>
      <c r="O41" s="363">
        <f t="shared" si="29"/>
        <v>0</v>
      </c>
      <c r="P41" s="363">
        <f t="shared" si="29"/>
        <v>0</v>
      </c>
      <c r="Q41" s="363">
        <f t="shared" si="29"/>
        <v>0</v>
      </c>
      <c r="R41" s="363">
        <f t="shared" si="29"/>
        <v>0</v>
      </c>
    </row>
    <row r="42" spans="1:18" s="354" customFormat="1" ht="13.8">
      <c r="A42" s="354" t="s">
        <v>911</v>
      </c>
      <c r="C42" s="355"/>
      <c r="D42" s="354">
        <f t="shared" ref="D42:R42" si="30">SUM(D39:D41)</f>
        <v>644811</v>
      </c>
      <c r="E42" s="354">
        <f t="shared" si="30"/>
        <v>644811</v>
      </c>
      <c r="F42" s="354">
        <f t="shared" si="30"/>
        <v>644811</v>
      </c>
      <c r="G42" s="354">
        <f t="shared" si="30"/>
        <v>644811</v>
      </c>
      <c r="H42" s="354">
        <f t="shared" si="30"/>
        <v>644811</v>
      </c>
      <c r="I42" s="354">
        <f t="shared" si="30"/>
        <v>644811</v>
      </c>
      <c r="J42" s="354">
        <f t="shared" si="30"/>
        <v>644811</v>
      </c>
      <c r="K42" s="354">
        <f t="shared" si="30"/>
        <v>644811</v>
      </c>
      <c r="L42" s="354">
        <f t="shared" si="30"/>
        <v>644811</v>
      </c>
      <c r="M42" s="354">
        <f t="shared" si="30"/>
        <v>644811</v>
      </c>
      <c r="N42" s="354">
        <f t="shared" si="30"/>
        <v>644811</v>
      </c>
      <c r="O42" s="354">
        <f t="shared" si="30"/>
        <v>644811</v>
      </c>
      <c r="P42" s="354">
        <f t="shared" si="30"/>
        <v>644811</v>
      </c>
      <c r="Q42" s="354">
        <f t="shared" si="30"/>
        <v>644811</v>
      </c>
      <c r="R42" s="354">
        <f t="shared" si="30"/>
        <v>644811</v>
      </c>
    </row>
    <row r="43" spans="1:18" s="338" customFormat="1" ht="13.8">
      <c r="C43" s="351"/>
      <c r="D43" s="353"/>
      <c r="E43" s="353"/>
      <c r="F43" s="353"/>
      <c r="G43" s="353"/>
      <c r="H43" s="353"/>
      <c r="I43" s="353"/>
      <c r="J43" s="353"/>
      <c r="K43" s="353"/>
      <c r="L43" s="353"/>
      <c r="M43" s="353"/>
      <c r="N43" s="353"/>
      <c r="O43" s="353"/>
      <c r="P43" s="353"/>
      <c r="Q43" s="353"/>
      <c r="R43" s="353"/>
    </row>
    <row r="44" spans="1:18" s="354" customFormat="1" ht="13.8">
      <c r="A44" s="354" t="s">
        <v>912</v>
      </c>
      <c r="C44" s="355"/>
      <c r="D44" s="354">
        <f t="shared" ref="D44:R44" si="31">D36-D42</f>
        <v>162602.20000000019</v>
      </c>
      <c r="E44" s="354">
        <f t="shared" si="31"/>
        <v>171970.95500000031</v>
      </c>
      <c r="F44" s="354">
        <f t="shared" si="31"/>
        <v>181088.17887499998</v>
      </c>
      <c r="G44" s="354">
        <f t="shared" si="31"/>
        <v>189930.54459687462</v>
      </c>
      <c r="H44" s="354">
        <f t="shared" si="31"/>
        <v>198473.54485554644</v>
      </c>
      <c r="I44" s="354">
        <f t="shared" si="31"/>
        <v>206691.44163821591</v>
      </c>
      <c r="J44" s="354">
        <f t="shared" si="31"/>
        <v>214557.21381579759</v>
      </c>
      <c r="K44" s="354">
        <f t="shared" si="31"/>
        <v>222042.50266109477</v>
      </c>
      <c r="L44" s="354">
        <f t="shared" si="31"/>
        <v>229117.55522048427</v>
      </c>
      <c r="M44" s="354">
        <f t="shared" si="31"/>
        <v>235751.16545798187</v>
      </c>
      <c r="N44" s="354">
        <f t="shared" si="31"/>
        <v>241910.61308757262</v>
      </c>
      <c r="O44" s="354">
        <f t="shared" si="31"/>
        <v>247561.60000659619</v>
      </c>
      <c r="P44" s="354">
        <f t="shared" si="31"/>
        <v>252668.18423977261</v>
      </c>
      <c r="Q44" s="354">
        <f t="shared" si="31"/>
        <v>257192.71130010486</v>
      </c>
      <c r="R44" s="354">
        <f t="shared" si="31"/>
        <v>261095.74286948331</v>
      </c>
    </row>
    <row r="45" spans="1:18" s="338" customFormat="1" ht="13.8">
      <c r="C45" s="351"/>
      <c r="D45" s="353"/>
      <c r="E45" s="353"/>
      <c r="F45" s="353"/>
      <c r="G45" s="353"/>
      <c r="H45" s="353"/>
      <c r="I45" s="353"/>
      <c r="J45" s="353"/>
      <c r="K45" s="353"/>
      <c r="L45" s="353"/>
      <c r="M45" s="353"/>
      <c r="N45" s="353"/>
      <c r="O45" s="353"/>
      <c r="P45" s="353"/>
      <c r="Q45" s="353"/>
      <c r="R45" s="353"/>
    </row>
    <row r="46" spans="1:18" s="358" customFormat="1" ht="13.8">
      <c r="A46" s="358" t="s">
        <v>914</v>
      </c>
      <c r="C46" s="351"/>
      <c r="D46" s="358">
        <f t="shared" ref="D46:R46" si="32">D44/(D4+D6+D8)</f>
        <v>6.5795794629258331E-2</v>
      </c>
      <c r="E46" s="358">
        <f t="shared" si="32"/>
        <v>6.7889554174138375E-2</v>
      </c>
      <c r="F46" s="358">
        <f t="shared" si="32"/>
        <v>6.9745162348138184E-2</v>
      </c>
      <c r="G46" s="358">
        <f t="shared" si="32"/>
        <v>7.1366588420228277E-2</v>
      </c>
      <c r="H46" s="358">
        <f t="shared" si="32"/>
        <v>7.2757686972275262E-2</v>
      </c>
      <c r="I46" s="358">
        <f t="shared" si="32"/>
        <v>7.3922200521555903E-2</v>
      </c>
      <c r="J46" s="358">
        <f t="shared" si="32"/>
        <v>7.4863762077605672E-2</v>
      </c>
      <c r="K46" s="358">
        <f t="shared" si="32"/>
        <v>7.5585897634983398E-2</v>
      </c>
      <c r="L46" s="358">
        <f t="shared" si="32"/>
        <v>7.6092028603501824E-2</v>
      </c>
      <c r="M46" s="358">
        <f t="shared" si="32"/>
        <v>7.638547417743087E-2</v>
      </c>
      <c r="N46" s="358">
        <f t="shared" si="32"/>
        <v>7.6469453645143931E-2</v>
      </c>
      <c r="O46" s="358">
        <f t="shared" si="32"/>
        <v>7.6347088640643587E-2</v>
      </c>
      <c r="P46" s="358">
        <f t="shared" si="32"/>
        <v>7.6021405338368403E-2</v>
      </c>
      <c r="Q46" s="358">
        <f t="shared" si="32"/>
        <v>7.5495336592642334E-2</v>
      </c>
      <c r="R46" s="358">
        <f t="shared" si="32"/>
        <v>7.477172402310478E-2</v>
      </c>
    </row>
    <row r="47" spans="1:18" s="358" customFormat="1" ht="13.8">
      <c r="A47" s="358" t="s">
        <v>915</v>
      </c>
      <c r="C47" s="351"/>
      <c r="D47" s="358">
        <f t="shared" ref="D47:R47" si="33">D44/D42</f>
        <v>0.25217032587843596</v>
      </c>
      <c r="E47" s="358">
        <f t="shared" si="33"/>
        <v>0.26669978489821095</v>
      </c>
      <c r="F47" s="358">
        <f t="shared" si="33"/>
        <v>0.28083915887756256</v>
      </c>
      <c r="G47" s="358">
        <f t="shared" si="33"/>
        <v>0.2945522712808476</v>
      </c>
      <c r="H47" s="358">
        <f t="shared" si="33"/>
        <v>0.30780111514156311</v>
      </c>
      <c r="I47" s="358">
        <f t="shared" si="33"/>
        <v>0.32054577486769908</v>
      </c>
      <c r="J47" s="358">
        <f t="shared" si="33"/>
        <v>0.33274434495658045</v>
      </c>
      <c r="K47" s="358">
        <f t="shared" si="33"/>
        <v>0.34435284550216227</v>
      </c>
      <c r="L47" s="358">
        <f t="shared" si="33"/>
        <v>0.3553251343734587</v>
      </c>
      <c r="M47" s="358">
        <f t="shared" si="33"/>
        <v>0.3656128159382856</v>
      </c>
      <c r="N47" s="358">
        <f t="shared" si="33"/>
        <v>0.37516514620186786</v>
      </c>
      <c r="O47" s="358">
        <f t="shared" si="33"/>
        <v>0.38392893422506158</v>
      </c>
      <c r="P47" s="358">
        <f t="shared" si="33"/>
        <v>0.39184843968197286</v>
      </c>
      <c r="Q47" s="358">
        <f t="shared" si="33"/>
        <v>0.39886526641156067</v>
      </c>
      <c r="R47" s="358">
        <f t="shared" si="33"/>
        <v>0.40491825181252072</v>
      </c>
    </row>
    <row r="48" spans="1:18" s="359" customFormat="1" ht="13.8">
      <c r="A48" s="359" t="s">
        <v>913</v>
      </c>
      <c r="C48" s="360"/>
      <c r="D48" s="359">
        <f t="shared" ref="D48:R48" si="34">D36/D42</f>
        <v>1.252170325878436</v>
      </c>
      <c r="E48" s="359">
        <f t="shared" si="34"/>
        <v>1.2666997848982109</v>
      </c>
      <c r="F48" s="359">
        <f t="shared" si="34"/>
        <v>1.2808391588775625</v>
      </c>
      <c r="G48" s="359">
        <f t="shared" si="34"/>
        <v>1.2945522712808475</v>
      </c>
      <c r="H48" s="359">
        <f t="shared" si="34"/>
        <v>1.3078011151415632</v>
      </c>
      <c r="I48" s="359">
        <f t="shared" si="34"/>
        <v>1.320545774867699</v>
      </c>
      <c r="J48" s="359">
        <f t="shared" si="34"/>
        <v>1.3327443449565803</v>
      </c>
      <c r="K48" s="359">
        <f t="shared" si="34"/>
        <v>1.3443528455021623</v>
      </c>
      <c r="L48" s="359">
        <f t="shared" si="34"/>
        <v>1.3553251343734587</v>
      </c>
      <c r="M48" s="359">
        <f t="shared" si="34"/>
        <v>1.3656128159382857</v>
      </c>
      <c r="N48" s="359">
        <f t="shared" si="34"/>
        <v>1.3751651462018679</v>
      </c>
      <c r="O48" s="359">
        <f t="shared" si="34"/>
        <v>1.3839289342250616</v>
      </c>
      <c r="P48" s="359">
        <f t="shared" si="34"/>
        <v>1.3918484396819728</v>
      </c>
      <c r="Q48" s="359">
        <f t="shared" si="34"/>
        <v>1.3988652664115606</v>
      </c>
      <c r="R48" s="359">
        <f t="shared" si="34"/>
        <v>1.4049182518125207</v>
      </c>
    </row>
    <row r="49" spans="1:19" s="338" customFormat="1" ht="13.8">
      <c r="A49" s="361"/>
      <c r="B49" s="361"/>
      <c r="C49" s="362"/>
      <c r="D49" s="363"/>
      <c r="E49" s="363"/>
      <c r="F49" s="363"/>
      <c r="G49" s="363"/>
      <c r="H49" s="363"/>
      <c r="I49" s="363"/>
      <c r="J49" s="363"/>
      <c r="K49" s="363"/>
      <c r="L49" s="363"/>
      <c r="M49" s="363"/>
      <c r="N49" s="363"/>
      <c r="O49" s="363"/>
      <c r="P49" s="363"/>
      <c r="Q49" s="363"/>
      <c r="R49" s="363"/>
    </row>
    <row r="50" spans="1:19" s="6" customFormat="1">
      <c r="A50" s="6" t="s">
        <v>923</v>
      </c>
      <c r="C50" s="1668"/>
      <c r="D50" s="1667"/>
      <c r="E50" s="1667"/>
      <c r="F50" s="1667"/>
      <c r="G50" s="1667"/>
      <c r="H50" s="1667"/>
      <c r="I50" s="1667"/>
      <c r="J50" s="1667"/>
      <c r="K50" s="1667"/>
      <c r="L50" s="1667"/>
      <c r="M50" s="1667"/>
      <c r="N50" s="1667"/>
      <c r="O50" s="1667"/>
      <c r="P50" s="1667"/>
      <c r="Q50" s="1667"/>
      <c r="R50" s="1667"/>
    </row>
    <row r="51" spans="1:19" s="673" customFormat="1">
      <c r="A51" s="1887" t="s">
        <v>1382</v>
      </c>
      <c r="B51" s="1887"/>
      <c r="C51" s="1887"/>
      <c r="D51" s="1671"/>
      <c r="E51" s="1671"/>
      <c r="F51" s="1671"/>
      <c r="G51" s="1671"/>
      <c r="H51" s="1671"/>
      <c r="I51" s="1671"/>
      <c r="J51" s="1671"/>
      <c r="K51" s="1671"/>
      <c r="L51" s="1671"/>
      <c r="M51" s="1671"/>
      <c r="N51" s="1671"/>
      <c r="O51" s="1671"/>
      <c r="P51" s="1671"/>
      <c r="Q51" s="1671"/>
      <c r="R51" s="1671"/>
    </row>
    <row r="52" spans="1:19" s="1851" customFormat="1">
      <c r="A52" s="1851" t="s">
        <v>918</v>
      </c>
      <c r="C52" s="1854">
        <v>1.03</v>
      </c>
      <c r="D52" s="1851">
        <v>7500</v>
      </c>
      <c r="E52" s="1851">
        <f t="shared" ref="E52:R52" si="35">D52*$C$52</f>
        <v>7725</v>
      </c>
      <c r="F52" s="1851">
        <f t="shared" si="35"/>
        <v>7956.75</v>
      </c>
      <c r="G52" s="1851">
        <f t="shared" si="35"/>
        <v>8195.4524999999994</v>
      </c>
      <c r="H52" s="1851">
        <f t="shared" si="35"/>
        <v>8441.3160749999988</v>
      </c>
      <c r="I52" s="1851">
        <f t="shared" si="35"/>
        <v>8694.5555572499998</v>
      </c>
      <c r="J52" s="1851">
        <f t="shared" si="35"/>
        <v>8955.3922239674994</v>
      </c>
      <c r="K52" s="1851">
        <f t="shared" si="35"/>
        <v>9224.0539906865251</v>
      </c>
      <c r="L52" s="1851">
        <f t="shared" si="35"/>
        <v>9500.7756104071213</v>
      </c>
      <c r="M52" s="1851">
        <f t="shared" si="35"/>
        <v>9785.7988787193353</v>
      </c>
      <c r="N52" s="1851">
        <f t="shared" si="35"/>
        <v>10079.372845080916</v>
      </c>
      <c r="O52" s="1851">
        <f t="shared" si="35"/>
        <v>10381.754030433343</v>
      </c>
      <c r="P52" s="1851">
        <f t="shared" si="35"/>
        <v>10693.206651346343</v>
      </c>
      <c r="Q52" s="1851">
        <f t="shared" si="35"/>
        <v>11014.002850886734</v>
      </c>
      <c r="R52" s="1851">
        <f t="shared" si="35"/>
        <v>11344.422936413337</v>
      </c>
    </row>
    <row r="53" spans="1:19" s="1851" customFormat="1">
      <c r="A53" s="1851" t="s">
        <v>917</v>
      </c>
      <c r="C53" s="1852"/>
      <c r="D53" s="1851">
        <f>MIN(D44-D52,D85)</f>
        <v>17500</v>
      </c>
      <c r="E53" s="1851">
        <f t="shared" ref="E53:R53" si="36">MIN(E44-E52,E85)</f>
        <v>18025</v>
      </c>
      <c r="F53" s="1851">
        <f t="shared" si="36"/>
        <v>18565.75</v>
      </c>
      <c r="G53" s="1851">
        <f t="shared" si="36"/>
        <v>19122.7225</v>
      </c>
      <c r="H53" s="1851">
        <f t="shared" si="36"/>
        <v>19696.404175</v>
      </c>
      <c r="I53" s="1851">
        <f t="shared" si="36"/>
        <v>20287.29630025</v>
      </c>
      <c r="J53" s="1851">
        <f t="shared" si="36"/>
        <v>20895.915189257499</v>
      </c>
      <c r="K53" s="1851">
        <f t="shared" si="36"/>
        <v>21522.792644935224</v>
      </c>
      <c r="L53" s="1851">
        <f t="shared" si="36"/>
        <v>22168.476424283283</v>
      </c>
      <c r="M53" s="1851">
        <f t="shared" si="36"/>
        <v>22833.530717011781</v>
      </c>
      <c r="N53" s="1851">
        <f t="shared" si="36"/>
        <v>23518.536638522135</v>
      </c>
      <c r="O53" s="1851">
        <f t="shared" si="36"/>
        <v>24224.092737677798</v>
      </c>
      <c r="P53" s="1851">
        <f t="shared" si="36"/>
        <v>24950.815519808133</v>
      </c>
      <c r="Q53" s="1851">
        <f t="shared" si="36"/>
        <v>25699.339985402377</v>
      </c>
      <c r="R53" s="1851">
        <f t="shared" si="36"/>
        <v>26470.32018496445</v>
      </c>
    </row>
    <row r="54" spans="1:19" s="1851" customFormat="1">
      <c r="A54" s="1851" t="s">
        <v>2122</v>
      </c>
      <c r="C54" s="1853"/>
      <c r="D54" s="1851">
        <f>MIN(D44-D52-D53,C83)</f>
        <v>137602.20000000019</v>
      </c>
      <c r="E54" s="1851">
        <f t="shared" ref="E54:R54" si="37">MIN(E44-E52-E53,D83)</f>
        <v>146220.95500000031</v>
      </c>
      <c r="F54" s="1851">
        <f t="shared" si="37"/>
        <v>154565.67887499998</v>
      </c>
      <c r="G54" s="1851">
        <f t="shared" si="37"/>
        <v>162612.3695968746</v>
      </c>
      <c r="H54" s="1851">
        <f t="shared" si="37"/>
        <v>170335.82460554643</v>
      </c>
      <c r="I54" s="1851">
        <f t="shared" si="37"/>
        <v>177709.58978071593</v>
      </c>
      <c r="J54" s="1851">
        <f t="shared" si="37"/>
        <v>184705.90640257258</v>
      </c>
      <c r="K54" s="1851">
        <f t="shared" si="37"/>
        <v>191295.65602547303</v>
      </c>
      <c r="L54" s="1851">
        <f t="shared" si="37"/>
        <v>197448.30318579386</v>
      </c>
      <c r="M54" s="1851">
        <f t="shared" si="37"/>
        <v>203131.83586225077</v>
      </c>
      <c r="N54" s="1851">
        <f t="shared" si="37"/>
        <v>208312.70360396957</v>
      </c>
      <c r="O54" s="1851">
        <f t="shared" si="37"/>
        <v>212955.75323848505</v>
      </c>
      <c r="P54" s="1851">
        <f t="shared" si="37"/>
        <v>217024.16206861814</v>
      </c>
      <c r="Q54" s="1851">
        <f t="shared" si="37"/>
        <v>220479.36846381574</v>
      </c>
      <c r="R54" s="1851">
        <f t="shared" si="37"/>
        <v>223280.9997481055</v>
      </c>
    </row>
    <row r="55" spans="1:19" s="673" customFormat="1" hidden="1">
      <c r="C55" s="1666"/>
      <c r="D55" s="1671"/>
      <c r="E55" s="1671">
        <f t="shared" ref="E55:Q55" si="38">D55*$C$52</f>
        <v>0</v>
      </c>
      <c r="F55" s="1671">
        <f t="shared" si="38"/>
        <v>0</v>
      </c>
      <c r="G55" s="1671">
        <f t="shared" si="38"/>
        <v>0</v>
      </c>
      <c r="H55" s="1671">
        <f t="shared" si="38"/>
        <v>0</v>
      </c>
      <c r="I55" s="1671">
        <f t="shared" si="38"/>
        <v>0</v>
      </c>
      <c r="J55" s="1671">
        <f t="shared" si="38"/>
        <v>0</v>
      </c>
      <c r="K55" s="1671">
        <f t="shared" si="38"/>
        <v>0</v>
      </c>
      <c r="L55" s="1671">
        <f t="shared" si="38"/>
        <v>0</v>
      </c>
      <c r="M55" s="1671">
        <f t="shared" si="38"/>
        <v>0</v>
      </c>
      <c r="N55" s="1671">
        <f t="shared" si="38"/>
        <v>0</v>
      </c>
      <c r="O55" s="1671">
        <f t="shared" si="38"/>
        <v>0</v>
      </c>
      <c r="P55" s="1671">
        <f t="shared" si="38"/>
        <v>0</v>
      </c>
      <c r="Q55" s="1671">
        <f t="shared" si="38"/>
        <v>0</v>
      </c>
      <c r="R55" s="1671">
        <f t="shared" ref="R55:R58" si="39">Q55*$C$52</f>
        <v>0</v>
      </c>
    </row>
    <row r="56" spans="1:19" s="673" customFormat="1" hidden="1">
      <c r="A56" s="1669"/>
      <c r="C56" s="1666"/>
      <c r="D56" s="1671"/>
      <c r="E56" s="1671">
        <f t="shared" ref="E56:Q56" si="40">D56*$C$52</f>
        <v>0</v>
      </c>
      <c r="F56" s="1671">
        <f t="shared" si="40"/>
        <v>0</v>
      </c>
      <c r="G56" s="1671">
        <f t="shared" si="40"/>
        <v>0</v>
      </c>
      <c r="H56" s="1671">
        <f t="shared" si="40"/>
        <v>0</v>
      </c>
      <c r="I56" s="1671">
        <f t="shared" si="40"/>
        <v>0</v>
      </c>
      <c r="J56" s="1671">
        <f t="shared" si="40"/>
        <v>0</v>
      </c>
      <c r="K56" s="1671">
        <f t="shared" si="40"/>
        <v>0</v>
      </c>
      <c r="L56" s="1671">
        <f t="shared" si="40"/>
        <v>0</v>
      </c>
      <c r="M56" s="1671">
        <f t="shared" si="40"/>
        <v>0</v>
      </c>
      <c r="N56" s="1671">
        <f t="shared" si="40"/>
        <v>0</v>
      </c>
      <c r="O56" s="1671">
        <f t="shared" si="40"/>
        <v>0</v>
      </c>
      <c r="P56" s="1671">
        <f t="shared" si="40"/>
        <v>0</v>
      </c>
      <c r="Q56" s="1671">
        <f t="shared" si="40"/>
        <v>0</v>
      </c>
      <c r="R56" s="1671">
        <f t="shared" si="39"/>
        <v>0</v>
      </c>
    </row>
    <row r="57" spans="1:19" s="673" customFormat="1" hidden="1">
      <c r="C57" s="1666"/>
      <c r="D57" s="1671"/>
      <c r="E57" s="1671">
        <f t="shared" ref="E57:Q57" si="41">D57*$C$52</f>
        <v>0</v>
      </c>
      <c r="F57" s="1671">
        <f t="shared" si="41"/>
        <v>0</v>
      </c>
      <c r="G57" s="1671">
        <f t="shared" si="41"/>
        <v>0</v>
      </c>
      <c r="H57" s="1671">
        <f t="shared" si="41"/>
        <v>0</v>
      </c>
      <c r="I57" s="1671">
        <f t="shared" si="41"/>
        <v>0</v>
      </c>
      <c r="J57" s="1671">
        <f t="shared" si="41"/>
        <v>0</v>
      </c>
      <c r="K57" s="1671">
        <f t="shared" si="41"/>
        <v>0</v>
      </c>
      <c r="L57" s="1671">
        <f t="shared" si="41"/>
        <v>0</v>
      </c>
      <c r="M57" s="1671">
        <f t="shared" si="41"/>
        <v>0</v>
      </c>
      <c r="N57" s="1671">
        <f t="shared" si="41"/>
        <v>0</v>
      </c>
      <c r="O57" s="1671">
        <f t="shared" si="41"/>
        <v>0</v>
      </c>
      <c r="P57" s="1671">
        <f t="shared" si="41"/>
        <v>0</v>
      </c>
      <c r="Q57" s="1671">
        <f t="shared" si="41"/>
        <v>0</v>
      </c>
      <c r="R57" s="1671">
        <f t="shared" si="39"/>
        <v>0</v>
      </c>
    </row>
    <row r="58" spans="1:19" s="673" customFormat="1" hidden="1">
      <c r="C58" s="1666"/>
      <c r="D58" s="1842"/>
      <c r="E58" s="1842">
        <f t="shared" ref="E58:Q58" si="42">D58*$C$52</f>
        <v>0</v>
      </c>
      <c r="F58" s="1842">
        <f t="shared" si="42"/>
        <v>0</v>
      </c>
      <c r="G58" s="1842">
        <f t="shared" si="42"/>
        <v>0</v>
      </c>
      <c r="H58" s="1842">
        <f t="shared" si="42"/>
        <v>0</v>
      </c>
      <c r="I58" s="1842">
        <f t="shared" si="42"/>
        <v>0</v>
      </c>
      <c r="J58" s="1842">
        <f t="shared" si="42"/>
        <v>0</v>
      </c>
      <c r="K58" s="1842">
        <f t="shared" si="42"/>
        <v>0</v>
      </c>
      <c r="L58" s="1842">
        <f t="shared" si="42"/>
        <v>0</v>
      </c>
      <c r="M58" s="1842">
        <f t="shared" si="42"/>
        <v>0</v>
      </c>
      <c r="N58" s="1842">
        <f t="shared" si="42"/>
        <v>0</v>
      </c>
      <c r="O58" s="1842">
        <f t="shared" si="42"/>
        <v>0</v>
      </c>
      <c r="P58" s="1842">
        <f t="shared" si="42"/>
        <v>0</v>
      </c>
      <c r="Q58" s="1842">
        <f t="shared" si="42"/>
        <v>0</v>
      </c>
      <c r="R58" s="1842">
        <f t="shared" si="39"/>
        <v>0</v>
      </c>
    </row>
    <row r="59" spans="1:19" s="673" customFormat="1" hidden="1">
      <c r="A59" s="1669" t="s">
        <v>916</v>
      </c>
      <c r="C59" s="1843"/>
      <c r="D59" s="1671">
        <f t="shared" ref="D59:R59" si="43">SUM(D52:D58)</f>
        <v>162602.20000000019</v>
      </c>
      <c r="E59" s="1671">
        <f t="shared" si="43"/>
        <v>171970.95500000031</v>
      </c>
      <c r="F59" s="1671">
        <f t="shared" si="43"/>
        <v>181088.17887499998</v>
      </c>
      <c r="G59" s="1671">
        <f t="shared" si="43"/>
        <v>189930.54459687459</v>
      </c>
      <c r="H59" s="1671">
        <f t="shared" si="43"/>
        <v>198473.54485554644</v>
      </c>
      <c r="I59" s="1671">
        <f t="shared" si="43"/>
        <v>206691.44163821594</v>
      </c>
      <c r="J59" s="1671">
        <f t="shared" si="43"/>
        <v>214557.21381579759</v>
      </c>
      <c r="K59" s="1671">
        <f t="shared" si="43"/>
        <v>222042.50266109477</v>
      </c>
      <c r="L59" s="1671">
        <f t="shared" si="43"/>
        <v>229117.55522048427</v>
      </c>
      <c r="M59" s="1671">
        <f t="shared" si="43"/>
        <v>235751.16545798187</v>
      </c>
      <c r="N59" s="1671">
        <f t="shared" si="43"/>
        <v>241910.61308757262</v>
      </c>
      <c r="O59" s="1671">
        <f t="shared" si="43"/>
        <v>247561.60000659619</v>
      </c>
      <c r="P59" s="1671">
        <f t="shared" si="43"/>
        <v>252668.18423977261</v>
      </c>
      <c r="Q59" s="1671">
        <f t="shared" si="43"/>
        <v>257192.71130010486</v>
      </c>
      <c r="R59" s="1671">
        <f t="shared" si="43"/>
        <v>261095.74286948331</v>
      </c>
    </row>
    <row r="60" spans="1:19" s="673" customFormat="1" ht="12.75" hidden="1" customHeight="1">
      <c r="A60" s="1669"/>
      <c r="C60" s="1843"/>
      <c r="D60" s="1671"/>
      <c r="E60" s="1671"/>
      <c r="F60" s="1671"/>
      <c r="G60" s="1671"/>
      <c r="H60" s="1671"/>
      <c r="I60" s="1671"/>
      <c r="J60" s="1671"/>
      <c r="K60" s="1671"/>
      <c r="L60" s="1671"/>
      <c r="M60" s="1671"/>
      <c r="N60" s="1671"/>
      <c r="O60" s="1671"/>
      <c r="P60" s="1671"/>
      <c r="Q60" s="1671"/>
      <c r="R60" s="1671"/>
    </row>
    <row r="61" spans="1:19" s="1669" customFormat="1" hidden="1">
      <c r="A61" s="1669" t="s">
        <v>919</v>
      </c>
      <c r="C61" s="1844"/>
      <c r="D61" s="1669">
        <f t="shared" ref="D61:R61" si="44">D44-D59</f>
        <v>0</v>
      </c>
      <c r="E61" s="1669">
        <f t="shared" si="44"/>
        <v>0</v>
      </c>
      <c r="F61" s="1669">
        <f t="shared" si="44"/>
        <v>0</v>
      </c>
      <c r="G61" s="1669">
        <f t="shared" si="44"/>
        <v>0</v>
      </c>
      <c r="H61" s="1669">
        <f t="shared" si="44"/>
        <v>0</v>
      </c>
      <c r="I61" s="1669">
        <f t="shared" si="44"/>
        <v>0</v>
      </c>
      <c r="J61" s="1669">
        <f t="shared" si="44"/>
        <v>0</v>
      </c>
      <c r="K61" s="1669">
        <f t="shared" si="44"/>
        <v>0</v>
      </c>
      <c r="L61" s="1669">
        <f t="shared" si="44"/>
        <v>0</v>
      </c>
      <c r="M61" s="1669">
        <f t="shared" si="44"/>
        <v>0</v>
      </c>
      <c r="N61" s="1669">
        <f t="shared" si="44"/>
        <v>0</v>
      </c>
      <c r="O61" s="1669">
        <f t="shared" si="44"/>
        <v>0</v>
      </c>
      <c r="P61" s="1669">
        <f t="shared" si="44"/>
        <v>0</v>
      </c>
      <c r="Q61" s="1669">
        <f t="shared" si="44"/>
        <v>0</v>
      </c>
      <c r="R61" s="1669">
        <f t="shared" si="44"/>
        <v>0</v>
      </c>
    </row>
    <row r="62" spans="1:19" s="673" customFormat="1" ht="8.25" customHeight="1">
      <c r="C62" s="1843"/>
      <c r="D62" s="1671"/>
      <c r="E62" s="1671"/>
      <c r="F62" s="1671"/>
      <c r="G62" s="1671"/>
      <c r="H62" s="1671"/>
      <c r="I62" s="1671"/>
      <c r="J62" s="1671"/>
      <c r="K62" s="1671"/>
      <c r="L62" s="1671"/>
      <c r="M62" s="1671"/>
      <c r="N62" s="1671"/>
      <c r="O62" s="1671"/>
      <c r="P62" s="1671"/>
      <c r="Q62" s="1671"/>
      <c r="R62" s="1671"/>
    </row>
    <row r="63" spans="1:19" s="1669" customFormat="1">
      <c r="A63" s="1669" t="s">
        <v>2634</v>
      </c>
      <c r="C63" s="1845">
        <v>0.5</v>
      </c>
      <c r="D63" s="1671">
        <f t="shared" ref="D63:R63" si="45">D61*$C$63</f>
        <v>0</v>
      </c>
      <c r="E63" s="1671">
        <f t="shared" si="45"/>
        <v>0</v>
      </c>
      <c r="F63" s="1671">
        <f t="shared" si="45"/>
        <v>0</v>
      </c>
      <c r="G63" s="1671">
        <f t="shared" si="45"/>
        <v>0</v>
      </c>
      <c r="H63" s="1671">
        <f t="shared" si="45"/>
        <v>0</v>
      </c>
      <c r="I63" s="1671">
        <f t="shared" si="45"/>
        <v>0</v>
      </c>
      <c r="J63" s="1671">
        <f t="shared" si="45"/>
        <v>0</v>
      </c>
      <c r="K63" s="1671">
        <f t="shared" si="45"/>
        <v>0</v>
      </c>
      <c r="L63" s="1671">
        <f t="shared" si="45"/>
        <v>0</v>
      </c>
      <c r="M63" s="1671">
        <f t="shared" si="45"/>
        <v>0</v>
      </c>
      <c r="N63" s="1671">
        <f t="shared" si="45"/>
        <v>0</v>
      </c>
      <c r="O63" s="1671">
        <f t="shared" si="45"/>
        <v>0</v>
      </c>
      <c r="P63" s="1671">
        <f t="shared" si="45"/>
        <v>0</v>
      </c>
      <c r="Q63" s="1671">
        <f t="shared" si="45"/>
        <v>0</v>
      </c>
      <c r="R63" s="1671">
        <f t="shared" si="45"/>
        <v>0</v>
      </c>
      <c r="S63" s="1671"/>
    </row>
    <row r="64" spans="1:19" s="1669" customFormat="1">
      <c r="A64" s="1887" t="s">
        <v>1382</v>
      </c>
      <c r="B64" s="1887"/>
      <c r="C64" s="1887"/>
      <c r="D64" s="1671"/>
      <c r="E64" s="1671"/>
      <c r="F64" s="1671"/>
      <c r="G64" s="1671"/>
      <c r="H64" s="1671"/>
      <c r="I64" s="1671"/>
      <c r="J64" s="1671"/>
      <c r="K64" s="1671"/>
      <c r="L64" s="1671"/>
      <c r="M64" s="1671"/>
      <c r="N64" s="1671"/>
      <c r="O64" s="1671"/>
      <c r="P64" s="1671"/>
      <c r="Q64" s="1671"/>
      <c r="R64" s="1671"/>
      <c r="S64" s="1671"/>
    </row>
    <row r="65" spans="1:19" s="673" customFormat="1" ht="8.25" customHeight="1">
      <c r="C65" s="1843"/>
      <c r="D65" s="1671"/>
      <c r="E65" s="1671"/>
      <c r="F65" s="1671"/>
      <c r="G65" s="1671"/>
      <c r="H65" s="1671"/>
      <c r="I65" s="1671"/>
      <c r="J65" s="1671"/>
      <c r="K65" s="1671"/>
      <c r="L65" s="1671"/>
      <c r="M65" s="1671"/>
      <c r="N65" s="1671"/>
      <c r="O65" s="1671"/>
      <c r="P65" s="1671"/>
      <c r="Q65" s="1671"/>
      <c r="R65" s="1671"/>
      <c r="S65" s="1671"/>
    </row>
    <row r="66" spans="1:19" s="673" customFormat="1">
      <c r="A66" s="673" t="s">
        <v>922</v>
      </c>
      <c r="C66" s="1845">
        <v>0.5</v>
      </c>
      <c r="D66" s="1671"/>
      <c r="E66" s="1671"/>
      <c r="F66" s="1671"/>
      <c r="G66" s="1671"/>
      <c r="H66" s="1671"/>
      <c r="I66" s="1671"/>
      <c r="J66" s="1671"/>
      <c r="K66" s="1671"/>
      <c r="L66" s="1671"/>
      <c r="M66" s="1671"/>
      <c r="N66" s="1671"/>
      <c r="O66" s="1671"/>
      <c r="P66" s="1671"/>
      <c r="Q66" s="1671"/>
      <c r="R66" s="1671"/>
      <c r="S66" s="1671"/>
    </row>
    <row r="67" spans="1:19" s="1669" customFormat="1">
      <c r="A67" s="1669" t="str">
        <f>+Application!C638</f>
        <v>SHRA - Housing Trust Fund + MIHF</v>
      </c>
      <c r="C67" s="1855">
        <v>0.33329999999999999</v>
      </c>
      <c r="D67" s="1671">
        <f>D$61*$C$66*$C$67</f>
        <v>0</v>
      </c>
      <c r="E67" s="1671">
        <f t="shared" ref="E67:R67" si="46">E$61*$C$66*$C$67</f>
        <v>0</v>
      </c>
      <c r="F67" s="1671">
        <f t="shared" si="46"/>
        <v>0</v>
      </c>
      <c r="G67" s="1671">
        <f t="shared" si="46"/>
        <v>0</v>
      </c>
      <c r="H67" s="1671">
        <f t="shared" si="46"/>
        <v>0</v>
      </c>
      <c r="I67" s="1671">
        <f t="shared" si="46"/>
        <v>0</v>
      </c>
      <c r="J67" s="1671">
        <f t="shared" si="46"/>
        <v>0</v>
      </c>
      <c r="K67" s="1671">
        <f t="shared" si="46"/>
        <v>0</v>
      </c>
      <c r="L67" s="1671">
        <f t="shared" si="46"/>
        <v>0</v>
      </c>
      <c r="M67" s="1671">
        <f t="shared" si="46"/>
        <v>0</v>
      </c>
      <c r="N67" s="1671">
        <f t="shared" si="46"/>
        <v>0</v>
      </c>
      <c r="O67" s="1671">
        <f t="shared" si="46"/>
        <v>0</v>
      </c>
      <c r="P67" s="1671">
        <f t="shared" si="46"/>
        <v>0</v>
      </c>
      <c r="Q67" s="1671">
        <f t="shared" si="46"/>
        <v>0</v>
      </c>
      <c r="R67" s="1671">
        <f t="shared" si="46"/>
        <v>0</v>
      </c>
      <c r="S67" s="1671"/>
    </row>
    <row r="68" spans="1:19" s="1671" customFormat="1">
      <c r="A68" s="1671" t="str">
        <f>+Application!C639</f>
        <v xml:space="preserve">SHRA/City of Sacramento Loan </v>
      </c>
      <c r="C68" s="1855">
        <v>0.66669999999999996</v>
      </c>
      <c r="D68" s="1671">
        <f>D61*$C$66*$C$68</f>
        <v>0</v>
      </c>
      <c r="E68" s="1671">
        <f t="shared" ref="E68:R68" si="47">E61*$C$66*$C$68</f>
        <v>0</v>
      </c>
      <c r="F68" s="1671">
        <f t="shared" si="47"/>
        <v>0</v>
      </c>
      <c r="G68" s="1671">
        <f t="shared" si="47"/>
        <v>0</v>
      </c>
      <c r="H68" s="1671">
        <f t="shared" si="47"/>
        <v>0</v>
      </c>
      <c r="I68" s="1671">
        <f t="shared" si="47"/>
        <v>0</v>
      </c>
      <c r="J68" s="1671">
        <f t="shared" si="47"/>
        <v>0</v>
      </c>
      <c r="K68" s="1671">
        <f t="shared" si="47"/>
        <v>0</v>
      </c>
      <c r="L68" s="1671">
        <f t="shared" si="47"/>
        <v>0</v>
      </c>
      <c r="M68" s="1671">
        <f t="shared" si="47"/>
        <v>0</v>
      </c>
      <c r="N68" s="1671">
        <f t="shared" si="47"/>
        <v>0</v>
      </c>
      <c r="O68" s="1671">
        <f t="shared" si="47"/>
        <v>0</v>
      </c>
      <c r="P68" s="1671">
        <f t="shared" si="47"/>
        <v>0</v>
      </c>
      <c r="Q68" s="1671">
        <f t="shared" si="47"/>
        <v>0</v>
      </c>
      <c r="R68" s="1671">
        <f t="shared" si="47"/>
        <v>0</v>
      </c>
    </row>
    <row r="69" spans="1:19" s="1671" customFormat="1" hidden="1">
      <c r="C69" s="1670"/>
      <c r="E69" s="1671">
        <f t="shared" ref="E69:Q69" si="48">D69*$C$67</f>
        <v>0</v>
      </c>
      <c r="F69" s="1671">
        <f t="shared" si="48"/>
        <v>0</v>
      </c>
      <c r="G69" s="1671">
        <f t="shared" si="48"/>
        <v>0</v>
      </c>
      <c r="H69" s="1671">
        <f t="shared" si="48"/>
        <v>0</v>
      </c>
      <c r="I69" s="1671">
        <f t="shared" si="48"/>
        <v>0</v>
      </c>
      <c r="J69" s="1671">
        <f t="shared" si="48"/>
        <v>0</v>
      </c>
      <c r="K69" s="1671">
        <f t="shared" si="48"/>
        <v>0</v>
      </c>
      <c r="L69" s="1671">
        <f t="shared" si="48"/>
        <v>0</v>
      </c>
      <c r="M69" s="1671">
        <f t="shared" si="48"/>
        <v>0</v>
      </c>
      <c r="N69" s="1671">
        <f t="shared" si="48"/>
        <v>0</v>
      </c>
      <c r="O69" s="1671">
        <f t="shared" si="48"/>
        <v>0</v>
      </c>
      <c r="P69" s="1671">
        <f t="shared" si="48"/>
        <v>0</v>
      </c>
      <c r="Q69" s="1671">
        <f t="shared" si="48"/>
        <v>0</v>
      </c>
      <c r="R69" s="1671">
        <f t="shared" ref="R69:R70" si="49">Q69*$C$67</f>
        <v>0</v>
      </c>
    </row>
    <row r="70" spans="1:19" s="1671" customFormat="1" hidden="1">
      <c r="C70" s="1670"/>
      <c r="E70" s="1671">
        <f t="shared" ref="E70:Q70" si="50">D70*$C$67</f>
        <v>0</v>
      </c>
      <c r="F70" s="1671">
        <f t="shared" si="50"/>
        <v>0</v>
      </c>
      <c r="G70" s="1671">
        <f t="shared" si="50"/>
        <v>0</v>
      </c>
      <c r="H70" s="1671">
        <f t="shared" si="50"/>
        <v>0</v>
      </c>
      <c r="I70" s="1671">
        <f t="shared" si="50"/>
        <v>0</v>
      </c>
      <c r="J70" s="1671">
        <f t="shared" si="50"/>
        <v>0</v>
      </c>
      <c r="K70" s="1671">
        <f t="shared" si="50"/>
        <v>0</v>
      </c>
      <c r="L70" s="1671">
        <f t="shared" si="50"/>
        <v>0</v>
      </c>
      <c r="M70" s="1671">
        <f t="shared" si="50"/>
        <v>0</v>
      </c>
      <c r="N70" s="1671">
        <f t="shared" si="50"/>
        <v>0</v>
      </c>
      <c r="O70" s="1671">
        <f t="shared" si="50"/>
        <v>0</v>
      </c>
      <c r="P70" s="1671">
        <f t="shared" si="50"/>
        <v>0</v>
      </c>
      <c r="Q70" s="1671">
        <f t="shared" si="50"/>
        <v>0</v>
      </c>
      <c r="R70" s="1671">
        <f t="shared" si="49"/>
        <v>0</v>
      </c>
    </row>
    <row r="71" spans="1:19" s="1671" customFormat="1" hidden="1">
      <c r="A71" s="1669" t="s">
        <v>916</v>
      </c>
      <c r="C71" s="1670"/>
      <c r="D71" s="1671">
        <f t="shared" ref="D71:R71" si="51">SUM(D67:D70)</f>
        <v>0</v>
      </c>
      <c r="E71" s="1671">
        <f t="shared" si="51"/>
        <v>0</v>
      </c>
      <c r="F71" s="1671">
        <f t="shared" si="51"/>
        <v>0</v>
      </c>
      <c r="G71" s="1671">
        <f t="shared" si="51"/>
        <v>0</v>
      </c>
      <c r="H71" s="1671">
        <f t="shared" si="51"/>
        <v>0</v>
      </c>
      <c r="I71" s="1671">
        <f t="shared" si="51"/>
        <v>0</v>
      </c>
      <c r="J71" s="1671">
        <f t="shared" si="51"/>
        <v>0</v>
      </c>
      <c r="K71" s="1671">
        <f t="shared" si="51"/>
        <v>0</v>
      </c>
      <c r="L71" s="1671">
        <f t="shared" si="51"/>
        <v>0</v>
      </c>
      <c r="M71" s="1671">
        <f t="shared" si="51"/>
        <v>0</v>
      </c>
      <c r="N71" s="1671">
        <f t="shared" si="51"/>
        <v>0</v>
      </c>
      <c r="O71" s="1671">
        <f t="shared" si="51"/>
        <v>0</v>
      </c>
      <c r="P71" s="1671">
        <f t="shared" si="51"/>
        <v>0</v>
      </c>
      <c r="Q71" s="1671">
        <f t="shared" si="51"/>
        <v>0</v>
      </c>
      <c r="R71" s="1671">
        <f t="shared" si="51"/>
        <v>0</v>
      </c>
    </row>
    <row r="72" spans="1:19" s="1671" customFormat="1">
      <c r="A72" s="1669"/>
      <c r="C72" s="1670"/>
    </row>
    <row r="73" spans="1:19" s="1671" customFormat="1">
      <c r="A73" s="1669" t="s">
        <v>2217</v>
      </c>
      <c r="C73" s="1670"/>
      <c r="D73" s="1671">
        <f t="shared" ref="D73:R73" si="52">D61-D63-D71</f>
        <v>0</v>
      </c>
      <c r="E73" s="1671">
        <f t="shared" si="52"/>
        <v>0</v>
      </c>
      <c r="F73" s="1671">
        <f t="shared" si="52"/>
        <v>0</v>
      </c>
      <c r="G73" s="1671">
        <f t="shared" si="52"/>
        <v>0</v>
      </c>
      <c r="H73" s="1671">
        <f t="shared" si="52"/>
        <v>0</v>
      </c>
      <c r="I73" s="1671">
        <f t="shared" si="52"/>
        <v>0</v>
      </c>
      <c r="J73" s="1671">
        <f t="shared" si="52"/>
        <v>0</v>
      </c>
      <c r="K73" s="1671">
        <f t="shared" si="52"/>
        <v>0</v>
      </c>
      <c r="L73" s="1671">
        <f t="shared" si="52"/>
        <v>0</v>
      </c>
      <c r="M73" s="1671">
        <f t="shared" si="52"/>
        <v>0</v>
      </c>
      <c r="N73" s="1671">
        <f t="shared" si="52"/>
        <v>0</v>
      </c>
      <c r="O73" s="1671">
        <f t="shared" si="52"/>
        <v>0</v>
      </c>
      <c r="P73" s="1671">
        <f t="shared" si="52"/>
        <v>0</v>
      </c>
      <c r="Q73" s="1671">
        <f t="shared" si="52"/>
        <v>0</v>
      </c>
      <c r="R73" s="1671">
        <f t="shared" si="52"/>
        <v>0</v>
      </c>
    </row>
    <row r="74" spans="1:19" s="1671" customFormat="1">
      <c r="A74" s="1846"/>
      <c r="C74" s="1670"/>
    </row>
    <row r="75" spans="1:19" s="1847" customFormat="1">
      <c r="A75" s="1846"/>
      <c r="C75" s="1848"/>
      <c r="D75" s="1671"/>
      <c r="E75" s="1671"/>
      <c r="F75" s="1671"/>
      <c r="G75" s="1671"/>
      <c r="H75" s="1671"/>
      <c r="I75" s="1671"/>
      <c r="J75" s="1671"/>
      <c r="K75" s="1671"/>
      <c r="L75" s="1671"/>
      <c r="M75" s="1671"/>
      <c r="N75" s="1671"/>
      <c r="O75" s="1671"/>
      <c r="P75" s="1671"/>
      <c r="Q75" s="1671"/>
      <c r="R75" s="1671"/>
      <c r="S75" s="1671"/>
    </row>
    <row r="76" spans="1:19" s="1847" customFormat="1">
      <c r="A76" s="1671" t="s">
        <v>2216</v>
      </c>
      <c r="C76" s="1848"/>
    </row>
    <row r="77" spans="1:19" s="1847" customFormat="1">
      <c r="C77" s="1848"/>
    </row>
    <row r="78" spans="1:19" s="1850" customFormat="1" ht="30" customHeight="1">
      <c r="A78" s="1671" t="s">
        <v>2215</v>
      </c>
      <c r="B78" s="1849"/>
      <c r="C78" s="1849"/>
      <c r="D78" s="1849"/>
      <c r="E78" s="1849"/>
      <c r="F78" s="1849"/>
      <c r="G78" s="1849"/>
      <c r="H78" s="1849"/>
      <c r="I78" s="1849"/>
      <c r="J78" s="1849"/>
      <c r="K78" s="1849"/>
      <c r="L78" s="1849"/>
      <c r="M78" s="1849"/>
      <c r="N78" s="1849"/>
      <c r="O78" s="1849"/>
      <c r="P78" s="1849"/>
      <c r="Q78" s="1849"/>
      <c r="R78" s="1849"/>
    </row>
    <row r="79" spans="1:19" s="346" customFormat="1">
      <c r="C79" s="348"/>
    </row>
    <row r="80" spans="1:19" s="346" customFormat="1">
      <c r="C80" s="348"/>
    </row>
    <row r="81" spans="1:18" s="346" customFormat="1">
      <c r="C81" s="348"/>
    </row>
    <row r="82" spans="1:18" s="346" customFormat="1">
      <c r="C82" s="348"/>
    </row>
    <row r="83" spans="1:18" s="346" customFormat="1">
      <c r="A83" s="346" t="str">
        <f>+Application!C640</f>
        <v>Defered Developer Fee</v>
      </c>
      <c r="C83" s="348">
        <f>+Application!AO640</f>
        <v>9568635</v>
      </c>
      <c r="D83" s="346">
        <f>+C83-D54</f>
        <v>9431032.8000000007</v>
      </c>
      <c r="E83" s="346">
        <f t="shared" ref="E83:R83" si="53">+D83-E54</f>
        <v>9284811.8450000007</v>
      </c>
      <c r="F83" s="346">
        <f t="shared" si="53"/>
        <v>9130246.1661250014</v>
      </c>
      <c r="G83" s="346">
        <f t="shared" si="53"/>
        <v>8967633.796528127</v>
      </c>
      <c r="H83" s="346">
        <f t="shared" si="53"/>
        <v>8797297.9719225802</v>
      </c>
      <c r="I83" s="346">
        <f t="shared" si="53"/>
        <v>8619588.3821418639</v>
      </c>
      <c r="J83" s="346">
        <f t="shared" si="53"/>
        <v>8434882.4757392909</v>
      </c>
      <c r="K83" s="346">
        <f t="shared" si="53"/>
        <v>8243586.8197138179</v>
      </c>
      <c r="L83" s="346">
        <f t="shared" si="53"/>
        <v>8046138.5165280243</v>
      </c>
      <c r="M83" s="346">
        <f t="shared" si="53"/>
        <v>7843006.6806657733</v>
      </c>
      <c r="N83" s="346">
        <f t="shared" si="53"/>
        <v>7634693.9770618035</v>
      </c>
      <c r="O83" s="346">
        <f t="shared" si="53"/>
        <v>7421738.2238233183</v>
      </c>
      <c r="P83" s="346">
        <f t="shared" si="53"/>
        <v>7204714.0617546998</v>
      </c>
      <c r="Q83" s="346">
        <f t="shared" si="53"/>
        <v>6984234.6932908837</v>
      </c>
      <c r="R83" s="346">
        <f t="shared" si="53"/>
        <v>6760953.6935427785</v>
      </c>
    </row>
    <row r="84" spans="1:18" s="346" customFormat="1">
      <c r="C84" s="348"/>
    </row>
    <row r="85" spans="1:18" s="346" customFormat="1">
      <c r="A85" s="1667" t="s">
        <v>2633</v>
      </c>
      <c r="C85" s="1854">
        <v>1.03</v>
      </c>
      <c r="D85" s="346">
        <v>17500</v>
      </c>
      <c r="E85" s="346">
        <f>+D85*$C$85</f>
        <v>18025</v>
      </c>
      <c r="F85" s="346">
        <f t="shared" ref="F85:R85" si="54">+E85*$C$85</f>
        <v>18565.75</v>
      </c>
      <c r="G85" s="346">
        <f t="shared" si="54"/>
        <v>19122.7225</v>
      </c>
      <c r="H85" s="346">
        <f t="shared" si="54"/>
        <v>19696.404175</v>
      </c>
      <c r="I85" s="346">
        <f t="shared" si="54"/>
        <v>20287.29630025</v>
      </c>
      <c r="J85" s="346">
        <f t="shared" si="54"/>
        <v>20895.915189257499</v>
      </c>
      <c r="K85" s="346">
        <f t="shared" si="54"/>
        <v>21522.792644935224</v>
      </c>
      <c r="L85" s="346">
        <f t="shared" si="54"/>
        <v>22168.476424283283</v>
      </c>
      <c r="M85" s="346">
        <f t="shared" si="54"/>
        <v>22833.530717011781</v>
      </c>
      <c r="N85" s="346">
        <f t="shared" si="54"/>
        <v>23518.536638522135</v>
      </c>
      <c r="O85" s="346">
        <f t="shared" si="54"/>
        <v>24224.092737677798</v>
      </c>
      <c r="P85" s="346">
        <f t="shared" si="54"/>
        <v>24950.815519808133</v>
      </c>
      <c r="Q85" s="346">
        <f t="shared" si="54"/>
        <v>25699.339985402377</v>
      </c>
      <c r="R85" s="346">
        <f t="shared" si="54"/>
        <v>26470.32018496445</v>
      </c>
    </row>
    <row r="86" spans="1:18" s="346" customFormat="1">
      <c r="C86" s="348"/>
    </row>
    <row r="87" spans="1:18" s="346" customFormat="1">
      <c r="C87" s="348"/>
    </row>
    <row r="88" spans="1:18" s="346" customFormat="1">
      <c r="C88" s="348"/>
    </row>
    <row r="89" spans="1:18" s="346" customFormat="1">
      <c r="C89" s="348"/>
    </row>
    <row r="90" spans="1:18" s="346" customFormat="1">
      <c r="C90" s="348"/>
    </row>
    <row r="91" spans="1:18" s="346" customFormat="1">
      <c r="C91" s="348"/>
    </row>
    <row r="92" spans="1:18" s="346" customFormat="1">
      <c r="C92" s="348"/>
    </row>
    <row r="93" spans="1:18" s="346" customFormat="1">
      <c r="C93" s="348"/>
    </row>
    <row r="94" spans="1:18" s="346" customFormat="1">
      <c r="C94" s="348"/>
    </row>
    <row r="95" spans="1:18" s="346" customFormat="1">
      <c r="C95" s="348"/>
    </row>
    <row r="96" spans="1:18" s="346" customFormat="1">
      <c r="C96" s="348"/>
    </row>
    <row r="97" spans="3:3" s="346" customFormat="1">
      <c r="C97" s="348"/>
    </row>
    <row r="98" spans="3:3" s="346" customFormat="1">
      <c r="C98" s="348"/>
    </row>
    <row r="99" spans="3:3" s="346" customFormat="1">
      <c r="C99" s="348"/>
    </row>
    <row r="100" spans="3:3" s="346" customFormat="1">
      <c r="C100" s="348"/>
    </row>
    <row r="101" spans="3:3" s="346" customFormat="1">
      <c r="C101" s="348"/>
    </row>
    <row r="102" spans="3:3" s="346" customFormat="1">
      <c r="C102" s="348"/>
    </row>
    <row r="103" spans="3:3" s="346" customFormat="1">
      <c r="C103" s="348"/>
    </row>
    <row r="104" spans="3:3" s="346" customFormat="1">
      <c r="C104" s="348"/>
    </row>
    <row r="105" spans="3:3" s="346" customFormat="1">
      <c r="C105" s="348"/>
    </row>
    <row r="106" spans="3:3" s="346" customFormat="1">
      <c r="C106" s="348"/>
    </row>
    <row r="107" spans="3:3" s="346" customFormat="1">
      <c r="C107" s="348"/>
    </row>
    <row r="108" spans="3:3" s="346" customFormat="1">
      <c r="C108" s="348"/>
    </row>
    <row r="109" spans="3:3" s="346" customFormat="1">
      <c r="C109" s="348"/>
    </row>
    <row r="110" spans="3:3" s="346" customFormat="1">
      <c r="C110" s="348"/>
    </row>
    <row r="111" spans="3:3" s="346" customFormat="1">
      <c r="C111" s="348"/>
    </row>
    <row r="112" spans="3:3" s="346" customFormat="1">
      <c r="C112" s="348"/>
    </row>
    <row r="113" spans="3:3" s="346" customFormat="1">
      <c r="C113" s="348"/>
    </row>
    <row r="114" spans="3:3" s="346" customFormat="1">
      <c r="C114" s="348"/>
    </row>
    <row r="115" spans="3:3" s="346" customFormat="1">
      <c r="C115" s="348"/>
    </row>
    <row r="116" spans="3:3" s="346" customFormat="1">
      <c r="C116" s="348"/>
    </row>
    <row r="117" spans="3:3" s="346" customFormat="1">
      <c r="C117" s="348"/>
    </row>
    <row r="118" spans="3:3" s="346" customFormat="1">
      <c r="C118" s="348"/>
    </row>
    <row r="119" spans="3:3" s="346" customFormat="1">
      <c r="C119" s="348"/>
    </row>
    <row r="120" spans="3:3" s="346" customFormat="1">
      <c r="C120" s="348"/>
    </row>
    <row r="121" spans="3:3" s="346" customFormat="1">
      <c r="C121" s="348"/>
    </row>
    <row r="122" spans="3:3" s="346" customFormat="1">
      <c r="C122" s="348"/>
    </row>
    <row r="123" spans="3:3" s="346" customFormat="1">
      <c r="C123" s="348"/>
    </row>
    <row r="124" spans="3:3" s="346" customFormat="1">
      <c r="C124" s="348"/>
    </row>
    <row r="125" spans="3:3" s="346" customFormat="1">
      <c r="C125" s="348"/>
    </row>
    <row r="126" spans="3:3" s="346" customFormat="1">
      <c r="C126" s="348"/>
    </row>
    <row r="127" spans="3:3" s="346" customFormat="1">
      <c r="C127" s="348"/>
    </row>
    <row r="128" spans="3:3" s="346" customFormat="1">
      <c r="C128" s="348"/>
    </row>
    <row r="129" spans="3:3" s="346" customFormat="1">
      <c r="C129" s="348"/>
    </row>
    <row r="130" spans="3:3" s="346" customFormat="1">
      <c r="C130" s="348"/>
    </row>
    <row r="131" spans="3:3" s="346" customFormat="1">
      <c r="C131" s="348"/>
    </row>
    <row r="132" spans="3:3" s="346" customFormat="1">
      <c r="C132" s="348"/>
    </row>
    <row r="133" spans="3:3" s="346" customFormat="1">
      <c r="C133" s="348"/>
    </row>
    <row r="134" spans="3:3" s="346" customFormat="1">
      <c r="C134" s="348"/>
    </row>
    <row r="135" spans="3:3" s="346" customFormat="1">
      <c r="C135" s="348"/>
    </row>
    <row r="136" spans="3:3" s="346" customFormat="1">
      <c r="C136" s="348"/>
    </row>
    <row r="137" spans="3:3" s="346" customFormat="1">
      <c r="C137" s="348"/>
    </row>
    <row r="138" spans="3:3" s="346" customFormat="1">
      <c r="C138" s="348"/>
    </row>
    <row r="139" spans="3:3" s="346" customFormat="1">
      <c r="C139" s="348"/>
    </row>
    <row r="140" spans="3:3" s="346" customFormat="1">
      <c r="C140" s="348"/>
    </row>
    <row r="141" spans="3:3" s="346" customFormat="1">
      <c r="C141" s="348"/>
    </row>
    <row r="142" spans="3:3" s="346" customFormat="1">
      <c r="C142" s="348"/>
    </row>
    <row r="143" spans="3:3" s="346" customFormat="1">
      <c r="C143" s="348"/>
    </row>
    <row r="144" spans="3:3" s="346" customFormat="1">
      <c r="C144" s="348"/>
    </row>
    <row r="145" spans="3:3" s="346" customFormat="1">
      <c r="C145" s="348"/>
    </row>
    <row r="146" spans="3:3" s="346" customFormat="1">
      <c r="C146" s="348"/>
    </row>
    <row r="147" spans="3:3" s="346" customFormat="1">
      <c r="C147" s="348"/>
    </row>
    <row r="148" spans="3:3" s="346" customFormat="1">
      <c r="C148" s="348"/>
    </row>
    <row r="149" spans="3:3" s="346" customFormat="1">
      <c r="C149" s="348"/>
    </row>
    <row r="150" spans="3:3" s="346" customFormat="1">
      <c r="C150" s="348"/>
    </row>
    <row r="151" spans="3:3" s="346" customFormat="1">
      <c r="C151" s="348"/>
    </row>
    <row r="152" spans="3:3" s="346" customFormat="1">
      <c r="C152" s="348"/>
    </row>
    <row r="153" spans="3:3" s="346" customFormat="1">
      <c r="C153" s="348"/>
    </row>
    <row r="154" spans="3:3" s="346" customFormat="1">
      <c r="C154" s="348"/>
    </row>
    <row r="155" spans="3:3" s="346" customFormat="1">
      <c r="C155" s="348"/>
    </row>
    <row r="156" spans="3:3" s="346" customFormat="1">
      <c r="C156" s="348"/>
    </row>
    <row r="157" spans="3:3" s="346" customFormat="1">
      <c r="C157" s="348"/>
    </row>
    <row r="158" spans="3:3" s="346" customFormat="1">
      <c r="C158" s="348"/>
    </row>
    <row r="159" spans="3:3" s="346" customFormat="1">
      <c r="C159" s="348"/>
    </row>
    <row r="160" spans="3:3" s="346" customFormat="1">
      <c r="C160" s="348"/>
    </row>
    <row r="161" spans="3:3" s="346" customFormat="1">
      <c r="C161" s="348"/>
    </row>
    <row r="162" spans="3:3" s="346" customFormat="1">
      <c r="C162" s="348"/>
    </row>
    <row r="163" spans="3:3" s="346" customFormat="1">
      <c r="C163" s="348"/>
    </row>
    <row r="164" spans="3:3" s="346" customFormat="1">
      <c r="C164" s="348"/>
    </row>
    <row r="165" spans="3:3" s="346" customFormat="1">
      <c r="C165" s="348"/>
    </row>
    <row r="166" spans="3:3" s="346" customFormat="1">
      <c r="C166" s="348"/>
    </row>
    <row r="167" spans="3:3" s="346" customFormat="1">
      <c r="C167" s="348"/>
    </row>
    <row r="168" spans="3:3" s="346" customFormat="1">
      <c r="C168" s="348"/>
    </row>
    <row r="169" spans="3:3" s="346" customFormat="1">
      <c r="C169" s="348"/>
    </row>
    <row r="170" spans="3:3" s="346" customFormat="1">
      <c r="C170" s="348"/>
    </row>
    <row r="171" spans="3:3" s="346" customFormat="1">
      <c r="C171" s="348"/>
    </row>
    <row r="172" spans="3:3" s="346" customFormat="1">
      <c r="C172" s="348"/>
    </row>
    <row r="173" spans="3:3" s="346" customFormat="1">
      <c r="C173" s="348"/>
    </row>
    <row r="174" spans="3:3" s="346" customFormat="1">
      <c r="C174" s="348"/>
    </row>
    <row r="175" spans="3:3" s="346" customFormat="1">
      <c r="C175" s="348"/>
    </row>
    <row r="176" spans="3:3" s="346" customFormat="1">
      <c r="C176" s="348"/>
    </row>
    <row r="177" spans="3:3" s="346" customFormat="1">
      <c r="C177" s="348"/>
    </row>
    <row r="178" spans="3:3" s="346" customFormat="1">
      <c r="C178" s="348"/>
    </row>
    <row r="179" spans="3:3" s="346" customFormat="1">
      <c r="C179" s="348"/>
    </row>
    <row r="180" spans="3:3" s="346" customFormat="1">
      <c r="C180" s="348"/>
    </row>
    <row r="181" spans="3:3" s="346" customFormat="1">
      <c r="C181" s="348"/>
    </row>
    <row r="182" spans="3:3" s="346" customFormat="1">
      <c r="C182" s="348"/>
    </row>
    <row r="183" spans="3:3" s="346" customFormat="1">
      <c r="C183" s="348"/>
    </row>
    <row r="184" spans="3:3" s="346" customFormat="1">
      <c r="C184" s="348"/>
    </row>
    <row r="185" spans="3:3" s="346" customFormat="1">
      <c r="C185" s="348"/>
    </row>
    <row r="186" spans="3:3" s="346" customFormat="1">
      <c r="C186" s="348"/>
    </row>
    <row r="187" spans="3:3" s="346" customFormat="1">
      <c r="C187" s="348"/>
    </row>
    <row r="188" spans="3:3" s="346" customFormat="1">
      <c r="C188" s="348"/>
    </row>
    <row r="189" spans="3:3" s="346" customFormat="1">
      <c r="C189" s="348"/>
    </row>
    <row r="190" spans="3:3" s="346" customFormat="1">
      <c r="C190" s="348"/>
    </row>
    <row r="191" spans="3:3" s="346" customFormat="1">
      <c r="C191" s="348"/>
    </row>
    <row r="192" spans="3:3" s="346" customFormat="1">
      <c r="C192" s="348"/>
    </row>
    <row r="193" spans="3:3" s="346" customFormat="1">
      <c r="C193" s="348"/>
    </row>
    <row r="194" spans="3:3" s="346" customFormat="1">
      <c r="C194" s="348"/>
    </row>
    <row r="195" spans="3:3" s="346" customFormat="1">
      <c r="C195" s="348"/>
    </row>
    <row r="196" spans="3:3" s="346" customFormat="1">
      <c r="C196" s="348"/>
    </row>
    <row r="197" spans="3:3" s="346" customFormat="1">
      <c r="C197" s="348"/>
    </row>
    <row r="198" spans="3:3" s="346" customFormat="1">
      <c r="C198" s="348"/>
    </row>
    <row r="199" spans="3:3" s="346" customFormat="1">
      <c r="C199" s="348"/>
    </row>
    <row r="200" spans="3:3" s="346" customFormat="1">
      <c r="C200" s="348"/>
    </row>
    <row r="201" spans="3:3" s="346" customFormat="1">
      <c r="C201" s="348"/>
    </row>
    <row r="202" spans="3:3" s="346" customFormat="1">
      <c r="C202" s="348"/>
    </row>
    <row r="203" spans="3:3" s="346" customFormat="1">
      <c r="C203" s="348"/>
    </row>
    <row r="204" spans="3:3" s="346" customFormat="1">
      <c r="C204" s="348"/>
    </row>
    <row r="205" spans="3:3" s="346" customFormat="1">
      <c r="C205" s="348"/>
    </row>
    <row r="206" spans="3:3" s="346" customFormat="1">
      <c r="C206" s="348"/>
    </row>
    <row r="207" spans="3:3" s="346" customFormat="1">
      <c r="C207" s="348"/>
    </row>
    <row r="208" spans="3:3" s="346" customFormat="1">
      <c r="C208" s="348"/>
    </row>
    <row r="209" spans="3:3" s="346" customFormat="1">
      <c r="C209" s="348"/>
    </row>
    <row r="210" spans="3:3" s="346" customFormat="1">
      <c r="C210" s="348"/>
    </row>
    <row r="211" spans="3:3" s="346" customFormat="1">
      <c r="C211" s="348"/>
    </row>
    <row r="212" spans="3:3" s="346" customFormat="1">
      <c r="C212" s="348"/>
    </row>
    <row r="213" spans="3:3" s="346" customFormat="1">
      <c r="C213" s="348"/>
    </row>
    <row r="214" spans="3:3" s="346" customFormat="1">
      <c r="C214" s="348"/>
    </row>
    <row r="215" spans="3:3" s="346" customFormat="1">
      <c r="C215" s="348"/>
    </row>
    <row r="216" spans="3:3" s="346" customFormat="1">
      <c r="C216" s="348"/>
    </row>
    <row r="217" spans="3:3" s="346" customFormat="1">
      <c r="C217" s="348"/>
    </row>
    <row r="218" spans="3:3" s="346" customFormat="1">
      <c r="C218" s="34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2">
    <mergeCell ref="A51:C51"/>
    <mergeCell ref="A64:C64"/>
  </mergeCells>
  <dataValidations count="1">
    <dataValidation type="list" allowBlank="1" showInputMessage="1" showErrorMessage="1" sqref="A51:C51 A64:C64"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6" zoomScaleNormal="100" zoomScaleSheetLayoutView="100" workbookViewId="0">
      <selection activeCell="C30" sqref="C30"/>
    </sheetView>
  </sheetViews>
  <sheetFormatPr defaultColWidth="0" defaultRowHeight="13.8" zeroHeight="1"/>
  <cols>
    <col min="1" max="3" width="15.77734375" style="467" customWidth="1"/>
    <col min="4" max="4" width="3.77734375" style="467" customWidth="1"/>
    <col min="5" max="6" width="15.77734375" style="467" customWidth="1"/>
    <col min="7" max="7" width="3.77734375" style="467" customWidth="1"/>
    <col min="8" max="9" width="15.77734375" style="467" customWidth="1"/>
    <col min="10" max="16" width="15.77734375" style="467" hidden="1" customWidth="1"/>
    <col min="17" max="16383" width="9.109375" style="467" hidden="1"/>
    <col min="16384" max="16384" width="0.109375" style="467" customWidth="1"/>
  </cols>
  <sheetData>
    <row r="1" spans="1:11">
      <c r="A1" s="3355" t="s">
        <v>977</v>
      </c>
      <c r="B1" s="3355"/>
      <c r="C1" s="3355"/>
      <c r="D1" s="3355"/>
      <c r="E1" s="3355"/>
      <c r="F1" s="3355"/>
      <c r="G1" s="3355"/>
      <c r="H1" s="3355"/>
      <c r="I1" s="3355"/>
      <c r="J1" s="324"/>
      <c r="K1" s="324"/>
    </row>
    <row r="2" spans="1:11">
      <c r="A2" s="650"/>
      <c r="B2" s="650"/>
      <c r="C2" s="650"/>
      <c r="D2" s="650"/>
      <c r="E2" s="650"/>
      <c r="F2" s="650"/>
      <c r="G2" s="650"/>
      <c r="H2" s="650"/>
      <c r="I2" s="650"/>
    </row>
    <row r="3" spans="1:11" ht="82.8">
      <c r="A3" s="651" t="s">
        <v>978</v>
      </c>
      <c r="B3" s="651" t="s">
        <v>979</v>
      </c>
      <c r="C3" s="469" t="s">
        <v>980</v>
      </c>
      <c r="D3" s="378"/>
      <c r="E3" s="469" t="s">
        <v>981</v>
      </c>
      <c r="F3" s="651" t="s">
        <v>982</v>
      </c>
      <c r="G3" s="652"/>
      <c r="H3" s="651" t="s">
        <v>983</v>
      </c>
      <c r="I3" s="651" t="s">
        <v>984</v>
      </c>
      <c r="J3" s="324"/>
      <c r="K3" s="468"/>
    </row>
    <row r="4" spans="1:11">
      <c r="A4" s="653" t="str">
        <f>Application!B728</f>
        <v>1 Bedroom</v>
      </c>
      <c r="B4" s="662">
        <f>Application!G728</f>
        <v>9</v>
      </c>
      <c r="C4" s="653">
        <f>Application!O728</f>
        <v>441</v>
      </c>
      <c r="D4" s="654"/>
      <c r="E4" s="471"/>
      <c r="F4" s="655">
        <f>E4*B4</f>
        <v>0</v>
      </c>
      <c r="G4" s="656"/>
      <c r="H4" s="653" t="str">
        <f>IF(E4=0," ",(E4-C4))</f>
        <v xml:space="preserve"> </v>
      </c>
      <c r="I4" s="655" t="str">
        <f>IF(E4=0," ",(H4*B4))</f>
        <v xml:space="preserve"> </v>
      </c>
      <c r="J4" s="324"/>
      <c r="K4" s="468"/>
    </row>
    <row r="5" spans="1:11">
      <c r="A5" s="653" t="str">
        <f>Application!B729</f>
        <v>2 Bedrooms</v>
      </c>
      <c r="B5" s="662">
        <f>Application!G729</f>
        <v>9</v>
      </c>
      <c r="C5" s="653">
        <f>Application!O729</f>
        <v>526</v>
      </c>
      <c r="D5" s="654"/>
      <c r="E5" s="471"/>
      <c r="F5" s="655">
        <f t="shared" ref="F5:F28" si="0">E5*B5</f>
        <v>0</v>
      </c>
      <c r="G5" s="656"/>
      <c r="H5" s="653" t="str">
        <f t="shared" ref="H5:H28" si="1">IF(E5=0," ",(E5-C5))</f>
        <v xml:space="preserve"> </v>
      </c>
      <c r="I5" s="655" t="str">
        <f t="shared" ref="I5:I28" si="2">IF(E5=0," ",(H5*B5))</f>
        <v xml:space="preserve"> </v>
      </c>
      <c r="J5" s="324"/>
      <c r="K5" s="468"/>
    </row>
    <row r="6" spans="1:11">
      <c r="A6" s="653" t="str">
        <f>Application!B730</f>
        <v>3 Bedrooms</v>
      </c>
      <c r="B6" s="662">
        <f>Application!G730</f>
        <v>9</v>
      </c>
      <c r="C6" s="653">
        <f>Application!O730</f>
        <v>601</v>
      </c>
      <c r="D6" s="654"/>
      <c r="E6" s="471"/>
      <c r="F6" s="655">
        <f t="shared" si="0"/>
        <v>0</v>
      </c>
      <c r="G6" s="656"/>
      <c r="H6" s="653" t="str">
        <f t="shared" si="1"/>
        <v xml:space="preserve"> </v>
      </c>
      <c r="I6" s="655" t="str">
        <f t="shared" si="2"/>
        <v xml:space="preserve"> </v>
      </c>
      <c r="J6" s="324"/>
      <c r="K6" s="468"/>
    </row>
    <row r="7" spans="1:11">
      <c r="A7" s="653">
        <f>Application!B731</f>
        <v>0</v>
      </c>
      <c r="B7" s="662">
        <f>Application!G731</f>
        <v>0</v>
      </c>
      <c r="C7" s="653">
        <f>Application!O731</f>
        <v>0</v>
      </c>
      <c r="D7" s="654"/>
      <c r="E7" s="471"/>
      <c r="F7" s="655">
        <f t="shared" si="0"/>
        <v>0</v>
      </c>
      <c r="G7" s="656"/>
      <c r="H7" s="653" t="str">
        <f t="shared" si="1"/>
        <v xml:space="preserve"> </v>
      </c>
      <c r="I7" s="655" t="str">
        <f t="shared" si="2"/>
        <v xml:space="preserve"> </v>
      </c>
      <c r="J7" s="324"/>
      <c r="K7" s="468"/>
    </row>
    <row r="8" spans="1:11">
      <c r="A8" s="653" t="str">
        <f>Application!B732</f>
        <v>1 Bedroom</v>
      </c>
      <c r="B8" s="662">
        <f>Application!G732</f>
        <v>10</v>
      </c>
      <c r="C8" s="653">
        <f>Application!O732</f>
        <v>781</v>
      </c>
      <c r="D8" s="654"/>
      <c r="E8" s="471"/>
      <c r="F8" s="655">
        <f t="shared" si="0"/>
        <v>0</v>
      </c>
      <c r="G8" s="656"/>
      <c r="H8" s="653" t="str">
        <f t="shared" si="1"/>
        <v xml:space="preserve"> </v>
      </c>
      <c r="I8" s="655" t="str">
        <f t="shared" si="2"/>
        <v xml:space="preserve"> </v>
      </c>
      <c r="J8" s="324"/>
      <c r="K8" s="468"/>
    </row>
    <row r="9" spans="1:11">
      <c r="A9" s="653" t="str">
        <f>Application!B733</f>
        <v>2 Bedrooms</v>
      </c>
      <c r="B9" s="662">
        <f>Application!G733</f>
        <v>44</v>
      </c>
      <c r="C9" s="653">
        <f>Application!O733</f>
        <v>934</v>
      </c>
      <c r="D9" s="654"/>
      <c r="E9" s="471"/>
      <c r="F9" s="655">
        <f t="shared" si="0"/>
        <v>0</v>
      </c>
      <c r="G9" s="656"/>
      <c r="H9" s="653" t="str">
        <f t="shared" si="1"/>
        <v xml:space="preserve"> </v>
      </c>
      <c r="I9" s="655" t="str">
        <f t="shared" si="2"/>
        <v xml:space="preserve"> </v>
      </c>
      <c r="J9" s="324"/>
      <c r="K9" s="468"/>
    </row>
    <row r="10" spans="1:11">
      <c r="A10" s="653" t="str">
        <f>Application!B734</f>
        <v>3 Bedrooms</v>
      </c>
      <c r="B10" s="662">
        <f>Application!G734</f>
        <v>17</v>
      </c>
      <c r="C10" s="653">
        <f>Application!O734</f>
        <v>1073</v>
      </c>
      <c r="D10" s="654"/>
      <c r="E10" s="471"/>
      <c r="F10" s="655">
        <f t="shared" si="0"/>
        <v>0</v>
      </c>
      <c r="G10" s="656"/>
      <c r="H10" s="653" t="str">
        <f t="shared" si="1"/>
        <v xml:space="preserve"> </v>
      </c>
      <c r="I10" s="655" t="str">
        <f t="shared" si="2"/>
        <v xml:space="preserve"> </v>
      </c>
      <c r="J10" s="324"/>
      <c r="K10" s="468"/>
    </row>
    <row r="11" spans="1:11">
      <c r="A11" s="653">
        <f>Application!B735</f>
        <v>0</v>
      </c>
      <c r="B11" s="662">
        <f>Application!G735</f>
        <v>0</v>
      </c>
      <c r="C11" s="653">
        <f>Application!O735</f>
        <v>0</v>
      </c>
      <c r="D11" s="654"/>
      <c r="E11" s="471"/>
      <c r="F11" s="655">
        <f t="shared" si="0"/>
        <v>0</v>
      </c>
      <c r="G11" s="656"/>
      <c r="H11" s="653" t="str">
        <f t="shared" si="1"/>
        <v xml:space="preserve"> </v>
      </c>
      <c r="I11" s="655" t="str">
        <f t="shared" si="2"/>
        <v xml:space="preserve"> </v>
      </c>
      <c r="J11" s="324"/>
      <c r="K11" s="468"/>
    </row>
    <row r="12" spans="1:11">
      <c r="A12" s="653" t="str">
        <f>Application!B736</f>
        <v>1 Bedroom</v>
      </c>
      <c r="B12" s="662">
        <f>Application!G736</f>
        <v>15</v>
      </c>
      <c r="C12" s="653">
        <f>Application!O736</f>
        <v>951</v>
      </c>
      <c r="D12" s="654"/>
      <c r="E12" s="471"/>
      <c r="F12" s="655">
        <f t="shared" si="0"/>
        <v>0</v>
      </c>
      <c r="G12" s="656"/>
      <c r="H12" s="653" t="str">
        <f t="shared" si="1"/>
        <v xml:space="preserve"> </v>
      </c>
      <c r="I12" s="655" t="str">
        <f t="shared" si="2"/>
        <v xml:space="preserve"> </v>
      </c>
      <c r="J12" s="324"/>
      <c r="K12" s="468"/>
    </row>
    <row r="13" spans="1:11">
      <c r="A13" s="653" t="str">
        <f>Application!B737</f>
        <v>2 Bedrooms</v>
      </c>
      <c r="B13" s="662">
        <f>Application!G737</f>
        <v>22</v>
      </c>
      <c r="C13" s="653">
        <f>Application!O737</f>
        <v>1138</v>
      </c>
      <c r="D13" s="654"/>
      <c r="E13" s="471"/>
      <c r="F13" s="655">
        <f t="shared" si="0"/>
        <v>0</v>
      </c>
      <c r="G13" s="656"/>
      <c r="H13" s="653" t="str">
        <f t="shared" si="1"/>
        <v xml:space="preserve"> </v>
      </c>
      <c r="I13" s="655" t="str">
        <f t="shared" si="2"/>
        <v xml:space="preserve"> </v>
      </c>
      <c r="J13" s="324"/>
      <c r="K13" s="468"/>
    </row>
    <row r="14" spans="1:11">
      <c r="A14" s="653" t="str">
        <f>Application!B738</f>
        <v>3 Bedrooms</v>
      </c>
      <c r="B14" s="662">
        <f>Application!G738</f>
        <v>14</v>
      </c>
      <c r="C14" s="653">
        <f>Application!O738</f>
        <v>1308</v>
      </c>
      <c r="D14" s="654"/>
      <c r="E14" s="471"/>
      <c r="F14" s="655">
        <f t="shared" si="0"/>
        <v>0</v>
      </c>
      <c r="G14" s="656"/>
      <c r="H14" s="653" t="str">
        <f t="shared" si="1"/>
        <v xml:space="preserve"> </v>
      </c>
      <c r="I14" s="655" t="str">
        <f t="shared" si="2"/>
        <v xml:space="preserve"> </v>
      </c>
      <c r="J14" s="324"/>
      <c r="K14" s="468"/>
    </row>
    <row r="15" spans="1:11">
      <c r="A15" s="653">
        <f>Application!B739</f>
        <v>0</v>
      </c>
      <c r="B15" s="662">
        <f>Application!G739</f>
        <v>0</v>
      </c>
      <c r="C15" s="653">
        <f>Application!O739</f>
        <v>0</v>
      </c>
      <c r="D15" s="654"/>
      <c r="E15" s="471"/>
      <c r="F15" s="655">
        <f t="shared" si="0"/>
        <v>0</v>
      </c>
      <c r="G15" s="656"/>
      <c r="H15" s="653" t="str">
        <f t="shared" si="1"/>
        <v xml:space="preserve"> </v>
      </c>
      <c r="I15" s="655" t="str">
        <f t="shared" si="2"/>
        <v xml:space="preserve"> </v>
      </c>
      <c r="J15" s="324"/>
      <c r="K15" s="468"/>
    </row>
    <row r="16" spans="1:11">
      <c r="A16" s="653" t="str">
        <f>Application!B740</f>
        <v>1 Bedroom</v>
      </c>
      <c r="B16" s="662">
        <f>Application!G740</f>
        <v>13</v>
      </c>
      <c r="C16" s="653">
        <f>Application!O740</f>
        <v>1121</v>
      </c>
      <c r="D16" s="654"/>
      <c r="E16" s="471"/>
      <c r="F16" s="655">
        <f t="shared" si="0"/>
        <v>0</v>
      </c>
      <c r="G16" s="656"/>
      <c r="H16" s="653" t="str">
        <f t="shared" si="1"/>
        <v xml:space="preserve"> </v>
      </c>
      <c r="I16" s="655" t="str">
        <f t="shared" si="2"/>
        <v xml:space="preserve"> </v>
      </c>
      <c r="J16" s="324"/>
      <c r="K16" s="468"/>
    </row>
    <row r="17" spans="1:11">
      <c r="A17" s="653" t="str">
        <f>Application!B741</f>
        <v>2 Bedrooms</v>
      </c>
      <c r="B17" s="662">
        <f>Application!G741</f>
        <v>18</v>
      </c>
      <c r="C17" s="653">
        <f>Application!O741</f>
        <v>1342</v>
      </c>
      <c r="D17" s="654"/>
      <c r="E17" s="471"/>
      <c r="F17" s="655">
        <f t="shared" si="0"/>
        <v>0</v>
      </c>
      <c r="G17" s="656"/>
      <c r="H17" s="653" t="str">
        <f t="shared" si="1"/>
        <v xml:space="preserve"> </v>
      </c>
      <c r="I17" s="655" t="str">
        <f t="shared" si="2"/>
        <v xml:space="preserve"> </v>
      </c>
      <c r="J17" s="324"/>
      <c r="K17" s="468"/>
    </row>
    <row r="18" spans="1:11">
      <c r="A18" s="653" t="str">
        <f>Application!B742</f>
        <v>3 Bedrooms</v>
      </c>
      <c r="B18" s="662">
        <f>Application!G742</f>
        <v>18</v>
      </c>
      <c r="C18" s="653">
        <f>Application!O742</f>
        <v>1544</v>
      </c>
      <c r="D18" s="654"/>
      <c r="E18" s="471"/>
      <c r="F18" s="655">
        <f t="shared" si="0"/>
        <v>0</v>
      </c>
      <c r="G18" s="656"/>
      <c r="H18" s="653" t="str">
        <f t="shared" si="1"/>
        <v xml:space="preserve"> </v>
      </c>
      <c r="I18" s="655" t="str">
        <f t="shared" si="2"/>
        <v xml:space="preserve"> </v>
      </c>
      <c r="J18" s="324"/>
      <c r="K18" s="468"/>
    </row>
    <row r="19" spans="1:11">
      <c r="A19" s="653">
        <f>Application!B743</f>
        <v>0</v>
      </c>
      <c r="B19" s="662">
        <f>Application!G743</f>
        <v>0</v>
      </c>
      <c r="C19" s="653">
        <f>Application!O743</f>
        <v>0</v>
      </c>
      <c r="D19" s="654"/>
      <c r="E19" s="471"/>
      <c r="F19" s="655">
        <f t="shared" si="0"/>
        <v>0</v>
      </c>
      <c r="G19" s="656"/>
      <c r="H19" s="653" t="str">
        <f t="shared" si="1"/>
        <v xml:space="preserve"> </v>
      </c>
      <c r="I19" s="655" t="str">
        <f t="shared" si="2"/>
        <v xml:space="preserve"> </v>
      </c>
      <c r="J19" s="324"/>
      <c r="K19" s="468"/>
    </row>
    <row r="20" spans="1:11">
      <c r="A20" s="653">
        <f>Application!B744</f>
        <v>0</v>
      </c>
      <c r="B20" s="662">
        <f>Application!G744</f>
        <v>0</v>
      </c>
      <c r="C20" s="653">
        <f>Application!O744</f>
        <v>0</v>
      </c>
      <c r="D20" s="654"/>
      <c r="E20" s="471"/>
      <c r="F20" s="655">
        <f t="shared" si="0"/>
        <v>0</v>
      </c>
      <c r="G20" s="656"/>
      <c r="H20" s="653" t="str">
        <f t="shared" si="1"/>
        <v xml:space="preserve"> </v>
      </c>
      <c r="I20" s="655" t="str">
        <f t="shared" si="2"/>
        <v xml:space="preserve"> </v>
      </c>
      <c r="J20" s="324"/>
      <c r="K20" s="468"/>
    </row>
    <row r="21" spans="1:11">
      <c r="A21" s="653">
        <f>Application!B745</f>
        <v>0</v>
      </c>
      <c r="B21" s="662">
        <f>Application!G745</f>
        <v>0</v>
      </c>
      <c r="C21" s="653">
        <f>Application!O745</f>
        <v>0</v>
      </c>
      <c r="D21" s="654"/>
      <c r="E21" s="471"/>
      <c r="F21" s="655">
        <f t="shared" si="0"/>
        <v>0</v>
      </c>
      <c r="G21" s="656"/>
      <c r="H21" s="653" t="str">
        <f t="shared" si="1"/>
        <v xml:space="preserve"> </v>
      </c>
      <c r="I21" s="655" t="str">
        <f t="shared" si="2"/>
        <v xml:space="preserve"> </v>
      </c>
      <c r="J21" s="324"/>
      <c r="K21" s="468"/>
    </row>
    <row r="22" spans="1:11">
      <c r="A22" s="653">
        <f>Application!B746</f>
        <v>0</v>
      </c>
      <c r="B22" s="662">
        <f>Application!G746</f>
        <v>0</v>
      </c>
      <c r="C22" s="653">
        <f>Application!O746</f>
        <v>0</v>
      </c>
      <c r="D22" s="654"/>
      <c r="E22" s="471"/>
      <c r="F22" s="655">
        <f t="shared" si="0"/>
        <v>0</v>
      </c>
      <c r="G22" s="656"/>
      <c r="H22" s="653" t="str">
        <f t="shared" si="1"/>
        <v xml:space="preserve"> </v>
      </c>
      <c r="I22" s="655" t="str">
        <f t="shared" si="2"/>
        <v xml:space="preserve"> </v>
      </c>
      <c r="J22" s="324"/>
      <c r="K22" s="468"/>
    </row>
    <row r="23" spans="1:11">
      <c r="A23" s="653">
        <f>Application!B747</f>
        <v>0</v>
      </c>
      <c r="B23" s="662">
        <f>Application!G747</f>
        <v>0</v>
      </c>
      <c r="C23" s="653">
        <f>Application!O747</f>
        <v>0</v>
      </c>
      <c r="D23" s="654"/>
      <c r="E23" s="471"/>
      <c r="F23" s="655">
        <f t="shared" si="0"/>
        <v>0</v>
      </c>
      <c r="G23" s="656"/>
      <c r="H23" s="653" t="str">
        <f t="shared" si="1"/>
        <v xml:space="preserve"> </v>
      </c>
      <c r="I23" s="655" t="str">
        <f t="shared" si="2"/>
        <v xml:space="preserve"> </v>
      </c>
      <c r="J23" s="324"/>
      <c r="K23" s="468"/>
    </row>
    <row r="24" spans="1:11">
      <c r="A24" s="653">
        <f>Application!B748</f>
        <v>0</v>
      </c>
      <c r="B24" s="662">
        <f>Application!G748</f>
        <v>0</v>
      </c>
      <c r="C24" s="653">
        <f>Application!O748</f>
        <v>0</v>
      </c>
      <c r="D24" s="654"/>
      <c r="E24" s="471"/>
      <c r="F24" s="655">
        <f t="shared" si="0"/>
        <v>0</v>
      </c>
      <c r="G24" s="656"/>
      <c r="H24" s="653" t="str">
        <f t="shared" si="1"/>
        <v xml:space="preserve"> </v>
      </c>
      <c r="I24" s="655" t="str">
        <f t="shared" si="2"/>
        <v xml:space="preserve"> </v>
      </c>
      <c r="J24" s="324"/>
      <c r="K24" s="468"/>
    </row>
    <row r="25" spans="1:11">
      <c r="A25" s="653">
        <f>Application!B749</f>
        <v>0</v>
      </c>
      <c r="B25" s="662">
        <f>Application!G749</f>
        <v>0</v>
      </c>
      <c r="C25" s="653">
        <f>Application!O749</f>
        <v>0</v>
      </c>
      <c r="D25" s="654"/>
      <c r="E25" s="471"/>
      <c r="F25" s="655">
        <f t="shared" si="0"/>
        <v>0</v>
      </c>
      <c r="G25" s="656"/>
      <c r="H25" s="653" t="str">
        <f t="shared" si="1"/>
        <v xml:space="preserve"> </v>
      </c>
      <c r="I25" s="655" t="str">
        <f t="shared" si="2"/>
        <v xml:space="preserve"> </v>
      </c>
      <c r="J25" s="324"/>
      <c r="K25" s="468"/>
    </row>
    <row r="26" spans="1:11">
      <c r="A26" s="653">
        <f>Application!B750</f>
        <v>0</v>
      </c>
      <c r="B26" s="662">
        <f>Application!G750</f>
        <v>0</v>
      </c>
      <c r="C26" s="653">
        <f>Application!O750</f>
        <v>0</v>
      </c>
      <c r="D26" s="654"/>
      <c r="E26" s="471"/>
      <c r="F26" s="655">
        <f t="shared" si="0"/>
        <v>0</v>
      </c>
      <c r="G26" s="656"/>
      <c r="H26" s="653" t="str">
        <f t="shared" si="1"/>
        <v xml:space="preserve"> </v>
      </c>
      <c r="I26" s="655" t="str">
        <f t="shared" si="2"/>
        <v xml:space="preserve"> </v>
      </c>
      <c r="J26" s="324"/>
      <c r="K26" s="468"/>
    </row>
    <row r="27" spans="1:11">
      <c r="A27" s="653">
        <f>Application!B751</f>
        <v>0</v>
      </c>
      <c r="B27" s="662">
        <f>Application!G751</f>
        <v>0</v>
      </c>
      <c r="C27" s="653">
        <f>Application!O751</f>
        <v>0</v>
      </c>
      <c r="D27" s="654"/>
      <c r="E27" s="471"/>
      <c r="F27" s="655">
        <f t="shared" si="0"/>
        <v>0</v>
      </c>
      <c r="G27" s="656"/>
      <c r="H27" s="653" t="str">
        <f t="shared" si="1"/>
        <v xml:space="preserve"> </v>
      </c>
      <c r="I27" s="655" t="str">
        <f t="shared" si="2"/>
        <v xml:space="preserve"> </v>
      </c>
      <c r="J27" s="324"/>
      <c r="K27" s="468"/>
    </row>
    <row r="28" spans="1:11">
      <c r="A28" s="653">
        <f>Application!B752</f>
        <v>0</v>
      </c>
      <c r="B28" s="662">
        <f>Application!G752</f>
        <v>0</v>
      </c>
      <c r="C28" s="653">
        <f>Application!O752</f>
        <v>0</v>
      </c>
      <c r="D28" s="654"/>
      <c r="E28" s="471"/>
      <c r="F28" s="655">
        <f t="shared" si="0"/>
        <v>0</v>
      </c>
      <c r="G28" s="656"/>
      <c r="H28" s="653" t="str">
        <f t="shared" si="1"/>
        <v xml:space="preserve"> </v>
      </c>
      <c r="I28" s="655" t="str">
        <f t="shared" si="2"/>
        <v xml:space="preserve"> </v>
      </c>
      <c r="J28" s="324"/>
      <c r="K28" s="468"/>
    </row>
    <row r="29" spans="1:11">
      <c r="A29" s="378"/>
      <c r="B29" s="378"/>
      <c r="C29" s="654"/>
      <c r="D29" s="654"/>
      <c r="E29" s="654"/>
      <c r="F29" s="654"/>
      <c r="G29" s="656"/>
      <c r="H29" s="654"/>
      <c r="I29" s="378"/>
      <c r="J29" s="324"/>
      <c r="K29" s="468"/>
    </row>
    <row r="30" spans="1:11">
      <c r="A30" s="657" t="s">
        <v>985</v>
      </c>
      <c r="B30" s="658"/>
      <c r="C30" s="659">
        <f>Application!T753</f>
        <v>205393</v>
      </c>
      <c r="D30" s="654"/>
      <c r="E30" s="654"/>
      <c r="F30" s="659">
        <f>SUM(F4:F28)*12</f>
        <v>0</v>
      </c>
      <c r="G30" s="660"/>
      <c r="H30" s="658"/>
      <c r="I30" s="659">
        <f>SUM(I4:I28)*12</f>
        <v>0</v>
      </c>
      <c r="J30" s="324"/>
      <c r="K30" s="470"/>
    </row>
    <row r="31" spans="1:11">
      <c r="A31" s="657"/>
      <c r="B31" s="658"/>
      <c r="C31" s="660"/>
      <c r="D31" s="654"/>
      <c r="E31" s="654"/>
      <c r="F31" s="660"/>
      <c r="G31" s="660"/>
      <c r="H31" s="658"/>
      <c r="I31" s="660"/>
      <c r="J31" s="324"/>
      <c r="K31" s="470"/>
    </row>
    <row r="32" spans="1:11">
      <c r="A32" s="661" t="s">
        <v>986</v>
      </c>
      <c r="B32" s="650"/>
      <c r="C32" s="650"/>
      <c r="D32" s="650"/>
      <c r="E32" s="650"/>
      <c r="F32" s="650"/>
      <c r="G32" s="650"/>
      <c r="H32" s="650"/>
      <c r="I32" s="650"/>
    </row>
    <row r="33" spans="1:9">
      <c r="A33" s="661" t="s">
        <v>987</v>
      </c>
      <c r="B33" s="650"/>
      <c r="C33" s="650"/>
      <c r="D33" s="650"/>
      <c r="E33" s="650"/>
      <c r="F33" s="650"/>
      <c r="G33" s="650"/>
      <c r="H33" s="650"/>
      <c r="I33" s="650"/>
    </row>
    <row r="34" spans="1:9">
      <c r="A34" s="650" t="s">
        <v>1142</v>
      </c>
      <c r="B34" s="650"/>
      <c r="C34" s="650"/>
      <c r="D34" s="650"/>
      <c r="E34" s="650"/>
      <c r="F34" s="650"/>
      <c r="G34" s="650"/>
      <c r="H34" s="650"/>
      <c r="I34" s="650"/>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77734375" customWidth="1"/>
    <col min="2" max="16384" width="8.77734375" hidden="1"/>
  </cols>
  <sheetData>
    <row r="1" spans="1:1" ht="46.8">
      <c r="A1" s="483" t="s">
        <v>1048</v>
      </c>
    </row>
    <row r="2" spans="1:1" ht="15.6">
      <c r="A2" s="484"/>
    </row>
    <row r="3" spans="1:1" ht="15.6">
      <c r="A3" s="485" t="s">
        <v>1043</v>
      </c>
    </row>
    <row r="4" spans="1:1" ht="15.6">
      <c r="A4" s="485" t="s">
        <v>1044</v>
      </c>
    </row>
    <row r="5" spans="1:1" ht="15.6">
      <c r="A5" s="485" t="s">
        <v>1045</v>
      </c>
    </row>
    <row r="6" spans="1:1" ht="15.6">
      <c r="A6" s="485" t="s">
        <v>1047</v>
      </c>
    </row>
    <row r="7" spans="1:1" ht="15.6">
      <c r="A7" s="485" t="s">
        <v>1046</v>
      </c>
    </row>
    <row r="8" spans="1:1" ht="15.6">
      <c r="A8" s="533" t="s">
        <v>1135</v>
      </c>
    </row>
    <row r="9" spans="1:1" ht="15.6">
      <c r="A9" s="485"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6" zoomScaleNormal="100" zoomScaleSheetLayoutView="100" workbookViewId="0">
      <selection activeCell="B5" sqref="B5"/>
    </sheetView>
  </sheetViews>
  <sheetFormatPr defaultColWidth="0" defaultRowHeight="13.2" zeroHeight="1"/>
  <cols>
    <col min="1" max="1" width="35.77734375" style="324" customWidth="1"/>
    <col min="2" max="4" width="14.77734375" style="324" customWidth="1"/>
    <col min="5" max="5" width="50.77734375" style="324" customWidth="1"/>
    <col min="6" max="6" width="9.109375" style="324" customWidth="1"/>
    <col min="7" max="253" width="0" style="495" hidden="1" customWidth="1"/>
    <col min="254" max="16384" width="9.109375" style="495" hidden="1"/>
  </cols>
  <sheetData>
    <row r="1" spans="1:253" s="427" customFormat="1" ht="18" customHeight="1">
      <c r="A1" s="860" t="s">
        <v>1426</v>
      </c>
      <c r="D1" s="432"/>
    </row>
    <row r="2" spans="1:253" s="427" customFormat="1">
      <c r="A2" s="409" t="s">
        <v>955</v>
      </c>
      <c r="B2" s="411"/>
      <c r="C2" s="411"/>
      <c r="D2" s="408"/>
      <c r="E2" s="412"/>
      <c r="F2" s="411"/>
      <c r="HN2" s="538"/>
      <c r="HO2" s="538"/>
      <c r="HP2" s="538"/>
      <c r="HQ2" s="538"/>
      <c r="HR2" s="538"/>
      <c r="HS2" s="538"/>
      <c r="HT2" s="538"/>
      <c r="HU2" s="538"/>
      <c r="HV2" s="538"/>
      <c r="HW2" s="538"/>
      <c r="HX2" s="538"/>
      <c r="HY2" s="538"/>
      <c r="HZ2" s="538"/>
      <c r="IA2" s="538"/>
      <c r="IB2" s="538"/>
      <c r="IC2" s="538"/>
      <c r="ID2" s="538"/>
      <c r="IE2" s="538"/>
      <c r="IF2" s="538"/>
      <c r="IG2" s="538"/>
      <c r="IH2" s="538"/>
      <c r="II2" s="538"/>
      <c r="IJ2" s="538"/>
      <c r="IK2" s="538"/>
      <c r="IL2" s="538"/>
      <c r="IM2" s="538"/>
      <c r="IN2" s="538"/>
      <c r="IO2" s="538"/>
      <c r="IP2" s="538"/>
      <c r="IQ2" s="538"/>
      <c r="IR2" s="538"/>
      <c r="IS2" s="538"/>
    </row>
    <row r="3" spans="1:253" s="540" customFormat="1" ht="80.25" customHeight="1">
      <c r="A3" s="429"/>
      <c r="B3" s="413" t="s">
        <v>956</v>
      </c>
      <c r="C3" s="413" t="s">
        <v>957</v>
      </c>
      <c r="D3" s="413" t="s">
        <v>958</v>
      </c>
      <c r="E3" s="410" t="s">
        <v>959</v>
      </c>
      <c r="F3" s="410"/>
      <c r="G3" s="545"/>
      <c r="H3" s="539"/>
      <c r="I3" s="539"/>
      <c r="J3" s="539"/>
      <c r="K3" s="539"/>
      <c r="L3" s="539"/>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39"/>
      <c r="AL3" s="539"/>
      <c r="AM3" s="539"/>
      <c r="AN3" s="539"/>
      <c r="AO3" s="539"/>
      <c r="AP3" s="539"/>
      <c r="AQ3" s="539"/>
      <c r="AR3" s="539"/>
      <c r="AS3" s="539"/>
      <c r="AT3" s="539"/>
      <c r="AU3" s="539"/>
      <c r="AV3" s="539"/>
      <c r="AW3" s="539"/>
      <c r="AX3" s="539"/>
      <c r="AY3" s="539"/>
      <c r="AZ3" s="539"/>
      <c r="BA3" s="539"/>
      <c r="BB3" s="539"/>
      <c r="BC3" s="539"/>
      <c r="BD3" s="539"/>
      <c r="BE3" s="539"/>
      <c r="BF3" s="539"/>
      <c r="BG3" s="539"/>
      <c r="BH3" s="539"/>
      <c r="BI3" s="539"/>
      <c r="BJ3" s="539"/>
      <c r="BK3" s="539"/>
      <c r="BL3" s="539"/>
      <c r="BM3" s="539"/>
      <c r="BN3" s="539"/>
      <c r="BO3" s="539"/>
      <c r="BP3" s="539"/>
      <c r="BQ3" s="539"/>
      <c r="BR3" s="539"/>
      <c r="BS3" s="539"/>
      <c r="BT3" s="539"/>
      <c r="BU3" s="539"/>
      <c r="BV3" s="539"/>
      <c r="BW3" s="539"/>
      <c r="BX3" s="539"/>
      <c r="BY3" s="539"/>
      <c r="BZ3" s="539"/>
      <c r="CA3" s="539"/>
      <c r="CB3" s="539"/>
      <c r="CC3" s="539"/>
      <c r="CD3" s="539"/>
      <c r="CE3" s="539"/>
      <c r="CF3" s="539"/>
      <c r="CG3" s="539"/>
      <c r="CH3" s="539"/>
      <c r="CI3" s="539"/>
      <c r="CJ3" s="539"/>
      <c r="CK3" s="539"/>
      <c r="CL3" s="539"/>
      <c r="CM3" s="539"/>
      <c r="CN3" s="539"/>
      <c r="CO3" s="539"/>
      <c r="CP3" s="539"/>
      <c r="CQ3" s="539"/>
      <c r="CR3" s="539"/>
      <c r="CS3" s="539"/>
      <c r="CT3" s="539"/>
      <c r="CU3" s="539"/>
      <c r="CV3" s="539"/>
      <c r="CW3" s="539"/>
      <c r="CX3" s="539"/>
      <c r="CY3" s="539"/>
      <c r="CZ3" s="539"/>
      <c r="DA3" s="539"/>
      <c r="DB3" s="539"/>
      <c r="DC3" s="539"/>
      <c r="DD3" s="539"/>
      <c r="DE3" s="539"/>
      <c r="DF3" s="539"/>
      <c r="DG3" s="539"/>
      <c r="DH3" s="539"/>
      <c r="DI3" s="539"/>
      <c r="DJ3" s="539"/>
      <c r="DK3" s="539"/>
      <c r="DL3" s="539"/>
      <c r="DM3" s="539"/>
      <c r="DN3" s="539"/>
      <c r="DO3" s="539"/>
      <c r="DP3" s="539"/>
      <c r="DQ3" s="539"/>
      <c r="DR3" s="539"/>
      <c r="DS3" s="539"/>
      <c r="DT3" s="539"/>
      <c r="DU3" s="539"/>
      <c r="DV3" s="539"/>
      <c r="DW3" s="539"/>
      <c r="DX3" s="539"/>
      <c r="DY3" s="539"/>
      <c r="DZ3" s="539"/>
      <c r="EA3" s="539"/>
      <c r="EB3" s="539"/>
      <c r="EC3" s="539"/>
      <c r="ED3" s="539"/>
      <c r="EE3" s="539"/>
      <c r="EF3" s="539"/>
      <c r="EG3" s="539"/>
      <c r="EH3" s="539"/>
      <c r="EI3" s="539"/>
      <c r="EJ3" s="539"/>
      <c r="EK3" s="539"/>
      <c r="EL3" s="539"/>
      <c r="EM3" s="539"/>
      <c r="EN3" s="539"/>
      <c r="EO3" s="539"/>
      <c r="EP3" s="539"/>
      <c r="EQ3" s="539"/>
      <c r="ER3" s="539"/>
      <c r="ES3" s="539"/>
      <c r="ET3" s="539"/>
      <c r="EU3" s="539"/>
      <c r="EV3" s="539"/>
      <c r="EW3" s="539"/>
      <c r="EX3" s="539"/>
      <c r="EY3" s="539"/>
      <c r="EZ3" s="539"/>
      <c r="FA3" s="539"/>
      <c r="FB3" s="539"/>
      <c r="FC3" s="539"/>
      <c r="FD3" s="539"/>
      <c r="FE3" s="539"/>
      <c r="FF3" s="539"/>
      <c r="FG3" s="539"/>
      <c r="FH3" s="539"/>
      <c r="FI3" s="539"/>
      <c r="FJ3" s="539"/>
      <c r="FK3" s="539"/>
      <c r="FL3" s="539"/>
      <c r="FM3" s="539"/>
      <c r="FN3" s="539"/>
      <c r="FO3" s="539"/>
      <c r="FP3" s="539"/>
      <c r="FQ3" s="539"/>
      <c r="FR3" s="539"/>
      <c r="FS3" s="539"/>
      <c r="FT3" s="539"/>
      <c r="FU3" s="539"/>
      <c r="FV3" s="539"/>
      <c r="FW3" s="539"/>
      <c r="FX3" s="539"/>
      <c r="FY3" s="539"/>
      <c r="FZ3" s="539"/>
      <c r="GA3" s="539"/>
      <c r="GB3" s="539"/>
      <c r="GC3" s="539"/>
      <c r="GD3" s="539"/>
      <c r="GE3" s="539"/>
      <c r="GF3" s="539"/>
      <c r="GG3" s="539"/>
      <c r="GH3" s="539"/>
      <c r="GI3" s="539"/>
      <c r="GJ3" s="539"/>
      <c r="GK3" s="539"/>
      <c r="GL3" s="539"/>
      <c r="GM3" s="539"/>
      <c r="GN3" s="539"/>
      <c r="GO3" s="539"/>
      <c r="GP3" s="539"/>
      <c r="GQ3" s="539"/>
      <c r="GR3" s="539"/>
      <c r="GS3" s="539"/>
      <c r="GT3" s="539"/>
      <c r="GU3" s="539"/>
      <c r="GV3" s="539"/>
      <c r="GW3" s="539"/>
      <c r="GX3" s="539"/>
      <c r="GY3" s="539"/>
      <c r="GZ3" s="539"/>
      <c r="HA3" s="539"/>
      <c r="HB3" s="539"/>
      <c r="HC3" s="539"/>
      <c r="HD3" s="539"/>
      <c r="HE3" s="539"/>
      <c r="HF3" s="539"/>
      <c r="HG3" s="539"/>
      <c r="HH3" s="539"/>
      <c r="HI3" s="539"/>
      <c r="HJ3" s="539"/>
      <c r="HK3" s="539"/>
      <c r="HL3" s="539"/>
      <c r="HM3" s="539"/>
      <c r="HN3" s="539"/>
      <c r="HO3" s="539"/>
      <c r="HP3" s="539"/>
      <c r="HQ3" s="539"/>
      <c r="HR3" s="539"/>
      <c r="HS3" s="539"/>
      <c r="HT3" s="539"/>
      <c r="HU3" s="539"/>
      <c r="HV3" s="539"/>
      <c r="HW3" s="539"/>
      <c r="HX3" s="539"/>
      <c r="HY3" s="539"/>
      <c r="HZ3" s="539"/>
      <c r="IA3" s="539"/>
      <c r="IB3" s="539"/>
      <c r="IC3" s="539"/>
      <c r="ID3" s="539"/>
      <c r="IE3" s="539"/>
      <c r="IF3" s="539"/>
      <c r="IG3" s="539"/>
      <c r="IH3" s="539"/>
      <c r="II3" s="539"/>
      <c r="IJ3" s="539"/>
      <c r="IK3" s="539"/>
      <c r="IL3" s="539"/>
      <c r="IM3" s="539"/>
      <c r="IN3" s="539"/>
      <c r="IO3" s="539"/>
      <c r="IP3" s="539"/>
      <c r="IQ3" s="539"/>
      <c r="IR3" s="539"/>
      <c r="IS3" s="539"/>
    </row>
    <row r="4" spans="1:253" s="542" customFormat="1">
      <c r="A4" s="414" t="s">
        <v>27</v>
      </c>
      <c r="B4" s="414"/>
      <c r="C4" s="414"/>
      <c r="D4" s="414"/>
      <c r="E4" s="434"/>
      <c r="F4" s="414"/>
      <c r="G4" s="546"/>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41"/>
      <c r="AO4" s="541"/>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c r="BT4" s="541"/>
      <c r="BU4" s="541"/>
      <c r="BV4" s="541"/>
      <c r="BW4" s="541"/>
      <c r="BX4" s="541"/>
      <c r="BY4" s="541"/>
      <c r="BZ4" s="541"/>
      <c r="CA4" s="541"/>
      <c r="CB4" s="541"/>
      <c r="CC4" s="541"/>
      <c r="CD4" s="541"/>
      <c r="CE4" s="541"/>
      <c r="CF4" s="541"/>
      <c r="CG4" s="541"/>
      <c r="CH4" s="541"/>
      <c r="CI4" s="541"/>
      <c r="CJ4" s="541"/>
      <c r="CK4" s="541"/>
      <c r="CL4" s="541"/>
      <c r="CM4" s="541"/>
      <c r="CN4" s="541"/>
      <c r="CO4" s="541"/>
      <c r="CP4" s="541"/>
      <c r="CQ4" s="541"/>
      <c r="CR4" s="541"/>
      <c r="CS4" s="541"/>
      <c r="CT4" s="541"/>
      <c r="CU4" s="541"/>
      <c r="CV4" s="541"/>
      <c r="CW4" s="541"/>
      <c r="CX4" s="541"/>
      <c r="CY4" s="541"/>
      <c r="CZ4" s="541"/>
      <c r="DA4" s="541"/>
      <c r="DB4" s="541"/>
      <c r="DC4" s="541"/>
      <c r="DD4" s="541"/>
      <c r="DE4" s="541"/>
      <c r="DF4" s="541"/>
      <c r="DG4" s="541"/>
      <c r="DH4" s="541"/>
      <c r="DI4" s="541"/>
      <c r="DJ4" s="541"/>
      <c r="DK4" s="541"/>
      <c r="DL4" s="541"/>
      <c r="DM4" s="541"/>
      <c r="DN4" s="541"/>
      <c r="DO4" s="541"/>
      <c r="DP4" s="541"/>
      <c r="DQ4" s="541"/>
      <c r="DR4" s="541"/>
      <c r="DS4" s="541"/>
      <c r="DT4" s="541"/>
      <c r="DU4" s="541"/>
      <c r="DV4" s="541"/>
      <c r="DW4" s="541"/>
      <c r="DX4" s="541"/>
      <c r="DY4" s="541"/>
      <c r="DZ4" s="541"/>
      <c r="EA4" s="541"/>
      <c r="EB4" s="541"/>
      <c r="EC4" s="541"/>
      <c r="ED4" s="541"/>
      <c r="EE4" s="541"/>
      <c r="EF4" s="541"/>
      <c r="EG4" s="541"/>
      <c r="EH4" s="541"/>
      <c r="EI4" s="541"/>
      <c r="EJ4" s="541"/>
      <c r="EK4" s="541"/>
      <c r="EL4" s="541"/>
      <c r="EM4" s="541"/>
      <c r="EN4" s="541"/>
      <c r="EO4" s="541"/>
      <c r="EP4" s="541"/>
      <c r="EQ4" s="541"/>
      <c r="ER4" s="541"/>
      <c r="ES4" s="541"/>
      <c r="ET4" s="541"/>
      <c r="EU4" s="541"/>
      <c r="EV4" s="541"/>
      <c r="EW4" s="541"/>
      <c r="EX4" s="541"/>
      <c r="EY4" s="541"/>
      <c r="EZ4" s="541"/>
      <c r="FA4" s="541"/>
      <c r="FB4" s="541"/>
      <c r="FC4" s="541"/>
      <c r="FD4" s="541"/>
      <c r="FE4" s="541"/>
      <c r="FF4" s="541"/>
      <c r="FG4" s="541"/>
      <c r="FH4" s="541"/>
      <c r="FI4" s="541"/>
      <c r="FJ4" s="541"/>
      <c r="FK4" s="541"/>
      <c r="FL4" s="541"/>
      <c r="FM4" s="541"/>
      <c r="FN4" s="541"/>
      <c r="FO4" s="541"/>
      <c r="FP4" s="541"/>
      <c r="FQ4" s="541"/>
      <c r="FR4" s="541"/>
      <c r="FS4" s="541"/>
      <c r="FT4" s="541"/>
      <c r="FU4" s="541"/>
      <c r="FV4" s="541"/>
      <c r="FW4" s="541"/>
      <c r="FX4" s="541"/>
      <c r="FY4" s="541"/>
      <c r="FZ4" s="541"/>
      <c r="GA4" s="541"/>
      <c r="GB4" s="541"/>
      <c r="GC4" s="541"/>
      <c r="GD4" s="541"/>
      <c r="GE4" s="541"/>
      <c r="GF4" s="541"/>
      <c r="GG4" s="541"/>
      <c r="GH4" s="541"/>
      <c r="GI4" s="541"/>
      <c r="GJ4" s="541"/>
      <c r="GK4" s="541"/>
      <c r="GL4" s="541"/>
      <c r="GM4" s="541"/>
      <c r="GN4" s="541"/>
      <c r="GO4" s="541"/>
      <c r="GP4" s="541"/>
      <c r="GQ4" s="541"/>
      <c r="GR4" s="541"/>
      <c r="GS4" s="541"/>
      <c r="GT4" s="541"/>
      <c r="GU4" s="541"/>
      <c r="GV4" s="541"/>
      <c r="GW4" s="541"/>
      <c r="GX4" s="541"/>
      <c r="GY4" s="541"/>
      <c r="GZ4" s="541"/>
      <c r="HA4" s="541"/>
      <c r="HB4" s="541"/>
      <c r="HC4" s="541"/>
      <c r="HD4" s="541"/>
      <c r="HE4" s="541"/>
      <c r="HF4" s="541"/>
      <c r="HG4" s="541"/>
      <c r="HH4" s="541"/>
      <c r="HI4" s="541"/>
      <c r="HJ4" s="541"/>
      <c r="HK4" s="541"/>
      <c r="HL4" s="541"/>
      <c r="HM4" s="541"/>
      <c r="HN4" s="541"/>
      <c r="HO4" s="541"/>
      <c r="HP4" s="541"/>
      <c r="HQ4" s="541"/>
      <c r="HR4" s="541"/>
      <c r="HS4" s="541"/>
      <c r="HT4" s="541"/>
      <c r="HU4" s="541"/>
      <c r="HV4" s="541"/>
      <c r="HW4" s="541"/>
      <c r="HX4" s="541"/>
      <c r="HY4" s="541"/>
      <c r="HZ4" s="541"/>
      <c r="IA4" s="541"/>
      <c r="IB4" s="541"/>
      <c r="IC4" s="541"/>
      <c r="ID4" s="541"/>
      <c r="IE4" s="541"/>
      <c r="IF4" s="541"/>
      <c r="IG4" s="541"/>
      <c r="IH4" s="541"/>
      <c r="II4" s="541"/>
      <c r="IJ4" s="541"/>
      <c r="IK4" s="541"/>
      <c r="IL4" s="541"/>
      <c r="IM4" s="541"/>
      <c r="IN4" s="541"/>
      <c r="IO4" s="541"/>
      <c r="IP4" s="541"/>
      <c r="IQ4" s="541"/>
      <c r="IR4" s="541"/>
      <c r="IS4" s="541"/>
    </row>
    <row r="5" spans="1:253" s="542" customFormat="1">
      <c r="A5" s="563" t="s">
        <v>28</v>
      </c>
      <c r="B5" s="416">
        <f>'Sources and Uses Budget'!$C4</f>
        <v>4500000</v>
      </c>
      <c r="C5" s="416">
        <f>'Sources and Uses Budget'!$C4</f>
        <v>4500000</v>
      </c>
      <c r="D5" s="420">
        <f>C5-B5</f>
        <v>0</v>
      </c>
      <c r="E5" s="418"/>
      <c r="F5" s="417"/>
      <c r="G5" s="546"/>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41"/>
      <c r="AO5" s="541"/>
      <c r="AP5" s="541"/>
      <c r="AQ5" s="541"/>
      <c r="AR5" s="541"/>
      <c r="AS5" s="541"/>
      <c r="AT5" s="541"/>
      <c r="AU5" s="541"/>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c r="BT5" s="541"/>
      <c r="BU5" s="541"/>
      <c r="BV5" s="541"/>
      <c r="BW5" s="541"/>
      <c r="BX5" s="541"/>
      <c r="BY5" s="541"/>
      <c r="BZ5" s="541"/>
      <c r="CA5" s="541"/>
      <c r="CB5" s="541"/>
      <c r="CC5" s="541"/>
      <c r="CD5" s="541"/>
      <c r="CE5" s="541"/>
      <c r="CF5" s="541"/>
      <c r="CG5" s="541"/>
      <c r="CH5" s="541"/>
      <c r="CI5" s="541"/>
      <c r="CJ5" s="541"/>
      <c r="CK5" s="541"/>
      <c r="CL5" s="541"/>
      <c r="CM5" s="541"/>
      <c r="CN5" s="541"/>
      <c r="CO5" s="541"/>
      <c r="CP5" s="541"/>
      <c r="CQ5" s="541"/>
      <c r="CR5" s="541"/>
      <c r="CS5" s="541"/>
      <c r="CT5" s="541"/>
      <c r="CU5" s="541"/>
      <c r="CV5" s="541"/>
      <c r="CW5" s="541"/>
      <c r="CX5" s="541"/>
      <c r="CY5" s="541"/>
      <c r="CZ5" s="541"/>
      <c r="DA5" s="541"/>
      <c r="DB5" s="541"/>
      <c r="DC5" s="541"/>
      <c r="DD5" s="541"/>
      <c r="DE5" s="541"/>
      <c r="DF5" s="541"/>
      <c r="DG5" s="541"/>
      <c r="DH5" s="541"/>
      <c r="DI5" s="541"/>
      <c r="DJ5" s="541"/>
      <c r="DK5" s="541"/>
      <c r="DL5" s="541"/>
      <c r="DM5" s="541"/>
      <c r="DN5" s="541"/>
      <c r="DO5" s="541"/>
      <c r="DP5" s="541"/>
      <c r="DQ5" s="541"/>
      <c r="DR5" s="541"/>
      <c r="DS5" s="541"/>
      <c r="DT5" s="541"/>
      <c r="DU5" s="541"/>
      <c r="DV5" s="541"/>
      <c r="DW5" s="541"/>
      <c r="DX5" s="541"/>
      <c r="DY5" s="541"/>
      <c r="DZ5" s="541"/>
      <c r="EA5" s="541"/>
      <c r="EB5" s="541"/>
      <c r="EC5" s="541"/>
      <c r="ED5" s="541"/>
      <c r="EE5" s="541"/>
      <c r="EF5" s="541"/>
      <c r="EG5" s="541"/>
      <c r="EH5" s="541"/>
      <c r="EI5" s="541"/>
      <c r="EJ5" s="541"/>
      <c r="EK5" s="541"/>
      <c r="EL5" s="541"/>
      <c r="EM5" s="541"/>
      <c r="EN5" s="541"/>
      <c r="EO5" s="541"/>
      <c r="EP5" s="541"/>
      <c r="EQ5" s="541"/>
      <c r="ER5" s="541"/>
      <c r="ES5" s="541"/>
      <c r="ET5" s="541"/>
      <c r="EU5" s="541"/>
      <c r="EV5" s="541"/>
      <c r="EW5" s="541"/>
      <c r="EX5" s="541"/>
      <c r="EY5" s="541"/>
      <c r="EZ5" s="541"/>
      <c r="FA5" s="541"/>
      <c r="FB5" s="541"/>
      <c r="FC5" s="541"/>
      <c r="FD5" s="541"/>
      <c r="FE5" s="541"/>
      <c r="FF5" s="541"/>
      <c r="FG5" s="541"/>
      <c r="FH5" s="541"/>
      <c r="FI5" s="541"/>
      <c r="FJ5" s="541"/>
      <c r="FK5" s="541"/>
      <c r="FL5" s="541"/>
      <c r="FM5" s="541"/>
      <c r="FN5" s="541"/>
      <c r="FO5" s="541"/>
      <c r="FP5" s="541"/>
      <c r="FQ5" s="541"/>
      <c r="FR5" s="541"/>
      <c r="FS5" s="541"/>
      <c r="FT5" s="541"/>
      <c r="FU5" s="541"/>
      <c r="FV5" s="541"/>
      <c r="FW5" s="541"/>
      <c r="FX5" s="541"/>
      <c r="FY5" s="541"/>
      <c r="FZ5" s="541"/>
      <c r="GA5" s="541"/>
      <c r="GB5" s="541"/>
      <c r="GC5" s="541"/>
      <c r="GD5" s="541"/>
      <c r="GE5" s="541"/>
      <c r="GF5" s="541"/>
      <c r="GG5" s="541"/>
      <c r="GH5" s="541"/>
      <c r="GI5" s="541"/>
      <c r="GJ5" s="541"/>
      <c r="GK5" s="541"/>
      <c r="GL5" s="541"/>
      <c r="GM5" s="541"/>
      <c r="GN5" s="541"/>
      <c r="GO5" s="541"/>
      <c r="GP5" s="541"/>
      <c r="GQ5" s="541"/>
      <c r="GR5" s="541"/>
      <c r="GS5" s="541"/>
      <c r="GT5" s="541"/>
      <c r="GU5" s="541"/>
      <c r="GV5" s="541"/>
      <c r="GW5" s="541"/>
      <c r="GX5" s="541"/>
      <c r="GY5" s="541"/>
      <c r="GZ5" s="541"/>
      <c r="HA5" s="541"/>
      <c r="HB5" s="541"/>
      <c r="HC5" s="541"/>
      <c r="HD5" s="541"/>
      <c r="HE5" s="541"/>
      <c r="HF5" s="541"/>
      <c r="HG5" s="541"/>
      <c r="HH5" s="541"/>
      <c r="HI5" s="541"/>
      <c r="HJ5" s="541"/>
      <c r="HK5" s="541"/>
      <c r="HL5" s="541"/>
      <c r="HM5" s="541"/>
      <c r="HN5" s="541"/>
      <c r="HO5" s="541"/>
      <c r="HP5" s="541"/>
      <c r="HQ5" s="541"/>
      <c r="HR5" s="541"/>
      <c r="HS5" s="541"/>
      <c r="HT5" s="541"/>
      <c r="HU5" s="541"/>
      <c r="HV5" s="541"/>
      <c r="HW5" s="541"/>
      <c r="HX5" s="541"/>
      <c r="HY5" s="541"/>
      <c r="HZ5" s="541"/>
      <c r="IA5" s="541"/>
      <c r="IB5" s="541"/>
      <c r="IC5" s="541"/>
      <c r="ID5" s="541"/>
      <c r="IE5" s="541"/>
      <c r="IF5" s="541"/>
      <c r="IG5" s="541"/>
      <c r="IH5" s="541"/>
      <c r="II5" s="541"/>
      <c r="IJ5" s="541"/>
      <c r="IK5" s="541"/>
      <c r="IL5" s="541"/>
      <c r="IM5" s="541"/>
      <c r="IN5" s="541"/>
      <c r="IO5" s="541"/>
      <c r="IP5" s="541"/>
      <c r="IQ5" s="541"/>
      <c r="IR5" s="541"/>
      <c r="IS5" s="541"/>
    </row>
    <row r="6" spans="1:253" s="542" customFormat="1">
      <c r="A6" s="563" t="s">
        <v>29</v>
      </c>
      <c r="B6" s="416">
        <f>'Sources and Uses Budget'!$C5</f>
        <v>120000</v>
      </c>
      <c r="C6" s="416">
        <f>'Sources and Uses Budget'!$C5</f>
        <v>120000</v>
      </c>
      <c r="D6" s="420">
        <f t="shared" ref="D6:D77" si="0">C6-B6</f>
        <v>0</v>
      </c>
      <c r="E6" s="418"/>
      <c r="F6" s="417"/>
      <c r="G6" s="546"/>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1"/>
      <c r="AN6" s="541"/>
      <c r="AO6" s="541"/>
      <c r="AP6" s="541"/>
      <c r="AQ6" s="541"/>
      <c r="AR6" s="541"/>
      <c r="AS6" s="541"/>
      <c r="AT6" s="541"/>
      <c r="AU6" s="541"/>
      <c r="AV6" s="541"/>
      <c r="AW6" s="541"/>
      <c r="AX6" s="541"/>
      <c r="AY6" s="541"/>
      <c r="AZ6" s="541"/>
      <c r="BA6" s="541"/>
      <c r="BB6" s="541"/>
      <c r="BC6" s="541"/>
      <c r="BD6" s="541"/>
      <c r="BE6" s="541"/>
      <c r="BF6" s="541"/>
      <c r="BG6" s="541"/>
      <c r="BH6" s="541"/>
      <c r="BI6" s="541"/>
      <c r="BJ6" s="541"/>
      <c r="BK6" s="541"/>
      <c r="BL6" s="541"/>
      <c r="BM6" s="541"/>
      <c r="BN6" s="541"/>
      <c r="BO6" s="541"/>
      <c r="BP6" s="541"/>
      <c r="BQ6" s="541"/>
      <c r="BR6" s="541"/>
      <c r="BS6" s="541"/>
      <c r="BT6" s="541"/>
      <c r="BU6" s="541"/>
      <c r="BV6" s="541"/>
      <c r="BW6" s="541"/>
      <c r="BX6" s="541"/>
      <c r="BY6" s="541"/>
      <c r="BZ6" s="541"/>
      <c r="CA6" s="541"/>
      <c r="CB6" s="541"/>
      <c r="CC6" s="541"/>
      <c r="CD6" s="541"/>
      <c r="CE6" s="541"/>
      <c r="CF6" s="541"/>
      <c r="CG6" s="541"/>
      <c r="CH6" s="541"/>
      <c r="CI6" s="541"/>
      <c r="CJ6" s="541"/>
      <c r="CK6" s="541"/>
      <c r="CL6" s="541"/>
      <c r="CM6" s="541"/>
      <c r="CN6" s="541"/>
      <c r="CO6" s="541"/>
      <c r="CP6" s="541"/>
      <c r="CQ6" s="541"/>
      <c r="CR6" s="541"/>
      <c r="CS6" s="541"/>
      <c r="CT6" s="541"/>
      <c r="CU6" s="541"/>
      <c r="CV6" s="541"/>
      <c r="CW6" s="541"/>
      <c r="CX6" s="541"/>
      <c r="CY6" s="541"/>
      <c r="CZ6" s="541"/>
      <c r="DA6" s="541"/>
      <c r="DB6" s="541"/>
      <c r="DC6" s="541"/>
      <c r="DD6" s="541"/>
      <c r="DE6" s="541"/>
      <c r="DF6" s="541"/>
      <c r="DG6" s="541"/>
      <c r="DH6" s="541"/>
      <c r="DI6" s="541"/>
      <c r="DJ6" s="541"/>
      <c r="DK6" s="541"/>
      <c r="DL6" s="541"/>
      <c r="DM6" s="541"/>
      <c r="DN6" s="541"/>
      <c r="DO6" s="541"/>
      <c r="DP6" s="541"/>
      <c r="DQ6" s="541"/>
      <c r="DR6" s="541"/>
      <c r="DS6" s="541"/>
      <c r="DT6" s="541"/>
      <c r="DU6" s="541"/>
      <c r="DV6" s="541"/>
      <c r="DW6" s="541"/>
      <c r="DX6" s="541"/>
      <c r="DY6" s="541"/>
      <c r="DZ6" s="541"/>
      <c r="EA6" s="541"/>
      <c r="EB6" s="541"/>
      <c r="EC6" s="541"/>
      <c r="ED6" s="541"/>
      <c r="EE6" s="541"/>
      <c r="EF6" s="541"/>
      <c r="EG6" s="541"/>
      <c r="EH6" s="541"/>
      <c r="EI6" s="541"/>
      <c r="EJ6" s="541"/>
      <c r="EK6" s="541"/>
      <c r="EL6" s="541"/>
      <c r="EM6" s="541"/>
      <c r="EN6" s="541"/>
      <c r="EO6" s="541"/>
      <c r="EP6" s="541"/>
      <c r="EQ6" s="541"/>
      <c r="ER6" s="541"/>
      <c r="ES6" s="541"/>
      <c r="ET6" s="541"/>
      <c r="EU6" s="541"/>
      <c r="EV6" s="541"/>
      <c r="EW6" s="541"/>
      <c r="EX6" s="541"/>
      <c r="EY6" s="541"/>
      <c r="EZ6" s="541"/>
      <c r="FA6" s="541"/>
      <c r="FB6" s="541"/>
      <c r="FC6" s="541"/>
      <c r="FD6" s="541"/>
      <c r="FE6" s="541"/>
      <c r="FF6" s="541"/>
      <c r="FG6" s="541"/>
      <c r="FH6" s="541"/>
      <c r="FI6" s="541"/>
      <c r="FJ6" s="541"/>
      <c r="FK6" s="541"/>
      <c r="FL6" s="541"/>
      <c r="FM6" s="541"/>
      <c r="FN6" s="541"/>
      <c r="FO6" s="541"/>
      <c r="FP6" s="541"/>
      <c r="FQ6" s="541"/>
      <c r="FR6" s="541"/>
      <c r="FS6" s="541"/>
      <c r="FT6" s="541"/>
      <c r="FU6" s="541"/>
      <c r="FV6" s="541"/>
      <c r="FW6" s="541"/>
      <c r="FX6" s="541"/>
      <c r="FY6" s="541"/>
      <c r="FZ6" s="541"/>
      <c r="GA6" s="541"/>
      <c r="GB6" s="541"/>
      <c r="GC6" s="541"/>
      <c r="GD6" s="541"/>
      <c r="GE6" s="541"/>
      <c r="GF6" s="541"/>
      <c r="GG6" s="541"/>
      <c r="GH6" s="541"/>
      <c r="GI6" s="541"/>
      <c r="GJ6" s="541"/>
      <c r="GK6" s="541"/>
      <c r="GL6" s="541"/>
      <c r="GM6" s="541"/>
      <c r="GN6" s="541"/>
      <c r="GO6" s="541"/>
      <c r="GP6" s="541"/>
      <c r="GQ6" s="541"/>
      <c r="GR6" s="541"/>
      <c r="GS6" s="541"/>
      <c r="GT6" s="541"/>
      <c r="GU6" s="541"/>
      <c r="GV6" s="541"/>
      <c r="GW6" s="541"/>
      <c r="GX6" s="541"/>
      <c r="GY6" s="541"/>
      <c r="GZ6" s="541"/>
      <c r="HA6" s="541"/>
      <c r="HB6" s="541"/>
      <c r="HC6" s="541"/>
      <c r="HD6" s="541"/>
      <c r="HE6" s="541"/>
      <c r="HF6" s="541"/>
      <c r="HG6" s="541"/>
      <c r="HH6" s="541"/>
      <c r="HI6" s="541"/>
      <c r="HJ6" s="541"/>
      <c r="HK6" s="541"/>
      <c r="HL6" s="541"/>
      <c r="HM6" s="541"/>
      <c r="HN6" s="541"/>
      <c r="HO6" s="541"/>
      <c r="HP6" s="541"/>
      <c r="HQ6" s="541"/>
      <c r="HR6" s="541"/>
      <c r="HS6" s="541"/>
      <c r="HT6" s="541"/>
      <c r="HU6" s="541"/>
      <c r="HV6" s="541"/>
      <c r="HW6" s="541"/>
      <c r="HX6" s="541"/>
      <c r="HY6" s="541"/>
      <c r="HZ6" s="541"/>
      <c r="IA6" s="541"/>
      <c r="IB6" s="541"/>
      <c r="IC6" s="541"/>
      <c r="ID6" s="541"/>
      <c r="IE6" s="541"/>
      <c r="IF6" s="541"/>
      <c r="IG6" s="541"/>
      <c r="IH6" s="541"/>
      <c r="II6" s="541"/>
      <c r="IJ6" s="541"/>
      <c r="IK6" s="541"/>
      <c r="IL6" s="541"/>
      <c r="IM6" s="541"/>
      <c r="IN6" s="541"/>
      <c r="IO6" s="541"/>
      <c r="IP6" s="541"/>
      <c r="IQ6" s="541"/>
      <c r="IR6" s="541"/>
      <c r="IS6" s="541"/>
    </row>
    <row r="7" spans="1:253" s="542" customFormat="1">
      <c r="A7" s="563" t="s">
        <v>30</v>
      </c>
      <c r="B7" s="416">
        <f>'Sources and Uses Budget'!$C6</f>
        <v>47275</v>
      </c>
      <c r="C7" s="416">
        <f>'Sources and Uses Budget'!$C6</f>
        <v>47275</v>
      </c>
      <c r="D7" s="420">
        <f t="shared" si="0"/>
        <v>0</v>
      </c>
      <c r="E7" s="418"/>
      <c r="F7" s="417"/>
      <c r="G7" s="546"/>
      <c r="H7" s="541"/>
      <c r="I7" s="541"/>
      <c r="J7" s="541"/>
      <c r="K7" s="541"/>
      <c r="L7" s="541"/>
      <c r="M7" s="541"/>
      <c r="N7" s="541"/>
      <c r="O7" s="541"/>
      <c r="P7" s="541"/>
      <c r="Q7" s="541"/>
      <c r="R7" s="541"/>
      <c r="S7" s="541"/>
      <c r="T7" s="541"/>
      <c r="U7" s="541"/>
      <c r="V7" s="541"/>
      <c r="W7" s="541"/>
      <c r="X7" s="541"/>
      <c r="Y7" s="541"/>
      <c r="Z7" s="541"/>
      <c r="AA7" s="541"/>
      <c r="AB7" s="541"/>
      <c r="AC7" s="541"/>
      <c r="AD7" s="541"/>
      <c r="AE7" s="541"/>
      <c r="AF7" s="541"/>
      <c r="AG7" s="541"/>
      <c r="AH7" s="541"/>
      <c r="AI7" s="541"/>
      <c r="AJ7" s="541"/>
      <c r="AK7" s="541"/>
      <c r="AL7" s="541"/>
      <c r="AM7" s="541"/>
      <c r="AN7" s="541"/>
      <c r="AO7" s="541"/>
      <c r="AP7" s="541"/>
      <c r="AQ7" s="541"/>
      <c r="AR7" s="541"/>
      <c r="AS7" s="541"/>
      <c r="AT7" s="541"/>
      <c r="AU7" s="541"/>
      <c r="AV7" s="541"/>
      <c r="AW7" s="541"/>
      <c r="AX7" s="541"/>
      <c r="AY7" s="541"/>
      <c r="AZ7" s="541"/>
      <c r="BA7" s="541"/>
      <c r="BB7" s="541"/>
      <c r="BC7" s="541"/>
      <c r="BD7" s="541"/>
      <c r="BE7" s="541"/>
      <c r="BF7" s="541"/>
      <c r="BG7" s="541"/>
      <c r="BH7" s="541"/>
      <c r="BI7" s="541"/>
      <c r="BJ7" s="541"/>
      <c r="BK7" s="541"/>
      <c r="BL7" s="541"/>
      <c r="BM7" s="541"/>
      <c r="BN7" s="541"/>
      <c r="BO7" s="541"/>
      <c r="BP7" s="541"/>
      <c r="BQ7" s="541"/>
      <c r="BR7" s="541"/>
      <c r="BS7" s="541"/>
      <c r="BT7" s="541"/>
      <c r="BU7" s="541"/>
      <c r="BV7" s="541"/>
      <c r="BW7" s="541"/>
      <c r="BX7" s="541"/>
      <c r="BY7" s="541"/>
      <c r="BZ7" s="541"/>
      <c r="CA7" s="541"/>
      <c r="CB7" s="541"/>
      <c r="CC7" s="541"/>
      <c r="CD7" s="541"/>
      <c r="CE7" s="541"/>
      <c r="CF7" s="541"/>
      <c r="CG7" s="541"/>
      <c r="CH7" s="541"/>
      <c r="CI7" s="541"/>
      <c r="CJ7" s="541"/>
      <c r="CK7" s="541"/>
      <c r="CL7" s="541"/>
      <c r="CM7" s="541"/>
      <c r="CN7" s="541"/>
      <c r="CO7" s="541"/>
      <c r="CP7" s="541"/>
      <c r="CQ7" s="541"/>
      <c r="CR7" s="541"/>
      <c r="CS7" s="541"/>
      <c r="CT7" s="541"/>
      <c r="CU7" s="541"/>
      <c r="CV7" s="541"/>
      <c r="CW7" s="541"/>
      <c r="CX7" s="541"/>
      <c r="CY7" s="541"/>
      <c r="CZ7" s="541"/>
      <c r="DA7" s="541"/>
      <c r="DB7" s="541"/>
      <c r="DC7" s="541"/>
      <c r="DD7" s="541"/>
      <c r="DE7" s="541"/>
      <c r="DF7" s="541"/>
      <c r="DG7" s="541"/>
      <c r="DH7" s="541"/>
      <c r="DI7" s="541"/>
      <c r="DJ7" s="541"/>
      <c r="DK7" s="541"/>
      <c r="DL7" s="541"/>
      <c r="DM7" s="541"/>
      <c r="DN7" s="541"/>
      <c r="DO7" s="541"/>
      <c r="DP7" s="541"/>
      <c r="DQ7" s="541"/>
      <c r="DR7" s="541"/>
      <c r="DS7" s="541"/>
      <c r="DT7" s="541"/>
      <c r="DU7" s="541"/>
      <c r="DV7" s="541"/>
      <c r="DW7" s="541"/>
      <c r="DX7" s="541"/>
      <c r="DY7" s="541"/>
      <c r="DZ7" s="541"/>
      <c r="EA7" s="541"/>
      <c r="EB7" s="541"/>
      <c r="EC7" s="541"/>
      <c r="ED7" s="541"/>
      <c r="EE7" s="541"/>
      <c r="EF7" s="541"/>
      <c r="EG7" s="541"/>
      <c r="EH7" s="541"/>
      <c r="EI7" s="541"/>
      <c r="EJ7" s="541"/>
      <c r="EK7" s="541"/>
      <c r="EL7" s="541"/>
      <c r="EM7" s="541"/>
      <c r="EN7" s="541"/>
      <c r="EO7" s="541"/>
      <c r="EP7" s="541"/>
      <c r="EQ7" s="541"/>
      <c r="ER7" s="541"/>
      <c r="ES7" s="541"/>
      <c r="ET7" s="541"/>
      <c r="EU7" s="541"/>
      <c r="EV7" s="541"/>
      <c r="EW7" s="541"/>
      <c r="EX7" s="541"/>
      <c r="EY7" s="541"/>
      <c r="EZ7" s="541"/>
      <c r="FA7" s="541"/>
      <c r="FB7" s="541"/>
      <c r="FC7" s="541"/>
      <c r="FD7" s="541"/>
      <c r="FE7" s="541"/>
      <c r="FF7" s="541"/>
      <c r="FG7" s="541"/>
      <c r="FH7" s="541"/>
      <c r="FI7" s="541"/>
      <c r="FJ7" s="541"/>
      <c r="FK7" s="541"/>
      <c r="FL7" s="541"/>
      <c r="FM7" s="541"/>
      <c r="FN7" s="541"/>
      <c r="FO7" s="541"/>
      <c r="FP7" s="541"/>
      <c r="FQ7" s="541"/>
      <c r="FR7" s="541"/>
      <c r="FS7" s="541"/>
      <c r="FT7" s="541"/>
      <c r="FU7" s="541"/>
      <c r="FV7" s="541"/>
      <c r="FW7" s="541"/>
      <c r="FX7" s="541"/>
      <c r="FY7" s="541"/>
      <c r="FZ7" s="541"/>
      <c r="GA7" s="541"/>
      <c r="GB7" s="541"/>
      <c r="GC7" s="541"/>
      <c r="GD7" s="541"/>
      <c r="GE7" s="541"/>
      <c r="GF7" s="541"/>
      <c r="GG7" s="541"/>
      <c r="GH7" s="541"/>
      <c r="GI7" s="541"/>
      <c r="GJ7" s="541"/>
      <c r="GK7" s="541"/>
      <c r="GL7" s="541"/>
      <c r="GM7" s="541"/>
      <c r="GN7" s="541"/>
      <c r="GO7" s="541"/>
      <c r="GP7" s="541"/>
      <c r="GQ7" s="541"/>
      <c r="GR7" s="541"/>
      <c r="GS7" s="541"/>
      <c r="GT7" s="541"/>
      <c r="GU7" s="541"/>
      <c r="GV7" s="541"/>
      <c r="GW7" s="541"/>
      <c r="GX7" s="541"/>
      <c r="GY7" s="541"/>
      <c r="GZ7" s="541"/>
      <c r="HA7" s="541"/>
      <c r="HB7" s="541"/>
      <c r="HC7" s="541"/>
      <c r="HD7" s="541"/>
      <c r="HE7" s="541"/>
      <c r="HF7" s="541"/>
      <c r="HG7" s="541"/>
      <c r="HH7" s="541"/>
      <c r="HI7" s="541"/>
      <c r="HJ7" s="541"/>
      <c r="HK7" s="541"/>
      <c r="HL7" s="541"/>
      <c r="HM7" s="541"/>
      <c r="HN7" s="541"/>
      <c r="HO7" s="541"/>
      <c r="HP7" s="541"/>
      <c r="HQ7" s="541"/>
      <c r="HR7" s="541"/>
      <c r="HS7" s="541"/>
      <c r="HT7" s="541"/>
      <c r="HU7" s="541"/>
      <c r="HV7" s="541"/>
      <c r="HW7" s="541"/>
      <c r="HX7" s="541"/>
      <c r="HY7" s="541"/>
      <c r="HZ7" s="541"/>
      <c r="IA7" s="541"/>
      <c r="IB7" s="541"/>
      <c r="IC7" s="541"/>
      <c r="ID7" s="541"/>
      <c r="IE7" s="541"/>
      <c r="IF7" s="541"/>
      <c r="IG7" s="541"/>
      <c r="IH7" s="541"/>
      <c r="II7" s="541"/>
      <c r="IJ7" s="541"/>
      <c r="IK7" s="541"/>
      <c r="IL7" s="541"/>
      <c r="IM7" s="541"/>
      <c r="IN7" s="541"/>
      <c r="IO7" s="541"/>
      <c r="IP7" s="541"/>
      <c r="IQ7" s="541"/>
      <c r="IR7" s="541"/>
      <c r="IS7" s="541"/>
    </row>
    <row r="8" spans="1:253" s="542" customFormat="1">
      <c r="A8" s="563" t="s">
        <v>102</v>
      </c>
      <c r="B8" s="416">
        <f>'Sources and Uses Budget'!$C7</f>
        <v>0</v>
      </c>
      <c r="C8" s="416">
        <f>'Sources and Uses Budget'!$C7</f>
        <v>0</v>
      </c>
      <c r="D8" s="420">
        <f t="shared" si="0"/>
        <v>0</v>
      </c>
      <c r="E8" s="418"/>
      <c r="F8" s="417"/>
      <c r="G8" s="546"/>
      <c r="H8" s="541"/>
      <c r="I8" s="541"/>
      <c r="J8" s="541"/>
      <c r="K8" s="541"/>
      <c r="L8" s="541"/>
      <c r="M8" s="541"/>
      <c r="N8" s="541"/>
      <c r="O8" s="541"/>
      <c r="P8" s="541"/>
      <c r="Q8" s="541"/>
      <c r="R8" s="541"/>
      <c r="S8" s="541"/>
      <c r="T8" s="541"/>
      <c r="U8" s="541"/>
      <c r="V8" s="541"/>
      <c r="W8" s="541"/>
      <c r="X8" s="541"/>
      <c r="Y8" s="541"/>
      <c r="Z8" s="541"/>
      <c r="AA8" s="541"/>
      <c r="AB8" s="541"/>
      <c r="AC8" s="541"/>
      <c r="AD8" s="541"/>
      <c r="AE8" s="541"/>
      <c r="AF8" s="541"/>
      <c r="AG8" s="541"/>
      <c r="AH8" s="541"/>
      <c r="AI8" s="541"/>
      <c r="AJ8" s="541"/>
      <c r="AK8" s="541"/>
      <c r="AL8" s="541"/>
      <c r="AM8" s="541"/>
      <c r="AN8" s="541"/>
      <c r="AO8" s="541"/>
      <c r="AP8" s="541"/>
      <c r="AQ8" s="541"/>
      <c r="AR8" s="541"/>
      <c r="AS8" s="541"/>
      <c r="AT8" s="541"/>
      <c r="AU8" s="541"/>
      <c r="AV8" s="541"/>
      <c r="AW8" s="541"/>
      <c r="AX8" s="541"/>
      <c r="AY8" s="541"/>
      <c r="AZ8" s="541"/>
      <c r="BA8" s="541"/>
      <c r="BB8" s="541"/>
      <c r="BC8" s="541"/>
      <c r="BD8" s="541"/>
      <c r="BE8" s="541"/>
      <c r="BF8" s="541"/>
      <c r="BG8" s="541"/>
      <c r="BH8" s="541"/>
      <c r="BI8" s="541"/>
      <c r="BJ8" s="541"/>
      <c r="BK8" s="541"/>
      <c r="BL8" s="541"/>
      <c r="BM8" s="541"/>
      <c r="BN8" s="541"/>
      <c r="BO8" s="541"/>
      <c r="BP8" s="541"/>
      <c r="BQ8" s="541"/>
      <c r="BR8" s="541"/>
      <c r="BS8" s="541"/>
      <c r="BT8" s="541"/>
      <c r="BU8" s="541"/>
      <c r="BV8" s="541"/>
      <c r="BW8" s="541"/>
      <c r="BX8" s="541"/>
      <c r="BY8" s="541"/>
      <c r="BZ8" s="541"/>
      <c r="CA8" s="541"/>
      <c r="CB8" s="541"/>
      <c r="CC8" s="541"/>
      <c r="CD8" s="541"/>
      <c r="CE8" s="541"/>
      <c r="CF8" s="541"/>
      <c r="CG8" s="541"/>
      <c r="CH8" s="541"/>
      <c r="CI8" s="541"/>
      <c r="CJ8" s="541"/>
      <c r="CK8" s="541"/>
      <c r="CL8" s="541"/>
      <c r="CM8" s="541"/>
      <c r="CN8" s="541"/>
      <c r="CO8" s="541"/>
      <c r="CP8" s="541"/>
      <c r="CQ8" s="541"/>
      <c r="CR8" s="541"/>
      <c r="CS8" s="541"/>
      <c r="CT8" s="541"/>
      <c r="CU8" s="541"/>
      <c r="CV8" s="541"/>
      <c r="CW8" s="541"/>
      <c r="CX8" s="541"/>
      <c r="CY8" s="541"/>
      <c r="CZ8" s="541"/>
      <c r="DA8" s="541"/>
      <c r="DB8" s="541"/>
      <c r="DC8" s="541"/>
      <c r="DD8" s="541"/>
      <c r="DE8" s="541"/>
      <c r="DF8" s="541"/>
      <c r="DG8" s="541"/>
      <c r="DH8" s="541"/>
      <c r="DI8" s="541"/>
      <c r="DJ8" s="541"/>
      <c r="DK8" s="541"/>
      <c r="DL8" s="541"/>
      <c r="DM8" s="541"/>
      <c r="DN8" s="541"/>
      <c r="DO8" s="541"/>
      <c r="DP8" s="541"/>
      <c r="DQ8" s="541"/>
      <c r="DR8" s="541"/>
      <c r="DS8" s="541"/>
      <c r="DT8" s="541"/>
      <c r="DU8" s="541"/>
      <c r="DV8" s="541"/>
      <c r="DW8" s="541"/>
      <c r="DX8" s="541"/>
      <c r="DY8" s="541"/>
      <c r="DZ8" s="541"/>
      <c r="EA8" s="541"/>
      <c r="EB8" s="541"/>
      <c r="EC8" s="541"/>
      <c r="ED8" s="541"/>
      <c r="EE8" s="541"/>
      <c r="EF8" s="541"/>
      <c r="EG8" s="541"/>
      <c r="EH8" s="541"/>
      <c r="EI8" s="541"/>
      <c r="EJ8" s="541"/>
      <c r="EK8" s="541"/>
      <c r="EL8" s="541"/>
      <c r="EM8" s="541"/>
      <c r="EN8" s="541"/>
      <c r="EO8" s="541"/>
      <c r="EP8" s="541"/>
      <c r="EQ8" s="541"/>
      <c r="ER8" s="541"/>
      <c r="ES8" s="541"/>
      <c r="ET8" s="541"/>
      <c r="EU8" s="541"/>
      <c r="EV8" s="541"/>
      <c r="EW8" s="541"/>
      <c r="EX8" s="541"/>
      <c r="EY8" s="541"/>
      <c r="EZ8" s="541"/>
      <c r="FA8" s="541"/>
      <c r="FB8" s="541"/>
      <c r="FC8" s="541"/>
      <c r="FD8" s="541"/>
      <c r="FE8" s="541"/>
      <c r="FF8" s="541"/>
      <c r="FG8" s="541"/>
      <c r="FH8" s="541"/>
      <c r="FI8" s="541"/>
      <c r="FJ8" s="541"/>
      <c r="FK8" s="541"/>
      <c r="FL8" s="541"/>
      <c r="FM8" s="541"/>
      <c r="FN8" s="541"/>
      <c r="FO8" s="541"/>
      <c r="FP8" s="541"/>
      <c r="FQ8" s="541"/>
      <c r="FR8" s="541"/>
      <c r="FS8" s="541"/>
      <c r="FT8" s="541"/>
      <c r="FU8" s="541"/>
      <c r="FV8" s="541"/>
      <c r="FW8" s="541"/>
      <c r="FX8" s="541"/>
      <c r="FY8" s="541"/>
      <c r="FZ8" s="541"/>
      <c r="GA8" s="541"/>
      <c r="GB8" s="541"/>
      <c r="GC8" s="541"/>
      <c r="GD8" s="541"/>
      <c r="GE8" s="541"/>
      <c r="GF8" s="541"/>
      <c r="GG8" s="541"/>
      <c r="GH8" s="541"/>
      <c r="GI8" s="541"/>
      <c r="GJ8" s="541"/>
      <c r="GK8" s="541"/>
      <c r="GL8" s="541"/>
      <c r="GM8" s="541"/>
      <c r="GN8" s="541"/>
      <c r="GO8" s="541"/>
      <c r="GP8" s="541"/>
      <c r="GQ8" s="541"/>
      <c r="GR8" s="541"/>
      <c r="GS8" s="541"/>
      <c r="GT8" s="541"/>
      <c r="GU8" s="541"/>
      <c r="GV8" s="541"/>
      <c r="GW8" s="541"/>
      <c r="GX8" s="541"/>
      <c r="GY8" s="541"/>
      <c r="GZ8" s="541"/>
      <c r="HA8" s="541"/>
      <c r="HB8" s="541"/>
      <c r="HC8" s="541"/>
      <c r="HD8" s="541"/>
      <c r="HE8" s="541"/>
      <c r="HF8" s="541"/>
      <c r="HG8" s="541"/>
      <c r="HH8" s="541"/>
      <c r="HI8" s="541"/>
      <c r="HJ8" s="541"/>
      <c r="HK8" s="541"/>
      <c r="HL8" s="541"/>
      <c r="HM8" s="541"/>
      <c r="HN8" s="541"/>
      <c r="HO8" s="541"/>
      <c r="HP8" s="541"/>
      <c r="HQ8" s="541"/>
      <c r="HR8" s="541"/>
      <c r="HS8" s="541"/>
      <c r="HT8" s="541"/>
      <c r="HU8" s="541"/>
      <c r="HV8" s="541"/>
      <c r="HW8" s="541"/>
      <c r="HX8" s="541"/>
      <c r="HY8" s="541"/>
      <c r="HZ8" s="541"/>
      <c r="IA8" s="541"/>
      <c r="IB8" s="541"/>
      <c r="IC8" s="541"/>
      <c r="ID8" s="541"/>
      <c r="IE8" s="541"/>
      <c r="IF8" s="541"/>
      <c r="IG8" s="541"/>
      <c r="IH8" s="541"/>
      <c r="II8" s="541"/>
      <c r="IJ8" s="541"/>
      <c r="IK8" s="541"/>
      <c r="IL8" s="541"/>
      <c r="IM8" s="541"/>
      <c r="IN8" s="541"/>
      <c r="IO8" s="541"/>
      <c r="IP8" s="541"/>
      <c r="IQ8" s="541"/>
      <c r="IR8" s="541"/>
      <c r="IS8" s="541"/>
    </row>
    <row r="9" spans="1:253" s="542" customFormat="1">
      <c r="A9" s="564" t="s">
        <v>628</v>
      </c>
      <c r="B9" s="420">
        <f>SUM(B5:B8)</f>
        <v>4667275</v>
      </c>
      <c r="C9" s="420">
        <f>SUM(C5:C8)</f>
        <v>4667275</v>
      </c>
      <c r="D9" s="420">
        <f t="shared" si="0"/>
        <v>0</v>
      </c>
      <c r="E9" s="418"/>
      <c r="F9" s="417"/>
      <c r="G9" s="546"/>
      <c r="H9" s="541"/>
      <c r="I9" s="541"/>
      <c r="J9" s="541"/>
      <c r="K9" s="541"/>
      <c r="L9" s="541"/>
      <c r="M9" s="541"/>
      <c r="N9" s="541"/>
      <c r="O9" s="541"/>
      <c r="P9" s="541"/>
      <c r="Q9" s="541"/>
      <c r="R9" s="541"/>
      <c r="S9" s="541"/>
      <c r="T9" s="541"/>
      <c r="U9" s="541"/>
      <c r="V9" s="541"/>
      <c r="W9" s="541"/>
      <c r="X9" s="541"/>
      <c r="Y9" s="541"/>
      <c r="Z9" s="541"/>
      <c r="AA9" s="541"/>
      <c r="AB9" s="541"/>
      <c r="AC9" s="541"/>
      <c r="AD9" s="541"/>
      <c r="AE9" s="541"/>
      <c r="AF9" s="541"/>
      <c r="AG9" s="541"/>
      <c r="AH9" s="541"/>
      <c r="AI9" s="541"/>
      <c r="AJ9" s="541"/>
      <c r="AK9" s="541"/>
      <c r="AL9" s="541"/>
      <c r="AM9" s="541"/>
      <c r="AN9" s="541"/>
      <c r="AO9" s="541"/>
      <c r="AP9" s="541"/>
      <c r="AQ9" s="541"/>
      <c r="AR9" s="541"/>
      <c r="AS9" s="541"/>
      <c r="AT9" s="541"/>
      <c r="AU9" s="541"/>
      <c r="AV9" s="541"/>
      <c r="AW9" s="541"/>
      <c r="AX9" s="541"/>
      <c r="AY9" s="541"/>
      <c r="AZ9" s="541"/>
      <c r="BA9" s="541"/>
      <c r="BB9" s="541"/>
      <c r="BC9" s="541"/>
      <c r="BD9" s="541"/>
      <c r="BE9" s="541"/>
      <c r="BF9" s="541"/>
      <c r="BG9" s="541"/>
      <c r="BH9" s="541"/>
      <c r="BI9" s="541"/>
      <c r="BJ9" s="541"/>
      <c r="BK9" s="541"/>
      <c r="BL9" s="541"/>
      <c r="BM9" s="541"/>
      <c r="BN9" s="541"/>
      <c r="BO9" s="541"/>
      <c r="BP9" s="541"/>
      <c r="BQ9" s="541"/>
      <c r="BR9" s="541"/>
      <c r="BS9" s="541"/>
      <c r="BT9" s="541"/>
      <c r="BU9" s="541"/>
      <c r="BV9" s="541"/>
      <c r="BW9" s="541"/>
      <c r="BX9" s="541"/>
      <c r="BY9" s="541"/>
      <c r="BZ9" s="541"/>
      <c r="CA9" s="541"/>
      <c r="CB9" s="541"/>
      <c r="CC9" s="541"/>
      <c r="CD9" s="541"/>
      <c r="CE9" s="541"/>
      <c r="CF9" s="541"/>
      <c r="CG9" s="541"/>
      <c r="CH9" s="541"/>
      <c r="CI9" s="541"/>
      <c r="CJ9" s="541"/>
      <c r="CK9" s="541"/>
      <c r="CL9" s="541"/>
      <c r="CM9" s="541"/>
      <c r="CN9" s="541"/>
      <c r="CO9" s="541"/>
      <c r="CP9" s="541"/>
      <c r="CQ9" s="541"/>
      <c r="CR9" s="541"/>
      <c r="CS9" s="541"/>
      <c r="CT9" s="541"/>
      <c r="CU9" s="541"/>
      <c r="CV9" s="541"/>
      <c r="CW9" s="541"/>
      <c r="CX9" s="541"/>
      <c r="CY9" s="541"/>
      <c r="CZ9" s="541"/>
      <c r="DA9" s="541"/>
      <c r="DB9" s="541"/>
      <c r="DC9" s="541"/>
      <c r="DD9" s="541"/>
      <c r="DE9" s="541"/>
      <c r="DF9" s="541"/>
      <c r="DG9" s="541"/>
      <c r="DH9" s="541"/>
      <c r="DI9" s="541"/>
      <c r="DJ9" s="541"/>
      <c r="DK9" s="541"/>
      <c r="DL9" s="541"/>
      <c r="DM9" s="541"/>
      <c r="DN9" s="541"/>
      <c r="DO9" s="541"/>
      <c r="DP9" s="541"/>
      <c r="DQ9" s="541"/>
      <c r="DR9" s="541"/>
      <c r="DS9" s="541"/>
      <c r="DT9" s="541"/>
      <c r="DU9" s="541"/>
      <c r="DV9" s="541"/>
      <c r="DW9" s="541"/>
      <c r="DX9" s="541"/>
      <c r="DY9" s="541"/>
      <c r="DZ9" s="541"/>
      <c r="EA9" s="541"/>
      <c r="EB9" s="541"/>
      <c r="EC9" s="541"/>
      <c r="ED9" s="541"/>
      <c r="EE9" s="541"/>
      <c r="EF9" s="541"/>
      <c r="EG9" s="541"/>
      <c r="EH9" s="541"/>
      <c r="EI9" s="541"/>
      <c r="EJ9" s="541"/>
      <c r="EK9" s="541"/>
      <c r="EL9" s="541"/>
      <c r="EM9" s="541"/>
      <c r="EN9" s="541"/>
      <c r="EO9" s="541"/>
      <c r="EP9" s="541"/>
      <c r="EQ9" s="541"/>
      <c r="ER9" s="541"/>
      <c r="ES9" s="541"/>
      <c r="ET9" s="541"/>
      <c r="EU9" s="541"/>
      <c r="EV9" s="541"/>
      <c r="EW9" s="541"/>
      <c r="EX9" s="541"/>
      <c r="EY9" s="541"/>
      <c r="EZ9" s="541"/>
      <c r="FA9" s="541"/>
      <c r="FB9" s="541"/>
      <c r="FC9" s="541"/>
      <c r="FD9" s="541"/>
      <c r="FE9" s="541"/>
      <c r="FF9" s="541"/>
      <c r="FG9" s="541"/>
      <c r="FH9" s="541"/>
      <c r="FI9" s="541"/>
      <c r="FJ9" s="541"/>
      <c r="FK9" s="541"/>
      <c r="FL9" s="541"/>
      <c r="FM9" s="541"/>
      <c r="FN9" s="541"/>
      <c r="FO9" s="541"/>
      <c r="FP9" s="541"/>
      <c r="FQ9" s="541"/>
      <c r="FR9" s="541"/>
      <c r="FS9" s="541"/>
      <c r="FT9" s="541"/>
      <c r="FU9" s="541"/>
      <c r="FV9" s="541"/>
      <c r="FW9" s="541"/>
      <c r="FX9" s="541"/>
      <c r="FY9" s="541"/>
      <c r="FZ9" s="541"/>
      <c r="GA9" s="541"/>
      <c r="GB9" s="541"/>
      <c r="GC9" s="541"/>
      <c r="GD9" s="541"/>
      <c r="GE9" s="541"/>
      <c r="GF9" s="541"/>
      <c r="GG9" s="541"/>
      <c r="GH9" s="541"/>
      <c r="GI9" s="541"/>
      <c r="GJ9" s="541"/>
      <c r="GK9" s="541"/>
      <c r="GL9" s="541"/>
      <c r="GM9" s="541"/>
      <c r="GN9" s="541"/>
      <c r="GO9" s="541"/>
      <c r="GP9" s="541"/>
      <c r="GQ9" s="541"/>
      <c r="GR9" s="541"/>
      <c r="GS9" s="541"/>
      <c r="GT9" s="541"/>
      <c r="GU9" s="541"/>
      <c r="GV9" s="541"/>
      <c r="GW9" s="541"/>
      <c r="GX9" s="541"/>
      <c r="GY9" s="541"/>
      <c r="GZ9" s="541"/>
      <c r="HA9" s="541"/>
      <c r="HB9" s="541"/>
      <c r="HC9" s="541"/>
      <c r="HD9" s="541"/>
      <c r="HE9" s="541"/>
      <c r="HF9" s="541"/>
      <c r="HG9" s="541"/>
      <c r="HH9" s="541"/>
      <c r="HI9" s="541"/>
      <c r="HJ9" s="541"/>
      <c r="HK9" s="541"/>
      <c r="HL9" s="541"/>
      <c r="HM9" s="541"/>
      <c r="HN9" s="541"/>
      <c r="HO9" s="541"/>
      <c r="HP9" s="541"/>
      <c r="HQ9" s="541"/>
      <c r="HR9" s="541"/>
      <c r="HS9" s="541"/>
      <c r="HT9" s="541"/>
      <c r="HU9" s="541"/>
      <c r="HV9" s="541"/>
      <c r="HW9" s="541"/>
      <c r="HX9" s="541"/>
      <c r="HY9" s="541"/>
      <c r="HZ9" s="541"/>
      <c r="IA9" s="541"/>
      <c r="IB9" s="541"/>
      <c r="IC9" s="541"/>
      <c r="ID9" s="541"/>
      <c r="IE9" s="541"/>
      <c r="IF9" s="541"/>
      <c r="IG9" s="541"/>
      <c r="IH9" s="541"/>
      <c r="II9" s="541"/>
      <c r="IJ9" s="541"/>
      <c r="IK9" s="541"/>
      <c r="IL9" s="541"/>
      <c r="IM9" s="541"/>
      <c r="IN9" s="541"/>
      <c r="IO9" s="541"/>
      <c r="IP9" s="541"/>
      <c r="IQ9" s="541"/>
      <c r="IR9" s="541"/>
      <c r="IS9" s="541"/>
    </row>
    <row r="10" spans="1:253" s="542" customFormat="1">
      <c r="A10" s="563" t="s">
        <v>629</v>
      </c>
      <c r="B10" s="416">
        <f>'Sources and Uses Budget'!$C9</f>
        <v>0</v>
      </c>
      <c r="C10" s="416">
        <f>'Sources and Uses Budget'!$C9</f>
        <v>0</v>
      </c>
      <c r="D10" s="420">
        <f t="shared" si="0"/>
        <v>0</v>
      </c>
      <c r="E10" s="418"/>
      <c r="F10" s="417"/>
      <c r="G10" s="546"/>
      <c r="H10" s="541"/>
      <c r="I10" s="541"/>
      <c r="J10" s="541"/>
      <c r="K10" s="541"/>
      <c r="L10" s="541"/>
      <c r="M10" s="541"/>
      <c r="N10" s="541"/>
      <c r="O10" s="541"/>
      <c r="P10" s="541"/>
      <c r="Q10" s="541"/>
      <c r="R10" s="541"/>
      <c r="S10" s="541"/>
      <c r="T10" s="541"/>
      <c r="U10" s="541"/>
      <c r="V10" s="541"/>
      <c r="W10" s="541"/>
      <c r="X10" s="541"/>
      <c r="Y10" s="541"/>
      <c r="Z10" s="541"/>
      <c r="AA10" s="541"/>
      <c r="AB10" s="541"/>
      <c r="AC10" s="541"/>
      <c r="AD10" s="541"/>
      <c r="AE10" s="541"/>
      <c r="AF10" s="541"/>
      <c r="AG10" s="541"/>
      <c r="AH10" s="541"/>
      <c r="AI10" s="541"/>
      <c r="AJ10" s="541"/>
      <c r="AK10" s="541"/>
      <c r="AL10" s="541"/>
      <c r="AM10" s="541"/>
      <c r="AN10" s="541"/>
      <c r="AO10" s="541"/>
      <c r="AP10" s="541"/>
      <c r="AQ10" s="541"/>
      <c r="AR10" s="541"/>
      <c r="AS10" s="541"/>
      <c r="AT10" s="541"/>
      <c r="AU10" s="541"/>
      <c r="AV10" s="541"/>
      <c r="AW10" s="541"/>
      <c r="AX10" s="541"/>
      <c r="AY10" s="541"/>
      <c r="AZ10" s="541"/>
      <c r="BA10" s="541"/>
      <c r="BB10" s="541"/>
      <c r="BC10" s="541"/>
      <c r="BD10" s="541"/>
      <c r="BE10" s="541"/>
      <c r="BF10" s="541"/>
      <c r="BG10" s="541"/>
      <c r="BH10" s="541"/>
      <c r="BI10" s="541"/>
      <c r="BJ10" s="541"/>
      <c r="BK10" s="541"/>
      <c r="BL10" s="541"/>
      <c r="BM10" s="541"/>
      <c r="BN10" s="541"/>
      <c r="BO10" s="541"/>
      <c r="BP10" s="541"/>
      <c r="BQ10" s="541"/>
      <c r="BR10" s="541"/>
      <c r="BS10" s="541"/>
      <c r="BT10" s="541"/>
      <c r="BU10" s="541"/>
      <c r="BV10" s="541"/>
      <c r="BW10" s="541"/>
      <c r="BX10" s="541"/>
      <c r="BY10" s="541"/>
      <c r="BZ10" s="541"/>
      <c r="CA10" s="541"/>
      <c r="CB10" s="541"/>
      <c r="CC10" s="541"/>
      <c r="CD10" s="541"/>
      <c r="CE10" s="541"/>
      <c r="CF10" s="541"/>
      <c r="CG10" s="541"/>
      <c r="CH10" s="541"/>
      <c r="CI10" s="541"/>
      <c r="CJ10" s="541"/>
      <c r="CK10" s="541"/>
      <c r="CL10" s="541"/>
      <c r="CM10" s="541"/>
      <c r="CN10" s="541"/>
      <c r="CO10" s="541"/>
      <c r="CP10" s="541"/>
      <c r="CQ10" s="541"/>
      <c r="CR10" s="541"/>
      <c r="CS10" s="541"/>
      <c r="CT10" s="541"/>
      <c r="CU10" s="541"/>
      <c r="CV10" s="541"/>
      <c r="CW10" s="541"/>
      <c r="CX10" s="541"/>
      <c r="CY10" s="541"/>
      <c r="CZ10" s="541"/>
      <c r="DA10" s="541"/>
      <c r="DB10" s="541"/>
      <c r="DC10" s="541"/>
      <c r="DD10" s="541"/>
      <c r="DE10" s="541"/>
      <c r="DF10" s="541"/>
      <c r="DG10" s="541"/>
      <c r="DH10" s="541"/>
      <c r="DI10" s="541"/>
      <c r="DJ10" s="541"/>
      <c r="DK10" s="541"/>
      <c r="DL10" s="541"/>
      <c r="DM10" s="541"/>
      <c r="DN10" s="541"/>
      <c r="DO10" s="541"/>
      <c r="DP10" s="541"/>
      <c r="DQ10" s="541"/>
      <c r="DR10" s="541"/>
      <c r="DS10" s="541"/>
      <c r="DT10" s="541"/>
      <c r="DU10" s="541"/>
      <c r="DV10" s="541"/>
      <c r="DW10" s="541"/>
      <c r="DX10" s="541"/>
      <c r="DY10" s="541"/>
      <c r="DZ10" s="541"/>
      <c r="EA10" s="541"/>
      <c r="EB10" s="541"/>
      <c r="EC10" s="541"/>
      <c r="ED10" s="541"/>
      <c r="EE10" s="541"/>
      <c r="EF10" s="541"/>
      <c r="EG10" s="541"/>
      <c r="EH10" s="541"/>
      <c r="EI10" s="541"/>
      <c r="EJ10" s="541"/>
      <c r="EK10" s="541"/>
      <c r="EL10" s="541"/>
      <c r="EM10" s="541"/>
      <c r="EN10" s="541"/>
      <c r="EO10" s="541"/>
      <c r="EP10" s="541"/>
      <c r="EQ10" s="541"/>
      <c r="ER10" s="541"/>
      <c r="ES10" s="541"/>
      <c r="ET10" s="541"/>
      <c r="EU10" s="541"/>
      <c r="EV10" s="541"/>
      <c r="EW10" s="541"/>
      <c r="EX10" s="541"/>
      <c r="EY10" s="541"/>
      <c r="EZ10" s="541"/>
      <c r="FA10" s="541"/>
      <c r="FB10" s="541"/>
      <c r="FC10" s="541"/>
      <c r="FD10" s="541"/>
      <c r="FE10" s="541"/>
      <c r="FF10" s="541"/>
      <c r="FG10" s="541"/>
      <c r="FH10" s="541"/>
      <c r="FI10" s="541"/>
      <c r="FJ10" s="541"/>
      <c r="FK10" s="541"/>
      <c r="FL10" s="541"/>
      <c r="FM10" s="541"/>
      <c r="FN10" s="541"/>
      <c r="FO10" s="541"/>
      <c r="FP10" s="541"/>
      <c r="FQ10" s="541"/>
      <c r="FR10" s="541"/>
      <c r="FS10" s="541"/>
      <c r="FT10" s="541"/>
      <c r="FU10" s="541"/>
      <c r="FV10" s="541"/>
      <c r="FW10" s="541"/>
      <c r="FX10" s="541"/>
      <c r="FY10" s="541"/>
      <c r="FZ10" s="541"/>
      <c r="GA10" s="541"/>
      <c r="GB10" s="541"/>
      <c r="GC10" s="541"/>
      <c r="GD10" s="541"/>
      <c r="GE10" s="541"/>
      <c r="GF10" s="541"/>
      <c r="GG10" s="541"/>
      <c r="GH10" s="541"/>
      <c r="GI10" s="541"/>
      <c r="GJ10" s="541"/>
      <c r="GK10" s="541"/>
      <c r="GL10" s="541"/>
      <c r="GM10" s="541"/>
      <c r="GN10" s="541"/>
      <c r="GO10" s="541"/>
      <c r="GP10" s="541"/>
      <c r="GQ10" s="541"/>
      <c r="GR10" s="541"/>
      <c r="GS10" s="541"/>
      <c r="GT10" s="541"/>
      <c r="GU10" s="541"/>
      <c r="GV10" s="541"/>
      <c r="GW10" s="541"/>
      <c r="GX10" s="541"/>
      <c r="GY10" s="541"/>
      <c r="GZ10" s="541"/>
      <c r="HA10" s="541"/>
      <c r="HB10" s="541"/>
      <c r="HC10" s="541"/>
      <c r="HD10" s="541"/>
      <c r="HE10" s="541"/>
      <c r="HF10" s="541"/>
      <c r="HG10" s="541"/>
      <c r="HH10" s="541"/>
      <c r="HI10" s="541"/>
      <c r="HJ10" s="541"/>
      <c r="HK10" s="541"/>
      <c r="HL10" s="541"/>
      <c r="HM10" s="541"/>
      <c r="HN10" s="541"/>
      <c r="HO10" s="541"/>
      <c r="HP10" s="541"/>
      <c r="HQ10" s="541"/>
      <c r="HR10" s="541"/>
      <c r="HS10" s="541"/>
      <c r="HT10" s="541"/>
      <c r="HU10" s="541"/>
      <c r="HV10" s="541"/>
      <c r="HW10" s="541"/>
      <c r="HX10" s="541"/>
      <c r="HY10" s="541"/>
      <c r="HZ10" s="541"/>
      <c r="IA10" s="541"/>
      <c r="IB10" s="541"/>
      <c r="IC10" s="541"/>
      <c r="ID10" s="541"/>
      <c r="IE10" s="541"/>
      <c r="IF10" s="541"/>
      <c r="IG10" s="541"/>
      <c r="IH10" s="541"/>
      <c r="II10" s="541"/>
      <c r="IJ10" s="541"/>
      <c r="IK10" s="541"/>
      <c r="IL10" s="541"/>
      <c r="IM10" s="541"/>
      <c r="IN10" s="541"/>
      <c r="IO10" s="541"/>
      <c r="IP10" s="541"/>
      <c r="IQ10" s="541"/>
      <c r="IR10" s="541"/>
      <c r="IS10" s="541"/>
    </row>
    <row r="11" spans="1:253" s="542" customFormat="1">
      <c r="A11" s="563" t="s">
        <v>630</v>
      </c>
      <c r="B11" s="416">
        <f>'Sources and Uses Budget'!$C10</f>
        <v>50000</v>
      </c>
      <c r="C11" s="416">
        <f>'Sources and Uses Budget'!$C10</f>
        <v>50000</v>
      </c>
      <c r="D11" s="420">
        <f t="shared" si="0"/>
        <v>0</v>
      </c>
      <c r="E11" s="418"/>
      <c r="F11" s="417"/>
      <c r="G11" s="546"/>
      <c r="H11" s="541"/>
      <c r="I11" s="541"/>
      <c r="J11" s="541"/>
      <c r="K11" s="541"/>
      <c r="L11" s="541"/>
      <c r="M11" s="541"/>
      <c r="N11" s="541"/>
      <c r="O11" s="541"/>
      <c r="P11" s="541"/>
      <c r="Q11" s="541"/>
      <c r="R11" s="541"/>
      <c r="S11" s="541"/>
      <c r="T11" s="541"/>
      <c r="U11" s="541"/>
      <c r="V11" s="541"/>
      <c r="W11" s="541"/>
      <c r="X11" s="541"/>
      <c r="Y11" s="541"/>
      <c r="Z11" s="541"/>
      <c r="AA11" s="541"/>
      <c r="AB11" s="541"/>
      <c r="AC11" s="541"/>
      <c r="AD11" s="541"/>
      <c r="AE11" s="541"/>
      <c r="AF11" s="541"/>
      <c r="AG11" s="541"/>
      <c r="AH11" s="541"/>
      <c r="AI11" s="541"/>
      <c r="AJ11" s="541"/>
      <c r="AK11" s="541"/>
      <c r="AL11" s="541"/>
      <c r="AM11" s="541"/>
      <c r="AN11" s="541"/>
      <c r="AO11" s="541"/>
      <c r="AP11" s="541"/>
      <c r="AQ11" s="541"/>
      <c r="AR11" s="541"/>
      <c r="AS11" s="541"/>
      <c r="AT11" s="541"/>
      <c r="AU11" s="541"/>
      <c r="AV11" s="541"/>
      <c r="AW11" s="541"/>
      <c r="AX11" s="541"/>
      <c r="AY11" s="541"/>
      <c r="AZ11" s="541"/>
      <c r="BA11" s="541"/>
      <c r="BB11" s="541"/>
      <c r="BC11" s="541"/>
      <c r="BD11" s="541"/>
      <c r="BE11" s="541"/>
      <c r="BF11" s="541"/>
      <c r="BG11" s="541"/>
      <c r="BH11" s="541"/>
      <c r="BI11" s="541"/>
      <c r="BJ11" s="541"/>
      <c r="BK11" s="541"/>
      <c r="BL11" s="541"/>
      <c r="BM11" s="541"/>
      <c r="BN11" s="541"/>
      <c r="BO11" s="541"/>
      <c r="BP11" s="541"/>
      <c r="BQ11" s="541"/>
      <c r="BR11" s="541"/>
      <c r="BS11" s="541"/>
      <c r="BT11" s="541"/>
      <c r="BU11" s="541"/>
      <c r="BV11" s="541"/>
      <c r="BW11" s="541"/>
      <c r="BX11" s="541"/>
      <c r="BY11" s="541"/>
      <c r="BZ11" s="541"/>
      <c r="CA11" s="541"/>
      <c r="CB11" s="541"/>
      <c r="CC11" s="541"/>
      <c r="CD11" s="541"/>
      <c r="CE11" s="541"/>
      <c r="CF11" s="541"/>
      <c r="CG11" s="541"/>
      <c r="CH11" s="541"/>
      <c r="CI11" s="541"/>
      <c r="CJ11" s="541"/>
      <c r="CK11" s="541"/>
      <c r="CL11" s="541"/>
      <c r="CM11" s="541"/>
      <c r="CN11" s="541"/>
      <c r="CO11" s="541"/>
      <c r="CP11" s="541"/>
      <c r="CQ11" s="541"/>
      <c r="CR11" s="541"/>
      <c r="CS11" s="541"/>
      <c r="CT11" s="541"/>
      <c r="CU11" s="541"/>
      <c r="CV11" s="541"/>
      <c r="CW11" s="541"/>
      <c r="CX11" s="541"/>
      <c r="CY11" s="541"/>
      <c r="CZ11" s="541"/>
      <c r="DA11" s="541"/>
      <c r="DB11" s="541"/>
      <c r="DC11" s="541"/>
      <c r="DD11" s="541"/>
      <c r="DE11" s="541"/>
      <c r="DF11" s="541"/>
      <c r="DG11" s="541"/>
      <c r="DH11" s="541"/>
      <c r="DI11" s="541"/>
      <c r="DJ11" s="541"/>
      <c r="DK11" s="541"/>
      <c r="DL11" s="541"/>
      <c r="DM11" s="541"/>
      <c r="DN11" s="541"/>
      <c r="DO11" s="541"/>
      <c r="DP11" s="541"/>
      <c r="DQ11" s="541"/>
      <c r="DR11" s="541"/>
      <c r="DS11" s="541"/>
      <c r="DT11" s="541"/>
      <c r="DU11" s="541"/>
      <c r="DV11" s="541"/>
      <c r="DW11" s="541"/>
      <c r="DX11" s="541"/>
      <c r="DY11" s="541"/>
      <c r="DZ11" s="541"/>
      <c r="EA11" s="541"/>
      <c r="EB11" s="541"/>
      <c r="EC11" s="541"/>
      <c r="ED11" s="541"/>
      <c r="EE11" s="541"/>
      <c r="EF11" s="541"/>
      <c r="EG11" s="541"/>
      <c r="EH11" s="541"/>
      <c r="EI11" s="541"/>
      <c r="EJ11" s="541"/>
      <c r="EK11" s="541"/>
      <c r="EL11" s="541"/>
      <c r="EM11" s="541"/>
      <c r="EN11" s="541"/>
      <c r="EO11" s="541"/>
      <c r="EP11" s="541"/>
      <c r="EQ11" s="541"/>
      <c r="ER11" s="541"/>
      <c r="ES11" s="541"/>
      <c r="ET11" s="541"/>
      <c r="EU11" s="541"/>
      <c r="EV11" s="541"/>
      <c r="EW11" s="541"/>
      <c r="EX11" s="541"/>
      <c r="EY11" s="541"/>
      <c r="EZ11" s="541"/>
      <c r="FA11" s="541"/>
      <c r="FB11" s="541"/>
      <c r="FC11" s="541"/>
      <c r="FD11" s="541"/>
      <c r="FE11" s="541"/>
      <c r="FF11" s="541"/>
      <c r="FG11" s="541"/>
      <c r="FH11" s="541"/>
      <c r="FI11" s="541"/>
      <c r="FJ11" s="541"/>
      <c r="FK11" s="541"/>
      <c r="FL11" s="541"/>
      <c r="FM11" s="541"/>
      <c r="FN11" s="541"/>
      <c r="FO11" s="541"/>
      <c r="FP11" s="541"/>
      <c r="FQ11" s="541"/>
      <c r="FR11" s="541"/>
      <c r="FS11" s="541"/>
      <c r="FT11" s="541"/>
      <c r="FU11" s="541"/>
      <c r="FV11" s="541"/>
      <c r="FW11" s="541"/>
      <c r="FX11" s="541"/>
      <c r="FY11" s="541"/>
      <c r="FZ11" s="541"/>
      <c r="GA11" s="541"/>
      <c r="GB11" s="541"/>
      <c r="GC11" s="541"/>
      <c r="GD11" s="541"/>
      <c r="GE11" s="541"/>
      <c r="GF11" s="541"/>
      <c r="GG11" s="541"/>
      <c r="GH11" s="541"/>
      <c r="GI11" s="541"/>
      <c r="GJ11" s="541"/>
      <c r="GK11" s="541"/>
      <c r="GL11" s="541"/>
      <c r="GM11" s="541"/>
      <c r="GN11" s="541"/>
      <c r="GO11" s="541"/>
      <c r="GP11" s="541"/>
      <c r="GQ11" s="541"/>
      <c r="GR11" s="541"/>
      <c r="GS11" s="541"/>
      <c r="GT11" s="541"/>
      <c r="GU11" s="541"/>
      <c r="GV11" s="541"/>
      <c r="GW11" s="541"/>
      <c r="GX11" s="541"/>
      <c r="GY11" s="541"/>
      <c r="GZ11" s="541"/>
      <c r="HA11" s="541"/>
      <c r="HB11" s="541"/>
      <c r="HC11" s="541"/>
      <c r="HD11" s="541"/>
      <c r="HE11" s="541"/>
      <c r="HF11" s="541"/>
      <c r="HG11" s="541"/>
      <c r="HH11" s="541"/>
      <c r="HI11" s="541"/>
      <c r="HJ11" s="541"/>
      <c r="HK11" s="541"/>
      <c r="HL11" s="541"/>
      <c r="HM11" s="541"/>
      <c r="HN11" s="541"/>
      <c r="HO11" s="541"/>
      <c r="HP11" s="541"/>
      <c r="HQ11" s="541"/>
      <c r="HR11" s="541"/>
      <c r="HS11" s="541"/>
      <c r="HT11" s="541"/>
      <c r="HU11" s="541"/>
      <c r="HV11" s="541"/>
      <c r="HW11" s="541"/>
      <c r="HX11" s="541"/>
      <c r="HY11" s="541"/>
      <c r="HZ11" s="541"/>
      <c r="IA11" s="541"/>
      <c r="IB11" s="541"/>
      <c r="IC11" s="541"/>
      <c r="ID11" s="541"/>
      <c r="IE11" s="541"/>
      <c r="IF11" s="541"/>
      <c r="IG11" s="541"/>
      <c r="IH11" s="541"/>
      <c r="II11" s="541"/>
      <c r="IJ11" s="541"/>
      <c r="IK11" s="541"/>
      <c r="IL11" s="541"/>
      <c r="IM11" s="541"/>
      <c r="IN11" s="541"/>
      <c r="IO11" s="541"/>
      <c r="IP11" s="541"/>
      <c r="IQ11" s="541"/>
      <c r="IR11" s="541"/>
      <c r="IS11" s="541"/>
    </row>
    <row r="12" spans="1:253" s="542" customFormat="1">
      <c r="A12" s="564" t="s">
        <v>631</v>
      </c>
      <c r="B12" s="420">
        <f>SUM(B10:B11)</f>
        <v>50000</v>
      </c>
      <c r="C12" s="420">
        <f>SUM(C10:C11)</f>
        <v>50000</v>
      </c>
      <c r="D12" s="420">
        <f t="shared" si="0"/>
        <v>0</v>
      </c>
      <c r="E12" s="418"/>
      <c r="F12" s="417"/>
      <c r="G12" s="546"/>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41"/>
      <c r="AO12" s="541"/>
      <c r="AP12" s="541"/>
      <c r="AQ12" s="541"/>
      <c r="AR12" s="541"/>
      <c r="AS12" s="541"/>
      <c r="AT12" s="541"/>
      <c r="AU12" s="541"/>
      <c r="AV12" s="541"/>
      <c r="AW12" s="541"/>
      <c r="AX12" s="541"/>
      <c r="AY12" s="541"/>
      <c r="AZ12" s="541"/>
      <c r="BA12" s="541"/>
      <c r="BB12" s="541"/>
      <c r="BC12" s="541"/>
      <c r="BD12" s="541"/>
      <c r="BE12" s="541"/>
      <c r="BF12" s="541"/>
      <c r="BG12" s="541"/>
      <c r="BH12" s="541"/>
      <c r="BI12" s="541"/>
      <c r="BJ12" s="541"/>
      <c r="BK12" s="541"/>
      <c r="BL12" s="541"/>
      <c r="BM12" s="541"/>
      <c r="BN12" s="541"/>
      <c r="BO12" s="541"/>
      <c r="BP12" s="541"/>
      <c r="BQ12" s="541"/>
      <c r="BR12" s="541"/>
      <c r="BS12" s="541"/>
      <c r="BT12" s="541"/>
      <c r="BU12" s="541"/>
      <c r="BV12" s="541"/>
      <c r="BW12" s="541"/>
      <c r="BX12" s="541"/>
      <c r="BY12" s="541"/>
      <c r="BZ12" s="541"/>
      <c r="CA12" s="541"/>
      <c r="CB12" s="541"/>
      <c r="CC12" s="541"/>
      <c r="CD12" s="541"/>
      <c r="CE12" s="541"/>
      <c r="CF12" s="541"/>
      <c r="CG12" s="541"/>
      <c r="CH12" s="541"/>
      <c r="CI12" s="541"/>
      <c r="CJ12" s="541"/>
      <c r="CK12" s="541"/>
      <c r="CL12" s="541"/>
      <c r="CM12" s="541"/>
      <c r="CN12" s="541"/>
      <c r="CO12" s="541"/>
      <c r="CP12" s="541"/>
      <c r="CQ12" s="541"/>
      <c r="CR12" s="541"/>
      <c r="CS12" s="541"/>
      <c r="CT12" s="541"/>
      <c r="CU12" s="541"/>
      <c r="CV12" s="541"/>
      <c r="CW12" s="541"/>
      <c r="CX12" s="541"/>
      <c r="CY12" s="541"/>
      <c r="CZ12" s="541"/>
      <c r="DA12" s="541"/>
      <c r="DB12" s="541"/>
      <c r="DC12" s="541"/>
      <c r="DD12" s="541"/>
      <c r="DE12" s="541"/>
      <c r="DF12" s="541"/>
      <c r="DG12" s="541"/>
      <c r="DH12" s="541"/>
      <c r="DI12" s="541"/>
      <c r="DJ12" s="541"/>
      <c r="DK12" s="541"/>
      <c r="DL12" s="541"/>
      <c r="DM12" s="541"/>
      <c r="DN12" s="541"/>
      <c r="DO12" s="541"/>
      <c r="DP12" s="541"/>
      <c r="DQ12" s="541"/>
      <c r="DR12" s="541"/>
      <c r="DS12" s="541"/>
      <c r="DT12" s="541"/>
      <c r="DU12" s="541"/>
      <c r="DV12" s="541"/>
      <c r="DW12" s="541"/>
      <c r="DX12" s="541"/>
      <c r="DY12" s="541"/>
      <c r="DZ12" s="541"/>
      <c r="EA12" s="541"/>
      <c r="EB12" s="541"/>
      <c r="EC12" s="541"/>
      <c r="ED12" s="541"/>
      <c r="EE12" s="541"/>
      <c r="EF12" s="541"/>
      <c r="EG12" s="541"/>
      <c r="EH12" s="541"/>
      <c r="EI12" s="541"/>
      <c r="EJ12" s="541"/>
      <c r="EK12" s="541"/>
      <c r="EL12" s="541"/>
      <c r="EM12" s="541"/>
      <c r="EN12" s="541"/>
      <c r="EO12" s="541"/>
      <c r="EP12" s="541"/>
      <c r="EQ12" s="541"/>
      <c r="ER12" s="541"/>
      <c r="ES12" s="541"/>
      <c r="ET12" s="541"/>
      <c r="EU12" s="541"/>
      <c r="EV12" s="541"/>
      <c r="EW12" s="541"/>
      <c r="EX12" s="541"/>
      <c r="EY12" s="541"/>
      <c r="EZ12" s="541"/>
      <c r="FA12" s="541"/>
      <c r="FB12" s="541"/>
      <c r="FC12" s="541"/>
      <c r="FD12" s="541"/>
      <c r="FE12" s="541"/>
      <c r="FF12" s="541"/>
      <c r="FG12" s="541"/>
      <c r="FH12" s="541"/>
      <c r="FI12" s="541"/>
      <c r="FJ12" s="541"/>
      <c r="FK12" s="541"/>
      <c r="FL12" s="541"/>
      <c r="FM12" s="541"/>
      <c r="FN12" s="541"/>
      <c r="FO12" s="541"/>
      <c r="FP12" s="541"/>
      <c r="FQ12" s="541"/>
      <c r="FR12" s="541"/>
      <c r="FS12" s="541"/>
      <c r="FT12" s="541"/>
      <c r="FU12" s="541"/>
      <c r="FV12" s="541"/>
      <c r="FW12" s="541"/>
      <c r="FX12" s="541"/>
      <c r="FY12" s="541"/>
      <c r="FZ12" s="541"/>
      <c r="GA12" s="541"/>
      <c r="GB12" s="541"/>
      <c r="GC12" s="541"/>
      <c r="GD12" s="541"/>
      <c r="GE12" s="541"/>
      <c r="GF12" s="541"/>
      <c r="GG12" s="541"/>
      <c r="GH12" s="541"/>
      <c r="GI12" s="541"/>
      <c r="GJ12" s="541"/>
      <c r="GK12" s="541"/>
      <c r="GL12" s="541"/>
      <c r="GM12" s="541"/>
      <c r="GN12" s="541"/>
      <c r="GO12" s="541"/>
      <c r="GP12" s="541"/>
      <c r="GQ12" s="541"/>
      <c r="GR12" s="541"/>
      <c r="GS12" s="541"/>
      <c r="GT12" s="541"/>
      <c r="GU12" s="541"/>
      <c r="GV12" s="541"/>
      <c r="GW12" s="541"/>
      <c r="GX12" s="541"/>
      <c r="GY12" s="541"/>
      <c r="GZ12" s="541"/>
      <c r="HA12" s="541"/>
      <c r="HB12" s="541"/>
      <c r="HC12" s="541"/>
      <c r="HD12" s="541"/>
      <c r="HE12" s="541"/>
      <c r="HF12" s="541"/>
      <c r="HG12" s="541"/>
      <c r="HH12" s="541"/>
      <c r="HI12" s="541"/>
      <c r="HJ12" s="541"/>
      <c r="HK12" s="541"/>
      <c r="HL12" s="541"/>
      <c r="HM12" s="541"/>
      <c r="HN12" s="541"/>
      <c r="HO12" s="541"/>
      <c r="HP12" s="541"/>
      <c r="HQ12" s="541"/>
      <c r="HR12" s="541"/>
      <c r="HS12" s="541"/>
      <c r="HT12" s="541"/>
      <c r="HU12" s="541"/>
      <c r="HV12" s="541"/>
      <c r="HW12" s="541"/>
      <c r="HX12" s="541"/>
      <c r="HY12" s="541"/>
      <c r="HZ12" s="541"/>
      <c r="IA12" s="541"/>
      <c r="IB12" s="541"/>
      <c r="IC12" s="541"/>
      <c r="ID12" s="541"/>
      <c r="IE12" s="541"/>
      <c r="IF12" s="541"/>
      <c r="IG12" s="541"/>
      <c r="IH12" s="541"/>
      <c r="II12" s="541"/>
      <c r="IJ12" s="541"/>
      <c r="IK12" s="541"/>
      <c r="IL12" s="541"/>
      <c r="IM12" s="541"/>
      <c r="IN12" s="541"/>
      <c r="IO12" s="541"/>
      <c r="IP12" s="541"/>
      <c r="IQ12" s="541"/>
      <c r="IR12" s="541"/>
      <c r="IS12" s="541"/>
    </row>
    <row r="13" spans="1:253" s="542" customFormat="1">
      <c r="A13" s="564" t="s">
        <v>89</v>
      </c>
      <c r="B13" s="420">
        <f>SUM(B9+B12)</f>
        <v>4717275</v>
      </c>
      <c r="C13" s="420">
        <f>SUM(C9+C12)</f>
        <v>4717275</v>
      </c>
      <c r="D13" s="420">
        <f t="shared" si="0"/>
        <v>0</v>
      </c>
      <c r="E13" s="418"/>
      <c r="F13" s="417"/>
      <c r="G13" s="546"/>
      <c r="H13" s="541"/>
      <c r="I13" s="541"/>
      <c r="J13" s="541"/>
      <c r="K13" s="541"/>
      <c r="L13" s="541"/>
      <c r="M13" s="541"/>
      <c r="N13" s="541"/>
      <c r="O13" s="541"/>
      <c r="P13" s="541"/>
      <c r="Q13" s="541"/>
      <c r="R13" s="541"/>
      <c r="S13" s="541"/>
      <c r="T13" s="541"/>
      <c r="U13" s="541"/>
      <c r="V13" s="541"/>
      <c r="W13" s="541"/>
      <c r="X13" s="541"/>
      <c r="Y13" s="541"/>
      <c r="Z13" s="541"/>
      <c r="AA13" s="541"/>
      <c r="AB13" s="541"/>
      <c r="AC13" s="541"/>
      <c r="AD13" s="541"/>
      <c r="AE13" s="541"/>
      <c r="AF13" s="541"/>
      <c r="AG13" s="541"/>
      <c r="AH13" s="541"/>
      <c r="AI13" s="541"/>
      <c r="AJ13" s="541"/>
      <c r="AK13" s="541"/>
      <c r="AL13" s="541"/>
      <c r="AM13" s="541"/>
      <c r="AN13" s="541"/>
      <c r="AO13" s="541"/>
      <c r="AP13" s="541"/>
      <c r="AQ13" s="541"/>
      <c r="AR13" s="541"/>
      <c r="AS13" s="541"/>
      <c r="AT13" s="541"/>
      <c r="AU13" s="541"/>
      <c r="AV13" s="541"/>
      <c r="AW13" s="541"/>
      <c r="AX13" s="541"/>
      <c r="AY13" s="541"/>
      <c r="AZ13" s="541"/>
      <c r="BA13" s="541"/>
      <c r="BB13" s="541"/>
      <c r="BC13" s="541"/>
      <c r="BD13" s="541"/>
      <c r="BE13" s="541"/>
      <c r="BF13" s="541"/>
      <c r="BG13" s="541"/>
      <c r="BH13" s="541"/>
      <c r="BI13" s="541"/>
      <c r="BJ13" s="541"/>
      <c r="BK13" s="541"/>
      <c r="BL13" s="541"/>
      <c r="BM13" s="541"/>
      <c r="BN13" s="541"/>
      <c r="BO13" s="541"/>
      <c r="BP13" s="541"/>
      <c r="BQ13" s="541"/>
      <c r="BR13" s="541"/>
      <c r="BS13" s="541"/>
      <c r="BT13" s="541"/>
      <c r="BU13" s="541"/>
      <c r="BV13" s="541"/>
      <c r="BW13" s="541"/>
      <c r="BX13" s="541"/>
      <c r="BY13" s="541"/>
      <c r="BZ13" s="541"/>
      <c r="CA13" s="541"/>
      <c r="CB13" s="541"/>
      <c r="CC13" s="541"/>
      <c r="CD13" s="541"/>
      <c r="CE13" s="541"/>
      <c r="CF13" s="541"/>
      <c r="CG13" s="541"/>
      <c r="CH13" s="541"/>
      <c r="CI13" s="541"/>
      <c r="CJ13" s="541"/>
      <c r="CK13" s="541"/>
      <c r="CL13" s="541"/>
      <c r="CM13" s="541"/>
      <c r="CN13" s="541"/>
      <c r="CO13" s="541"/>
      <c r="CP13" s="541"/>
      <c r="CQ13" s="541"/>
      <c r="CR13" s="541"/>
      <c r="CS13" s="541"/>
      <c r="CT13" s="541"/>
      <c r="CU13" s="541"/>
      <c r="CV13" s="541"/>
      <c r="CW13" s="541"/>
      <c r="CX13" s="541"/>
      <c r="CY13" s="541"/>
      <c r="CZ13" s="541"/>
      <c r="DA13" s="541"/>
      <c r="DB13" s="541"/>
      <c r="DC13" s="541"/>
      <c r="DD13" s="541"/>
      <c r="DE13" s="541"/>
      <c r="DF13" s="541"/>
      <c r="DG13" s="541"/>
      <c r="DH13" s="541"/>
      <c r="DI13" s="541"/>
      <c r="DJ13" s="541"/>
      <c r="DK13" s="541"/>
      <c r="DL13" s="541"/>
      <c r="DM13" s="541"/>
      <c r="DN13" s="541"/>
      <c r="DO13" s="541"/>
      <c r="DP13" s="541"/>
      <c r="DQ13" s="541"/>
      <c r="DR13" s="541"/>
      <c r="DS13" s="541"/>
      <c r="DT13" s="541"/>
      <c r="DU13" s="541"/>
      <c r="DV13" s="541"/>
      <c r="DW13" s="541"/>
      <c r="DX13" s="541"/>
      <c r="DY13" s="541"/>
      <c r="DZ13" s="541"/>
      <c r="EA13" s="541"/>
      <c r="EB13" s="541"/>
      <c r="EC13" s="541"/>
      <c r="ED13" s="541"/>
      <c r="EE13" s="541"/>
      <c r="EF13" s="541"/>
      <c r="EG13" s="541"/>
      <c r="EH13" s="541"/>
      <c r="EI13" s="541"/>
      <c r="EJ13" s="541"/>
      <c r="EK13" s="541"/>
      <c r="EL13" s="541"/>
      <c r="EM13" s="541"/>
      <c r="EN13" s="541"/>
      <c r="EO13" s="541"/>
      <c r="EP13" s="541"/>
      <c r="EQ13" s="541"/>
      <c r="ER13" s="541"/>
      <c r="ES13" s="541"/>
      <c r="ET13" s="541"/>
      <c r="EU13" s="541"/>
      <c r="EV13" s="541"/>
      <c r="EW13" s="541"/>
      <c r="EX13" s="541"/>
      <c r="EY13" s="541"/>
      <c r="EZ13" s="541"/>
      <c r="FA13" s="541"/>
      <c r="FB13" s="541"/>
      <c r="FC13" s="541"/>
      <c r="FD13" s="541"/>
      <c r="FE13" s="541"/>
      <c r="FF13" s="541"/>
      <c r="FG13" s="541"/>
      <c r="FH13" s="541"/>
      <c r="FI13" s="541"/>
      <c r="FJ13" s="541"/>
      <c r="FK13" s="541"/>
      <c r="FL13" s="541"/>
      <c r="FM13" s="541"/>
      <c r="FN13" s="541"/>
      <c r="FO13" s="541"/>
      <c r="FP13" s="541"/>
      <c r="FQ13" s="541"/>
      <c r="FR13" s="541"/>
      <c r="FS13" s="541"/>
      <c r="FT13" s="541"/>
      <c r="FU13" s="541"/>
      <c r="FV13" s="541"/>
      <c r="FW13" s="541"/>
      <c r="FX13" s="541"/>
      <c r="FY13" s="541"/>
      <c r="FZ13" s="541"/>
      <c r="GA13" s="541"/>
      <c r="GB13" s="541"/>
      <c r="GC13" s="541"/>
      <c r="GD13" s="541"/>
      <c r="GE13" s="541"/>
      <c r="GF13" s="541"/>
      <c r="GG13" s="541"/>
      <c r="GH13" s="541"/>
      <c r="GI13" s="541"/>
      <c r="GJ13" s="541"/>
      <c r="GK13" s="541"/>
      <c r="GL13" s="541"/>
      <c r="GM13" s="541"/>
      <c r="GN13" s="541"/>
      <c r="GO13" s="541"/>
      <c r="GP13" s="541"/>
      <c r="GQ13" s="541"/>
      <c r="GR13" s="541"/>
      <c r="GS13" s="541"/>
      <c r="GT13" s="541"/>
      <c r="GU13" s="541"/>
      <c r="GV13" s="541"/>
      <c r="GW13" s="541"/>
      <c r="GX13" s="541"/>
      <c r="GY13" s="541"/>
      <c r="GZ13" s="541"/>
      <c r="HA13" s="541"/>
      <c r="HB13" s="541"/>
      <c r="HC13" s="541"/>
      <c r="HD13" s="541"/>
      <c r="HE13" s="541"/>
      <c r="HF13" s="541"/>
      <c r="HG13" s="541"/>
      <c r="HH13" s="541"/>
      <c r="HI13" s="541"/>
      <c r="HJ13" s="541"/>
      <c r="HK13" s="541"/>
      <c r="HL13" s="541"/>
      <c r="HM13" s="541"/>
      <c r="HN13" s="541"/>
      <c r="HO13" s="541"/>
      <c r="HP13" s="541"/>
      <c r="HQ13" s="541"/>
      <c r="HR13" s="541"/>
      <c r="HS13" s="541"/>
      <c r="HT13" s="541"/>
      <c r="HU13" s="541"/>
      <c r="HV13" s="541"/>
      <c r="HW13" s="541"/>
      <c r="HX13" s="541"/>
      <c r="HY13" s="541"/>
      <c r="HZ13" s="541"/>
      <c r="IA13" s="541"/>
      <c r="IB13" s="541"/>
      <c r="IC13" s="541"/>
      <c r="ID13" s="541"/>
      <c r="IE13" s="541"/>
      <c r="IF13" s="541"/>
      <c r="IG13" s="541"/>
      <c r="IH13" s="541"/>
      <c r="II13" s="541"/>
      <c r="IJ13" s="541"/>
      <c r="IK13" s="541"/>
      <c r="IL13" s="541"/>
      <c r="IM13" s="541"/>
      <c r="IN13" s="541"/>
      <c r="IO13" s="541"/>
      <c r="IP13" s="541"/>
      <c r="IQ13" s="541"/>
      <c r="IR13" s="541"/>
      <c r="IS13" s="541"/>
    </row>
    <row r="14" spans="1:253" s="542" customFormat="1">
      <c r="A14" s="565" t="s">
        <v>969</v>
      </c>
      <c r="B14" s="416">
        <f>'Sources and Uses Budget'!$C13</f>
        <v>0</v>
      </c>
      <c r="C14" s="416">
        <f>'Sources and Uses Budget'!$C13</f>
        <v>0</v>
      </c>
      <c r="D14" s="420">
        <f t="shared" si="0"/>
        <v>0</v>
      </c>
      <c r="E14" s="418"/>
      <c r="F14" s="417"/>
      <c r="G14" s="546"/>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41"/>
      <c r="AO14" s="541"/>
      <c r="AP14" s="541"/>
      <c r="AQ14" s="541"/>
      <c r="AR14" s="541"/>
      <c r="AS14" s="541"/>
      <c r="AT14" s="541"/>
      <c r="AU14" s="541"/>
      <c r="AV14" s="541"/>
      <c r="AW14" s="541"/>
      <c r="AX14" s="541"/>
      <c r="AY14" s="541"/>
      <c r="AZ14" s="541"/>
      <c r="BA14" s="541"/>
      <c r="BB14" s="541"/>
      <c r="BC14" s="541"/>
      <c r="BD14" s="541"/>
      <c r="BE14" s="541"/>
      <c r="BF14" s="541"/>
      <c r="BG14" s="541"/>
      <c r="BH14" s="541"/>
      <c r="BI14" s="541"/>
      <c r="BJ14" s="541"/>
      <c r="BK14" s="541"/>
      <c r="BL14" s="541"/>
      <c r="BM14" s="541"/>
      <c r="BN14" s="541"/>
      <c r="BO14" s="541"/>
      <c r="BP14" s="541"/>
      <c r="BQ14" s="541"/>
      <c r="BR14" s="541"/>
      <c r="BS14" s="541"/>
      <c r="BT14" s="541"/>
      <c r="BU14" s="541"/>
      <c r="BV14" s="541"/>
      <c r="BW14" s="541"/>
      <c r="BX14" s="541"/>
      <c r="BY14" s="541"/>
      <c r="BZ14" s="541"/>
      <c r="CA14" s="541"/>
      <c r="CB14" s="541"/>
      <c r="CC14" s="541"/>
      <c r="CD14" s="541"/>
      <c r="CE14" s="541"/>
      <c r="CF14" s="541"/>
      <c r="CG14" s="541"/>
      <c r="CH14" s="541"/>
      <c r="CI14" s="541"/>
      <c r="CJ14" s="541"/>
      <c r="CK14" s="541"/>
      <c r="CL14" s="541"/>
      <c r="CM14" s="541"/>
      <c r="CN14" s="541"/>
      <c r="CO14" s="541"/>
      <c r="CP14" s="541"/>
      <c r="CQ14" s="541"/>
      <c r="CR14" s="541"/>
      <c r="CS14" s="541"/>
      <c r="CT14" s="541"/>
      <c r="CU14" s="541"/>
      <c r="CV14" s="541"/>
      <c r="CW14" s="541"/>
      <c r="CX14" s="541"/>
      <c r="CY14" s="541"/>
      <c r="CZ14" s="541"/>
      <c r="DA14" s="541"/>
      <c r="DB14" s="541"/>
      <c r="DC14" s="541"/>
      <c r="DD14" s="541"/>
      <c r="DE14" s="541"/>
      <c r="DF14" s="541"/>
      <c r="DG14" s="541"/>
      <c r="DH14" s="541"/>
      <c r="DI14" s="541"/>
      <c r="DJ14" s="541"/>
      <c r="DK14" s="541"/>
      <c r="DL14" s="541"/>
      <c r="DM14" s="541"/>
      <c r="DN14" s="541"/>
      <c r="DO14" s="541"/>
      <c r="DP14" s="541"/>
      <c r="DQ14" s="541"/>
      <c r="DR14" s="541"/>
      <c r="DS14" s="541"/>
      <c r="DT14" s="541"/>
      <c r="DU14" s="541"/>
      <c r="DV14" s="541"/>
      <c r="DW14" s="541"/>
      <c r="DX14" s="541"/>
      <c r="DY14" s="541"/>
      <c r="DZ14" s="541"/>
      <c r="EA14" s="541"/>
      <c r="EB14" s="541"/>
      <c r="EC14" s="541"/>
      <c r="ED14" s="541"/>
      <c r="EE14" s="541"/>
      <c r="EF14" s="541"/>
      <c r="EG14" s="541"/>
      <c r="EH14" s="541"/>
      <c r="EI14" s="541"/>
      <c r="EJ14" s="541"/>
      <c r="EK14" s="541"/>
      <c r="EL14" s="541"/>
      <c r="EM14" s="541"/>
      <c r="EN14" s="541"/>
      <c r="EO14" s="541"/>
      <c r="EP14" s="541"/>
      <c r="EQ14" s="541"/>
      <c r="ER14" s="541"/>
      <c r="ES14" s="541"/>
      <c r="ET14" s="541"/>
      <c r="EU14" s="541"/>
      <c r="EV14" s="541"/>
      <c r="EW14" s="541"/>
      <c r="EX14" s="541"/>
      <c r="EY14" s="541"/>
      <c r="EZ14" s="541"/>
      <c r="FA14" s="541"/>
      <c r="FB14" s="541"/>
      <c r="FC14" s="541"/>
      <c r="FD14" s="541"/>
      <c r="FE14" s="541"/>
      <c r="FF14" s="541"/>
      <c r="FG14" s="541"/>
      <c r="FH14" s="541"/>
      <c r="FI14" s="541"/>
      <c r="FJ14" s="541"/>
      <c r="FK14" s="541"/>
      <c r="FL14" s="541"/>
      <c r="FM14" s="541"/>
      <c r="FN14" s="541"/>
      <c r="FO14" s="541"/>
      <c r="FP14" s="541"/>
      <c r="FQ14" s="541"/>
      <c r="FR14" s="541"/>
      <c r="FS14" s="541"/>
      <c r="FT14" s="541"/>
      <c r="FU14" s="541"/>
      <c r="FV14" s="541"/>
      <c r="FW14" s="541"/>
      <c r="FX14" s="541"/>
      <c r="FY14" s="541"/>
      <c r="FZ14" s="541"/>
      <c r="GA14" s="541"/>
      <c r="GB14" s="541"/>
      <c r="GC14" s="541"/>
      <c r="GD14" s="541"/>
      <c r="GE14" s="541"/>
      <c r="GF14" s="541"/>
      <c r="GG14" s="541"/>
      <c r="GH14" s="541"/>
      <c r="GI14" s="541"/>
      <c r="GJ14" s="541"/>
      <c r="GK14" s="541"/>
      <c r="GL14" s="541"/>
      <c r="GM14" s="541"/>
      <c r="GN14" s="541"/>
      <c r="GO14" s="541"/>
      <c r="GP14" s="541"/>
      <c r="GQ14" s="541"/>
      <c r="GR14" s="541"/>
      <c r="GS14" s="541"/>
      <c r="GT14" s="541"/>
      <c r="GU14" s="541"/>
      <c r="GV14" s="541"/>
      <c r="GW14" s="541"/>
      <c r="GX14" s="541"/>
      <c r="GY14" s="541"/>
      <c r="GZ14" s="541"/>
      <c r="HA14" s="541"/>
      <c r="HB14" s="541"/>
      <c r="HC14" s="541"/>
      <c r="HD14" s="541"/>
      <c r="HE14" s="541"/>
      <c r="HF14" s="541"/>
      <c r="HG14" s="541"/>
      <c r="HH14" s="541"/>
      <c r="HI14" s="541"/>
      <c r="HJ14" s="541"/>
      <c r="HK14" s="541"/>
      <c r="HL14" s="541"/>
      <c r="HM14" s="541"/>
      <c r="HN14" s="541"/>
      <c r="HO14" s="541"/>
      <c r="HP14" s="541"/>
      <c r="HQ14" s="541"/>
      <c r="HR14" s="541"/>
      <c r="HS14" s="541"/>
      <c r="HT14" s="541"/>
      <c r="HU14" s="541"/>
      <c r="HV14" s="541"/>
      <c r="HW14" s="541"/>
      <c r="HX14" s="541"/>
      <c r="HY14" s="541"/>
      <c r="HZ14" s="541"/>
      <c r="IA14" s="541"/>
      <c r="IB14" s="541"/>
      <c r="IC14" s="541"/>
      <c r="ID14" s="541"/>
      <c r="IE14" s="541"/>
      <c r="IF14" s="541"/>
      <c r="IG14" s="541"/>
      <c r="IH14" s="541"/>
      <c r="II14" s="541"/>
      <c r="IJ14" s="541"/>
      <c r="IK14" s="541"/>
      <c r="IL14" s="541"/>
      <c r="IM14" s="541"/>
      <c r="IN14" s="541"/>
      <c r="IO14" s="541"/>
      <c r="IP14" s="541"/>
      <c r="IQ14" s="541"/>
      <c r="IR14" s="541"/>
      <c r="IS14" s="541"/>
    </row>
    <row r="15" spans="1:253" s="542" customFormat="1" ht="22.8">
      <c r="A15" s="566" t="s">
        <v>970</v>
      </c>
      <c r="B15" s="416">
        <f>'Sources and Uses Budget'!$C14</f>
        <v>0</v>
      </c>
      <c r="C15" s="416">
        <f>'Sources and Uses Budget'!$C14</f>
        <v>0</v>
      </c>
      <c r="D15" s="420">
        <f t="shared" si="0"/>
        <v>0</v>
      </c>
      <c r="E15" s="418"/>
      <c r="F15" s="417"/>
      <c r="G15" s="546"/>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41"/>
      <c r="AO15" s="541"/>
      <c r="AP15" s="541"/>
      <c r="AQ15" s="541"/>
      <c r="AR15" s="541"/>
      <c r="AS15" s="541"/>
      <c r="AT15" s="541"/>
      <c r="AU15" s="541"/>
      <c r="AV15" s="541"/>
      <c r="AW15" s="541"/>
      <c r="AX15" s="541"/>
      <c r="AY15" s="541"/>
      <c r="AZ15" s="541"/>
      <c r="BA15" s="541"/>
      <c r="BB15" s="541"/>
      <c r="BC15" s="541"/>
      <c r="BD15" s="541"/>
      <c r="BE15" s="541"/>
      <c r="BF15" s="541"/>
      <c r="BG15" s="541"/>
      <c r="BH15" s="541"/>
      <c r="BI15" s="541"/>
      <c r="BJ15" s="541"/>
      <c r="BK15" s="541"/>
      <c r="BL15" s="541"/>
      <c r="BM15" s="541"/>
      <c r="BN15" s="541"/>
      <c r="BO15" s="541"/>
      <c r="BP15" s="541"/>
      <c r="BQ15" s="541"/>
      <c r="BR15" s="541"/>
      <c r="BS15" s="541"/>
      <c r="BT15" s="541"/>
      <c r="BU15" s="541"/>
      <c r="BV15" s="541"/>
      <c r="BW15" s="541"/>
      <c r="BX15" s="541"/>
      <c r="BY15" s="541"/>
      <c r="BZ15" s="541"/>
      <c r="CA15" s="541"/>
      <c r="CB15" s="541"/>
      <c r="CC15" s="541"/>
      <c r="CD15" s="541"/>
      <c r="CE15" s="541"/>
      <c r="CF15" s="541"/>
      <c r="CG15" s="541"/>
      <c r="CH15" s="541"/>
      <c r="CI15" s="541"/>
      <c r="CJ15" s="541"/>
      <c r="CK15" s="541"/>
      <c r="CL15" s="541"/>
      <c r="CM15" s="541"/>
      <c r="CN15" s="541"/>
      <c r="CO15" s="541"/>
      <c r="CP15" s="541"/>
      <c r="CQ15" s="541"/>
      <c r="CR15" s="541"/>
      <c r="CS15" s="541"/>
      <c r="CT15" s="541"/>
      <c r="CU15" s="541"/>
      <c r="CV15" s="541"/>
      <c r="CW15" s="541"/>
      <c r="CX15" s="541"/>
      <c r="CY15" s="541"/>
      <c r="CZ15" s="541"/>
      <c r="DA15" s="541"/>
      <c r="DB15" s="541"/>
      <c r="DC15" s="541"/>
      <c r="DD15" s="541"/>
      <c r="DE15" s="541"/>
      <c r="DF15" s="541"/>
      <c r="DG15" s="541"/>
      <c r="DH15" s="541"/>
      <c r="DI15" s="541"/>
      <c r="DJ15" s="541"/>
      <c r="DK15" s="541"/>
      <c r="DL15" s="541"/>
      <c r="DM15" s="541"/>
      <c r="DN15" s="541"/>
      <c r="DO15" s="541"/>
      <c r="DP15" s="541"/>
      <c r="DQ15" s="541"/>
      <c r="DR15" s="541"/>
      <c r="DS15" s="541"/>
      <c r="DT15" s="541"/>
      <c r="DU15" s="541"/>
      <c r="DV15" s="541"/>
      <c r="DW15" s="541"/>
      <c r="DX15" s="541"/>
      <c r="DY15" s="541"/>
      <c r="DZ15" s="541"/>
      <c r="EA15" s="541"/>
      <c r="EB15" s="541"/>
      <c r="EC15" s="541"/>
      <c r="ED15" s="541"/>
      <c r="EE15" s="541"/>
      <c r="EF15" s="541"/>
      <c r="EG15" s="541"/>
      <c r="EH15" s="541"/>
      <c r="EI15" s="541"/>
      <c r="EJ15" s="541"/>
      <c r="EK15" s="541"/>
      <c r="EL15" s="541"/>
      <c r="EM15" s="541"/>
      <c r="EN15" s="541"/>
      <c r="EO15" s="541"/>
      <c r="EP15" s="541"/>
      <c r="EQ15" s="541"/>
      <c r="ER15" s="541"/>
      <c r="ES15" s="541"/>
      <c r="ET15" s="541"/>
      <c r="EU15" s="541"/>
      <c r="EV15" s="541"/>
      <c r="EW15" s="541"/>
      <c r="EX15" s="541"/>
      <c r="EY15" s="541"/>
      <c r="EZ15" s="541"/>
      <c r="FA15" s="541"/>
      <c r="FB15" s="541"/>
      <c r="FC15" s="541"/>
      <c r="FD15" s="541"/>
      <c r="FE15" s="541"/>
      <c r="FF15" s="541"/>
      <c r="FG15" s="541"/>
      <c r="FH15" s="541"/>
      <c r="FI15" s="541"/>
      <c r="FJ15" s="541"/>
      <c r="FK15" s="541"/>
      <c r="FL15" s="541"/>
      <c r="FM15" s="541"/>
      <c r="FN15" s="541"/>
      <c r="FO15" s="541"/>
      <c r="FP15" s="541"/>
      <c r="FQ15" s="541"/>
      <c r="FR15" s="541"/>
      <c r="FS15" s="541"/>
      <c r="FT15" s="541"/>
      <c r="FU15" s="541"/>
      <c r="FV15" s="541"/>
      <c r="FW15" s="541"/>
      <c r="FX15" s="541"/>
      <c r="FY15" s="541"/>
      <c r="FZ15" s="541"/>
      <c r="GA15" s="541"/>
      <c r="GB15" s="541"/>
      <c r="GC15" s="541"/>
      <c r="GD15" s="541"/>
      <c r="GE15" s="541"/>
      <c r="GF15" s="541"/>
      <c r="GG15" s="541"/>
      <c r="GH15" s="541"/>
      <c r="GI15" s="541"/>
      <c r="GJ15" s="541"/>
      <c r="GK15" s="541"/>
      <c r="GL15" s="541"/>
      <c r="GM15" s="541"/>
      <c r="GN15" s="541"/>
      <c r="GO15" s="541"/>
      <c r="GP15" s="541"/>
      <c r="GQ15" s="541"/>
      <c r="GR15" s="541"/>
      <c r="GS15" s="541"/>
      <c r="GT15" s="541"/>
      <c r="GU15" s="541"/>
      <c r="GV15" s="541"/>
      <c r="GW15" s="541"/>
      <c r="GX15" s="541"/>
      <c r="GY15" s="541"/>
      <c r="GZ15" s="541"/>
      <c r="HA15" s="541"/>
      <c r="HB15" s="541"/>
      <c r="HC15" s="541"/>
      <c r="HD15" s="541"/>
      <c r="HE15" s="541"/>
      <c r="HF15" s="541"/>
      <c r="HG15" s="541"/>
      <c r="HH15" s="541"/>
      <c r="HI15" s="541"/>
      <c r="HJ15" s="541"/>
      <c r="HK15" s="541"/>
      <c r="HL15" s="541"/>
      <c r="HM15" s="541"/>
      <c r="HN15" s="541"/>
      <c r="HO15" s="541"/>
      <c r="HP15" s="541"/>
      <c r="HQ15" s="541"/>
      <c r="HR15" s="541"/>
      <c r="HS15" s="541"/>
      <c r="HT15" s="541"/>
      <c r="HU15" s="541"/>
      <c r="HV15" s="541"/>
      <c r="HW15" s="541"/>
      <c r="HX15" s="541"/>
      <c r="HY15" s="541"/>
      <c r="HZ15" s="541"/>
      <c r="IA15" s="541"/>
      <c r="IB15" s="541"/>
      <c r="IC15" s="541"/>
      <c r="ID15" s="541"/>
      <c r="IE15" s="541"/>
      <c r="IF15" s="541"/>
      <c r="IG15" s="541"/>
      <c r="IH15" s="541"/>
      <c r="II15" s="541"/>
      <c r="IJ15" s="541"/>
      <c r="IK15" s="541"/>
      <c r="IL15" s="541"/>
      <c r="IM15" s="541"/>
      <c r="IN15" s="541"/>
      <c r="IO15" s="541"/>
      <c r="IP15" s="541"/>
      <c r="IQ15" s="541"/>
      <c r="IR15" s="541"/>
      <c r="IS15" s="541"/>
    </row>
    <row r="16" spans="1:253" s="542" customFormat="1">
      <c r="A16" s="566" t="s">
        <v>1354</v>
      </c>
      <c r="B16" s="416">
        <f>'Sources and Uses Budget'!$C15</f>
        <v>0</v>
      </c>
      <c r="C16" s="416">
        <f>'Sources and Uses Budget'!$C15</f>
        <v>0</v>
      </c>
      <c r="D16" s="420">
        <f t="shared" si="0"/>
        <v>0</v>
      </c>
      <c r="E16" s="418"/>
      <c r="F16" s="417"/>
      <c r="G16" s="546"/>
      <c r="H16" s="541"/>
      <c r="I16" s="541"/>
      <c r="J16" s="541"/>
      <c r="K16" s="541"/>
      <c r="L16" s="541"/>
      <c r="M16" s="541"/>
      <c r="N16" s="541"/>
      <c r="O16" s="541"/>
      <c r="P16" s="541"/>
      <c r="Q16" s="541"/>
      <c r="R16" s="541"/>
      <c r="S16" s="541"/>
      <c r="T16" s="541"/>
      <c r="U16" s="541"/>
      <c r="V16" s="541"/>
      <c r="W16" s="541"/>
      <c r="X16" s="541"/>
      <c r="Y16" s="541"/>
      <c r="Z16" s="541"/>
      <c r="AA16" s="541"/>
      <c r="AB16" s="541"/>
      <c r="AC16" s="541"/>
      <c r="AD16" s="541"/>
      <c r="AE16" s="541"/>
      <c r="AF16" s="541"/>
      <c r="AG16" s="541"/>
      <c r="AH16" s="541"/>
      <c r="AI16" s="541"/>
      <c r="AJ16" s="541"/>
      <c r="AK16" s="541"/>
      <c r="AL16" s="541"/>
      <c r="AM16" s="541"/>
      <c r="AN16" s="541"/>
      <c r="AO16" s="541"/>
      <c r="AP16" s="541"/>
      <c r="AQ16" s="541"/>
      <c r="AR16" s="541"/>
      <c r="AS16" s="541"/>
      <c r="AT16" s="541"/>
      <c r="AU16" s="541"/>
      <c r="AV16" s="541"/>
      <c r="AW16" s="541"/>
      <c r="AX16" s="541"/>
      <c r="AY16" s="541"/>
      <c r="AZ16" s="541"/>
      <c r="BA16" s="541"/>
      <c r="BB16" s="541"/>
      <c r="BC16" s="541"/>
      <c r="BD16" s="541"/>
      <c r="BE16" s="541"/>
      <c r="BF16" s="541"/>
      <c r="BG16" s="541"/>
      <c r="BH16" s="541"/>
      <c r="BI16" s="541"/>
      <c r="BJ16" s="541"/>
      <c r="BK16" s="541"/>
      <c r="BL16" s="541"/>
      <c r="BM16" s="541"/>
      <c r="BN16" s="541"/>
      <c r="BO16" s="541"/>
      <c r="BP16" s="541"/>
      <c r="BQ16" s="541"/>
      <c r="BR16" s="541"/>
      <c r="BS16" s="541"/>
      <c r="BT16" s="541"/>
      <c r="BU16" s="541"/>
      <c r="BV16" s="541"/>
      <c r="BW16" s="541"/>
      <c r="BX16" s="541"/>
      <c r="BY16" s="541"/>
      <c r="BZ16" s="541"/>
      <c r="CA16" s="541"/>
      <c r="CB16" s="541"/>
      <c r="CC16" s="541"/>
      <c r="CD16" s="541"/>
      <c r="CE16" s="541"/>
      <c r="CF16" s="541"/>
      <c r="CG16" s="541"/>
      <c r="CH16" s="541"/>
      <c r="CI16" s="541"/>
      <c r="CJ16" s="541"/>
      <c r="CK16" s="541"/>
      <c r="CL16" s="541"/>
      <c r="CM16" s="541"/>
      <c r="CN16" s="541"/>
      <c r="CO16" s="541"/>
      <c r="CP16" s="541"/>
      <c r="CQ16" s="541"/>
      <c r="CR16" s="541"/>
      <c r="CS16" s="541"/>
      <c r="CT16" s="541"/>
      <c r="CU16" s="541"/>
      <c r="CV16" s="541"/>
      <c r="CW16" s="541"/>
      <c r="CX16" s="541"/>
      <c r="CY16" s="541"/>
      <c r="CZ16" s="541"/>
      <c r="DA16" s="541"/>
      <c r="DB16" s="541"/>
      <c r="DC16" s="541"/>
      <c r="DD16" s="541"/>
      <c r="DE16" s="541"/>
      <c r="DF16" s="541"/>
      <c r="DG16" s="541"/>
      <c r="DH16" s="541"/>
      <c r="DI16" s="541"/>
      <c r="DJ16" s="541"/>
      <c r="DK16" s="541"/>
      <c r="DL16" s="541"/>
      <c r="DM16" s="541"/>
      <c r="DN16" s="541"/>
      <c r="DO16" s="541"/>
      <c r="DP16" s="541"/>
      <c r="DQ16" s="541"/>
      <c r="DR16" s="541"/>
      <c r="DS16" s="541"/>
      <c r="DT16" s="541"/>
      <c r="DU16" s="541"/>
      <c r="DV16" s="541"/>
      <c r="DW16" s="541"/>
      <c r="DX16" s="541"/>
      <c r="DY16" s="541"/>
      <c r="DZ16" s="541"/>
      <c r="EA16" s="541"/>
      <c r="EB16" s="541"/>
      <c r="EC16" s="541"/>
      <c r="ED16" s="541"/>
      <c r="EE16" s="541"/>
      <c r="EF16" s="541"/>
      <c r="EG16" s="541"/>
      <c r="EH16" s="541"/>
      <c r="EI16" s="541"/>
      <c r="EJ16" s="541"/>
      <c r="EK16" s="541"/>
      <c r="EL16" s="541"/>
      <c r="EM16" s="541"/>
      <c r="EN16" s="541"/>
      <c r="EO16" s="541"/>
      <c r="EP16" s="541"/>
      <c r="EQ16" s="541"/>
      <c r="ER16" s="541"/>
      <c r="ES16" s="541"/>
      <c r="ET16" s="541"/>
      <c r="EU16" s="541"/>
      <c r="EV16" s="541"/>
      <c r="EW16" s="541"/>
      <c r="EX16" s="541"/>
      <c r="EY16" s="541"/>
      <c r="EZ16" s="541"/>
      <c r="FA16" s="541"/>
      <c r="FB16" s="541"/>
      <c r="FC16" s="541"/>
      <c r="FD16" s="541"/>
      <c r="FE16" s="541"/>
      <c r="FF16" s="541"/>
      <c r="FG16" s="541"/>
      <c r="FH16" s="541"/>
      <c r="FI16" s="541"/>
      <c r="FJ16" s="541"/>
      <c r="FK16" s="541"/>
      <c r="FL16" s="541"/>
      <c r="FM16" s="541"/>
      <c r="FN16" s="541"/>
      <c r="FO16" s="541"/>
      <c r="FP16" s="541"/>
      <c r="FQ16" s="541"/>
      <c r="FR16" s="541"/>
      <c r="FS16" s="541"/>
      <c r="FT16" s="541"/>
      <c r="FU16" s="541"/>
      <c r="FV16" s="541"/>
      <c r="FW16" s="541"/>
      <c r="FX16" s="541"/>
      <c r="FY16" s="541"/>
      <c r="FZ16" s="541"/>
      <c r="GA16" s="541"/>
      <c r="GB16" s="541"/>
      <c r="GC16" s="541"/>
      <c r="GD16" s="541"/>
      <c r="GE16" s="541"/>
      <c r="GF16" s="541"/>
      <c r="GG16" s="541"/>
      <c r="GH16" s="541"/>
      <c r="GI16" s="541"/>
      <c r="GJ16" s="541"/>
      <c r="GK16" s="541"/>
      <c r="GL16" s="541"/>
      <c r="GM16" s="541"/>
      <c r="GN16" s="541"/>
      <c r="GO16" s="541"/>
      <c r="GP16" s="541"/>
      <c r="GQ16" s="541"/>
      <c r="GR16" s="541"/>
      <c r="GS16" s="541"/>
      <c r="GT16" s="541"/>
      <c r="GU16" s="541"/>
      <c r="GV16" s="541"/>
      <c r="GW16" s="541"/>
      <c r="GX16" s="541"/>
      <c r="GY16" s="541"/>
      <c r="GZ16" s="541"/>
      <c r="HA16" s="541"/>
      <c r="HB16" s="541"/>
      <c r="HC16" s="541"/>
      <c r="HD16" s="541"/>
      <c r="HE16" s="541"/>
      <c r="HF16" s="541"/>
      <c r="HG16" s="541"/>
      <c r="HH16" s="541"/>
      <c r="HI16" s="541"/>
      <c r="HJ16" s="541"/>
      <c r="HK16" s="541"/>
      <c r="HL16" s="541"/>
      <c r="HM16" s="541"/>
      <c r="HN16" s="541"/>
      <c r="HO16" s="541"/>
      <c r="HP16" s="541"/>
      <c r="HQ16" s="541"/>
      <c r="HR16" s="541"/>
      <c r="HS16" s="541"/>
      <c r="HT16" s="541"/>
      <c r="HU16" s="541"/>
      <c r="HV16" s="541"/>
      <c r="HW16" s="541"/>
      <c r="HX16" s="541"/>
      <c r="HY16" s="541"/>
      <c r="HZ16" s="541"/>
      <c r="IA16" s="541"/>
      <c r="IB16" s="541"/>
      <c r="IC16" s="541"/>
      <c r="ID16" s="541"/>
      <c r="IE16" s="541"/>
      <c r="IF16" s="541"/>
      <c r="IG16" s="541"/>
      <c r="IH16" s="541"/>
      <c r="II16" s="541"/>
      <c r="IJ16" s="541"/>
      <c r="IK16" s="541"/>
      <c r="IL16" s="541"/>
      <c r="IM16" s="541"/>
      <c r="IN16" s="541"/>
      <c r="IO16" s="541"/>
      <c r="IP16" s="541"/>
      <c r="IQ16" s="541"/>
      <c r="IR16" s="541"/>
      <c r="IS16" s="541"/>
    </row>
    <row r="17" spans="1:253" s="542" customFormat="1">
      <c r="A17" s="414" t="s">
        <v>632</v>
      </c>
      <c r="B17" s="414"/>
      <c r="C17" s="414"/>
      <c r="D17" s="414"/>
      <c r="E17" s="434"/>
      <c r="F17" s="414"/>
      <c r="G17" s="546"/>
      <c r="H17" s="541"/>
      <c r="I17" s="541"/>
      <c r="J17" s="541"/>
      <c r="K17" s="541"/>
      <c r="L17" s="541"/>
      <c r="M17" s="541"/>
      <c r="N17" s="541"/>
      <c r="O17" s="541"/>
      <c r="P17" s="541"/>
      <c r="Q17" s="541"/>
      <c r="R17" s="541"/>
      <c r="S17" s="541"/>
      <c r="T17" s="541"/>
      <c r="U17" s="541"/>
      <c r="V17" s="541"/>
      <c r="W17" s="541"/>
      <c r="X17" s="541"/>
      <c r="Y17" s="541"/>
      <c r="Z17" s="541"/>
      <c r="AA17" s="541"/>
      <c r="AB17" s="541"/>
      <c r="AC17" s="541"/>
      <c r="AD17" s="541"/>
      <c r="AE17" s="541"/>
      <c r="AF17" s="541"/>
      <c r="AG17" s="541"/>
      <c r="AH17" s="541"/>
      <c r="AI17" s="541"/>
      <c r="AJ17" s="541"/>
      <c r="AK17" s="541"/>
      <c r="AL17" s="541"/>
      <c r="AM17" s="541"/>
      <c r="AN17" s="541"/>
      <c r="AO17" s="541"/>
      <c r="AP17" s="541"/>
      <c r="AQ17" s="541"/>
      <c r="AR17" s="541"/>
      <c r="AS17" s="541"/>
      <c r="AT17" s="541"/>
      <c r="AU17" s="541"/>
      <c r="AV17" s="541"/>
      <c r="AW17" s="541"/>
      <c r="AX17" s="541"/>
      <c r="AY17" s="541"/>
      <c r="AZ17" s="541"/>
      <c r="BA17" s="541"/>
      <c r="BB17" s="541"/>
      <c r="BC17" s="541"/>
      <c r="BD17" s="541"/>
      <c r="BE17" s="541"/>
      <c r="BF17" s="541"/>
      <c r="BG17" s="541"/>
      <c r="BH17" s="541"/>
      <c r="BI17" s="541"/>
      <c r="BJ17" s="541"/>
      <c r="BK17" s="541"/>
      <c r="BL17" s="541"/>
      <c r="BM17" s="541"/>
      <c r="BN17" s="541"/>
      <c r="BO17" s="541"/>
      <c r="BP17" s="541"/>
      <c r="BQ17" s="541"/>
      <c r="BR17" s="541"/>
      <c r="BS17" s="541"/>
      <c r="BT17" s="541"/>
      <c r="BU17" s="541"/>
      <c r="BV17" s="541"/>
      <c r="BW17" s="541"/>
      <c r="BX17" s="541"/>
      <c r="BY17" s="541"/>
      <c r="BZ17" s="541"/>
      <c r="CA17" s="541"/>
      <c r="CB17" s="541"/>
      <c r="CC17" s="541"/>
      <c r="CD17" s="541"/>
      <c r="CE17" s="541"/>
      <c r="CF17" s="541"/>
      <c r="CG17" s="541"/>
      <c r="CH17" s="541"/>
      <c r="CI17" s="541"/>
      <c r="CJ17" s="541"/>
      <c r="CK17" s="541"/>
      <c r="CL17" s="541"/>
      <c r="CM17" s="541"/>
      <c r="CN17" s="541"/>
      <c r="CO17" s="541"/>
      <c r="CP17" s="541"/>
      <c r="CQ17" s="541"/>
      <c r="CR17" s="541"/>
      <c r="CS17" s="541"/>
      <c r="CT17" s="541"/>
      <c r="CU17" s="541"/>
      <c r="CV17" s="541"/>
      <c r="CW17" s="541"/>
      <c r="CX17" s="541"/>
      <c r="CY17" s="541"/>
      <c r="CZ17" s="541"/>
      <c r="DA17" s="541"/>
      <c r="DB17" s="541"/>
      <c r="DC17" s="541"/>
      <c r="DD17" s="541"/>
      <c r="DE17" s="541"/>
      <c r="DF17" s="541"/>
      <c r="DG17" s="541"/>
      <c r="DH17" s="541"/>
      <c r="DI17" s="541"/>
      <c r="DJ17" s="541"/>
      <c r="DK17" s="541"/>
      <c r="DL17" s="541"/>
      <c r="DM17" s="541"/>
      <c r="DN17" s="541"/>
      <c r="DO17" s="541"/>
      <c r="DP17" s="541"/>
      <c r="DQ17" s="541"/>
      <c r="DR17" s="541"/>
      <c r="DS17" s="541"/>
      <c r="DT17" s="541"/>
      <c r="DU17" s="541"/>
      <c r="DV17" s="541"/>
      <c r="DW17" s="541"/>
      <c r="DX17" s="541"/>
      <c r="DY17" s="541"/>
      <c r="DZ17" s="541"/>
      <c r="EA17" s="541"/>
      <c r="EB17" s="541"/>
      <c r="EC17" s="541"/>
      <c r="ED17" s="541"/>
      <c r="EE17" s="541"/>
      <c r="EF17" s="541"/>
      <c r="EG17" s="541"/>
      <c r="EH17" s="541"/>
      <c r="EI17" s="541"/>
      <c r="EJ17" s="541"/>
      <c r="EK17" s="541"/>
      <c r="EL17" s="541"/>
      <c r="EM17" s="541"/>
      <c r="EN17" s="541"/>
      <c r="EO17" s="541"/>
      <c r="EP17" s="541"/>
      <c r="EQ17" s="541"/>
      <c r="ER17" s="541"/>
      <c r="ES17" s="541"/>
      <c r="ET17" s="541"/>
      <c r="EU17" s="541"/>
      <c r="EV17" s="541"/>
      <c r="EW17" s="541"/>
      <c r="EX17" s="541"/>
      <c r="EY17" s="541"/>
      <c r="EZ17" s="541"/>
      <c r="FA17" s="541"/>
      <c r="FB17" s="541"/>
      <c r="FC17" s="541"/>
      <c r="FD17" s="541"/>
      <c r="FE17" s="541"/>
      <c r="FF17" s="541"/>
      <c r="FG17" s="541"/>
      <c r="FH17" s="541"/>
      <c r="FI17" s="541"/>
      <c r="FJ17" s="541"/>
      <c r="FK17" s="541"/>
      <c r="FL17" s="541"/>
      <c r="FM17" s="541"/>
      <c r="FN17" s="541"/>
      <c r="FO17" s="541"/>
      <c r="FP17" s="541"/>
      <c r="FQ17" s="541"/>
      <c r="FR17" s="541"/>
      <c r="FS17" s="541"/>
      <c r="FT17" s="541"/>
      <c r="FU17" s="541"/>
      <c r="FV17" s="541"/>
      <c r="FW17" s="541"/>
      <c r="FX17" s="541"/>
      <c r="FY17" s="541"/>
      <c r="FZ17" s="541"/>
      <c r="GA17" s="541"/>
      <c r="GB17" s="541"/>
      <c r="GC17" s="541"/>
      <c r="GD17" s="541"/>
      <c r="GE17" s="541"/>
      <c r="GF17" s="541"/>
      <c r="GG17" s="541"/>
      <c r="GH17" s="541"/>
      <c r="GI17" s="541"/>
      <c r="GJ17" s="541"/>
      <c r="GK17" s="541"/>
      <c r="GL17" s="541"/>
      <c r="GM17" s="541"/>
      <c r="GN17" s="541"/>
      <c r="GO17" s="541"/>
      <c r="GP17" s="541"/>
      <c r="GQ17" s="541"/>
      <c r="GR17" s="541"/>
      <c r="GS17" s="541"/>
      <c r="GT17" s="541"/>
      <c r="GU17" s="541"/>
      <c r="GV17" s="541"/>
      <c r="GW17" s="541"/>
      <c r="GX17" s="541"/>
      <c r="GY17" s="541"/>
      <c r="GZ17" s="541"/>
      <c r="HA17" s="541"/>
      <c r="HB17" s="541"/>
      <c r="HC17" s="541"/>
      <c r="HD17" s="541"/>
      <c r="HE17" s="541"/>
      <c r="HF17" s="541"/>
      <c r="HG17" s="541"/>
      <c r="HH17" s="541"/>
      <c r="HI17" s="541"/>
      <c r="HJ17" s="541"/>
      <c r="HK17" s="541"/>
      <c r="HL17" s="541"/>
      <c r="HM17" s="541"/>
      <c r="HN17" s="541"/>
      <c r="HO17" s="541"/>
      <c r="HP17" s="541"/>
      <c r="HQ17" s="541"/>
      <c r="HR17" s="541"/>
      <c r="HS17" s="541"/>
      <c r="HT17" s="541"/>
      <c r="HU17" s="541"/>
      <c r="HV17" s="541"/>
      <c r="HW17" s="541"/>
      <c r="HX17" s="541"/>
      <c r="HY17" s="541"/>
      <c r="HZ17" s="541"/>
      <c r="IA17" s="541"/>
      <c r="IB17" s="541"/>
      <c r="IC17" s="541"/>
      <c r="ID17" s="541"/>
      <c r="IE17" s="541"/>
      <c r="IF17" s="541"/>
      <c r="IG17" s="541"/>
      <c r="IH17" s="541"/>
      <c r="II17" s="541"/>
      <c r="IJ17" s="541"/>
      <c r="IK17" s="541"/>
      <c r="IL17" s="541"/>
      <c r="IM17" s="541"/>
      <c r="IN17" s="541"/>
      <c r="IO17" s="541"/>
      <c r="IP17" s="541"/>
      <c r="IQ17" s="541"/>
      <c r="IR17" s="541"/>
      <c r="IS17" s="541"/>
    </row>
    <row r="18" spans="1:253" s="542" customFormat="1">
      <c r="A18" s="215" t="s">
        <v>633</v>
      </c>
      <c r="B18" s="416">
        <f>'Sources and Uses Budget'!$C17</f>
        <v>0</v>
      </c>
      <c r="C18" s="416">
        <f>'Sources and Uses Budget'!$C17</f>
        <v>0</v>
      </c>
      <c r="D18" s="420">
        <f t="shared" si="0"/>
        <v>0</v>
      </c>
      <c r="E18" s="418"/>
      <c r="F18" s="417"/>
      <c r="G18" s="546"/>
      <c r="H18" s="541"/>
      <c r="I18" s="541"/>
      <c r="J18" s="541"/>
      <c r="K18" s="541"/>
      <c r="L18" s="541"/>
      <c r="M18" s="541"/>
      <c r="N18" s="541"/>
      <c r="O18" s="541"/>
      <c r="P18" s="541"/>
      <c r="Q18" s="541"/>
      <c r="R18" s="541"/>
      <c r="S18" s="541"/>
      <c r="T18" s="541"/>
      <c r="U18" s="541"/>
      <c r="V18" s="541"/>
      <c r="W18" s="541"/>
      <c r="X18" s="541"/>
      <c r="Y18" s="541"/>
      <c r="Z18" s="541"/>
      <c r="AA18" s="541"/>
      <c r="AB18" s="541"/>
      <c r="AC18" s="541"/>
      <c r="AD18" s="541"/>
      <c r="AE18" s="541"/>
      <c r="AF18" s="541"/>
      <c r="AG18" s="541"/>
      <c r="AH18" s="541"/>
      <c r="AI18" s="541"/>
      <c r="AJ18" s="541"/>
      <c r="AK18" s="541"/>
      <c r="AL18" s="541"/>
      <c r="AM18" s="541"/>
      <c r="AN18" s="541"/>
      <c r="AO18" s="541"/>
      <c r="AP18" s="541"/>
      <c r="AQ18" s="541"/>
      <c r="AR18" s="541"/>
      <c r="AS18" s="541"/>
      <c r="AT18" s="541"/>
      <c r="AU18" s="541"/>
      <c r="AV18" s="541"/>
      <c r="AW18" s="541"/>
      <c r="AX18" s="541"/>
      <c r="AY18" s="541"/>
      <c r="AZ18" s="541"/>
      <c r="BA18" s="541"/>
      <c r="BB18" s="541"/>
      <c r="BC18" s="541"/>
      <c r="BD18" s="541"/>
      <c r="BE18" s="541"/>
      <c r="BF18" s="541"/>
      <c r="BG18" s="541"/>
      <c r="BH18" s="541"/>
      <c r="BI18" s="541"/>
      <c r="BJ18" s="541"/>
      <c r="BK18" s="541"/>
      <c r="BL18" s="541"/>
      <c r="BM18" s="541"/>
      <c r="BN18" s="541"/>
      <c r="BO18" s="541"/>
      <c r="BP18" s="541"/>
      <c r="BQ18" s="541"/>
      <c r="BR18" s="541"/>
      <c r="BS18" s="541"/>
      <c r="BT18" s="541"/>
      <c r="BU18" s="541"/>
      <c r="BV18" s="541"/>
      <c r="BW18" s="541"/>
      <c r="BX18" s="541"/>
      <c r="BY18" s="541"/>
      <c r="BZ18" s="541"/>
      <c r="CA18" s="541"/>
      <c r="CB18" s="541"/>
      <c r="CC18" s="541"/>
      <c r="CD18" s="541"/>
      <c r="CE18" s="541"/>
      <c r="CF18" s="541"/>
      <c r="CG18" s="541"/>
      <c r="CH18" s="541"/>
      <c r="CI18" s="541"/>
      <c r="CJ18" s="541"/>
      <c r="CK18" s="541"/>
      <c r="CL18" s="541"/>
      <c r="CM18" s="541"/>
      <c r="CN18" s="541"/>
      <c r="CO18" s="541"/>
      <c r="CP18" s="541"/>
      <c r="CQ18" s="541"/>
      <c r="CR18" s="541"/>
      <c r="CS18" s="541"/>
      <c r="CT18" s="541"/>
      <c r="CU18" s="541"/>
      <c r="CV18" s="541"/>
      <c r="CW18" s="541"/>
      <c r="CX18" s="541"/>
      <c r="CY18" s="541"/>
      <c r="CZ18" s="541"/>
      <c r="DA18" s="541"/>
      <c r="DB18" s="541"/>
      <c r="DC18" s="541"/>
      <c r="DD18" s="541"/>
      <c r="DE18" s="541"/>
      <c r="DF18" s="541"/>
      <c r="DG18" s="541"/>
      <c r="DH18" s="541"/>
      <c r="DI18" s="541"/>
      <c r="DJ18" s="541"/>
      <c r="DK18" s="541"/>
      <c r="DL18" s="541"/>
      <c r="DM18" s="541"/>
      <c r="DN18" s="541"/>
      <c r="DO18" s="541"/>
      <c r="DP18" s="541"/>
      <c r="DQ18" s="541"/>
      <c r="DR18" s="541"/>
      <c r="DS18" s="541"/>
      <c r="DT18" s="541"/>
      <c r="DU18" s="541"/>
      <c r="DV18" s="541"/>
      <c r="DW18" s="541"/>
      <c r="DX18" s="541"/>
      <c r="DY18" s="541"/>
      <c r="DZ18" s="541"/>
      <c r="EA18" s="541"/>
      <c r="EB18" s="541"/>
      <c r="EC18" s="541"/>
      <c r="ED18" s="541"/>
      <c r="EE18" s="541"/>
      <c r="EF18" s="541"/>
      <c r="EG18" s="541"/>
      <c r="EH18" s="541"/>
      <c r="EI18" s="541"/>
      <c r="EJ18" s="541"/>
      <c r="EK18" s="541"/>
      <c r="EL18" s="541"/>
      <c r="EM18" s="541"/>
      <c r="EN18" s="541"/>
      <c r="EO18" s="541"/>
      <c r="EP18" s="541"/>
      <c r="EQ18" s="541"/>
      <c r="ER18" s="541"/>
      <c r="ES18" s="541"/>
      <c r="ET18" s="541"/>
      <c r="EU18" s="541"/>
      <c r="EV18" s="541"/>
      <c r="EW18" s="541"/>
      <c r="EX18" s="541"/>
      <c r="EY18" s="541"/>
      <c r="EZ18" s="541"/>
      <c r="FA18" s="541"/>
      <c r="FB18" s="541"/>
      <c r="FC18" s="541"/>
      <c r="FD18" s="541"/>
      <c r="FE18" s="541"/>
      <c r="FF18" s="541"/>
      <c r="FG18" s="541"/>
      <c r="FH18" s="541"/>
      <c r="FI18" s="541"/>
      <c r="FJ18" s="541"/>
      <c r="FK18" s="541"/>
      <c r="FL18" s="541"/>
      <c r="FM18" s="541"/>
      <c r="FN18" s="541"/>
      <c r="FO18" s="541"/>
      <c r="FP18" s="541"/>
      <c r="FQ18" s="541"/>
      <c r="FR18" s="541"/>
      <c r="FS18" s="541"/>
      <c r="FT18" s="541"/>
      <c r="FU18" s="541"/>
      <c r="FV18" s="541"/>
      <c r="FW18" s="541"/>
      <c r="FX18" s="541"/>
      <c r="FY18" s="541"/>
      <c r="FZ18" s="541"/>
      <c r="GA18" s="541"/>
      <c r="GB18" s="541"/>
      <c r="GC18" s="541"/>
      <c r="GD18" s="541"/>
      <c r="GE18" s="541"/>
      <c r="GF18" s="541"/>
      <c r="GG18" s="541"/>
      <c r="GH18" s="541"/>
      <c r="GI18" s="541"/>
      <c r="GJ18" s="541"/>
      <c r="GK18" s="541"/>
      <c r="GL18" s="541"/>
      <c r="GM18" s="541"/>
      <c r="GN18" s="541"/>
      <c r="GO18" s="541"/>
      <c r="GP18" s="541"/>
      <c r="GQ18" s="541"/>
      <c r="GR18" s="541"/>
      <c r="GS18" s="541"/>
      <c r="GT18" s="541"/>
      <c r="GU18" s="541"/>
      <c r="GV18" s="541"/>
      <c r="GW18" s="541"/>
      <c r="GX18" s="541"/>
      <c r="GY18" s="541"/>
      <c r="GZ18" s="541"/>
      <c r="HA18" s="541"/>
      <c r="HB18" s="541"/>
      <c r="HC18" s="541"/>
      <c r="HD18" s="541"/>
      <c r="HE18" s="541"/>
      <c r="HF18" s="541"/>
      <c r="HG18" s="541"/>
      <c r="HH18" s="541"/>
      <c r="HI18" s="541"/>
      <c r="HJ18" s="541"/>
      <c r="HK18" s="541"/>
      <c r="HL18" s="541"/>
      <c r="HM18" s="541"/>
      <c r="HN18" s="541"/>
      <c r="HO18" s="541"/>
      <c r="HP18" s="541"/>
      <c r="HQ18" s="541"/>
      <c r="HR18" s="541"/>
      <c r="HS18" s="541"/>
      <c r="HT18" s="541"/>
      <c r="HU18" s="541"/>
      <c r="HV18" s="541"/>
      <c r="HW18" s="541"/>
      <c r="HX18" s="541"/>
      <c r="HY18" s="541"/>
      <c r="HZ18" s="541"/>
      <c r="IA18" s="541"/>
      <c r="IB18" s="541"/>
      <c r="IC18" s="541"/>
      <c r="ID18" s="541"/>
      <c r="IE18" s="541"/>
      <c r="IF18" s="541"/>
      <c r="IG18" s="541"/>
      <c r="IH18" s="541"/>
      <c r="II18" s="541"/>
      <c r="IJ18" s="541"/>
      <c r="IK18" s="541"/>
      <c r="IL18" s="541"/>
      <c r="IM18" s="541"/>
      <c r="IN18" s="541"/>
      <c r="IO18" s="541"/>
      <c r="IP18" s="541"/>
      <c r="IQ18" s="541"/>
      <c r="IR18" s="541"/>
      <c r="IS18" s="541"/>
    </row>
    <row r="19" spans="1:253" s="542" customFormat="1">
      <c r="A19" s="215" t="s">
        <v>634</v>
      </c>
      <c r="B19" s="416">
        <f>'Sources and Uses Budget'!$C18</f>
        <v>0</v>
      </c>
      <c r="C19" s="416">
        <f>'Sources and Uses Budget'!$C18</f>
        <v>0</v>
      </c>
      <c r="D19" s="420">
        <f t="shared" si="0"/>
        <v>0</v>
      </c>
      <c r="E19" s="418"/>
      <c r="F19" s="417"/>
      <c r="G19" s="546"/>
      <c r="H19" s="541"/>
      <c r="I19" s="541"/>
      <c r="J19" s="541"/>
      <c r="K19" s="541"/>
      <c r="L19" s="541"/>
      <c r="M19" s="541"/>
      <c r="N19" s="541"/>
      <c r="O19" s="541"/>
      <c r="P19" s="541"/>
      <c r="Q19" s="541"/>
      <c r="R19" s="541"/>
      <c r="S19" s="541"/>
      <c r="T19" s="541"/>
      <c r="U19" s="541"/>
      <c r="V19" s="541"/>
      <c r="W19" s="541"/>
      <c r="X19" s="541"/>
      <c r="Y19" s="541"/>
      <c r="Z19" s="541"/>
      <c r="AA19" s="541"/>
      <c r="AB19" s="541"/>
      <c r="AC19" s="541"/>
      <c r="AD19" s="541"/>
      <c r="AE19" s="541"/>
      <c r="AF19" s="541"/>
      <c r="AG19" s="541"/>
      <c r="AH19" s="541"/>
      <c r="AI19" s="541"/>
      <c r="AJ19" s="541"/>
      <c r="AK19" s="541"/>
      <c r="AL19" s="541"/>
      <c r="AM19" s="541"/>
      <c r="AN19" s="541"/>
      <c r="AO19" s="541"/>
      <c r="AP19" s="541"/>
      <c r="AQ19" s="541"/>
      <c r="AR19" s="541"/>
      <c r="AS19" s="541"/>
      <c r="AT19" s="541"/>
      <c r="AU19" s="541"/>
      <c r="AV19" s="541"/>
      <c r="AW19" s="541"/>
      <c r="AX19" s="541"/>
      <c r="AY19" s="541"/>
      <c r="AZ19" s="541"/>
      <c r="BA19" s="541"/>
      <c r="BB19" s="541"/>
      <c r="BC19" s="541"/>
      <c r="BD19" s="541"/>
      <c r="BE19" s="541"/>
      <c r="BF19" s="541"/>
      <c r="BG19" s="541"/>
      <c r="BH19" s="541"/>
      <c r="BI19" s="541"/>
      <c r="BJ19" s="541"/>
      <c r="BK19" s="541"/>
      <c r="BL19" s="541"/>
      <c r="BM19" s="541"/>
      <c r="BN19" s="541"/>
      <c r="BO19" s="541"/>
      <c r="BP19" s="541"/>
      <c r="BQ19" s="541"/>
      <c r="BR19" s="541"/>
      <c r="BS19" s="541"/>
      <c r="BT19" s="541"/>
      <c r="BU19" s="541"/>
      <c r="BV19" s="541"/>
      <c r="BW19" s="541"/>
      <c r="BX19" s="541"/>
      <c r="BY19" s="541"/>
      <c r="BZ19" s="541"/>
      <c r="CA19" s="541"/>
      <c r="CB19" s="541"/>
      <c r="CC19" s="541"/>
      <c r="CD19" s="541"/>
      <c r="CE19" s="541"/>
      <c r="CF19" s="541"/>
      <c r="CG19" s="541"/>
      <c r="CH19" s="541"/>
      <c r="CI19" s="541"/>
      <c r="CJ19" s="541"/>
      <c r="CK19" s="541"/>
      <c r="CL19" s="541"/>
      <c r="CM19" s="541"/>
      <c r="CN19" s="541"/>
      <c r="CO19" s="541"/>
      <c r="CP19" s="541"/>
      <c r="CQ19" s="541"/>
      <c r="CR19" s="541"/>
      <c r="CS19" s="541"/>
      <c r="CT19" s="541"/>
      <c r="CU19" s="541"/>
      <c r="CV19" s="541"/>
      <c r="CW19" s="541"/>
      <c r="CX19" s="541"/>
      <c r="CY19" s="541"/>
      <c r="CZ19" s="541"/>
      <c r="DA19" s="541"/>
      <c r="DB19" s="541"/>
      <c r="DC19" s="541"/>
      <c r="DD19" s="541"/>
      <c r="DE19" s="541"/>
      <c r="DF19" s="541"/>
      <c r="DG19" s="541"/>
      <c r="DH19" s="541"/>
      <c r="DI19" s="541"/>
      <c r="DJ19" s="541"/>
      <c r="DK19" s="541"/>
      <c r="DL19" s="541"/>
      <c r="DM19" s="541"/>
      <c r="DN19" s="541"/>
      <c r="DO19" s="541"/>
      <c r="DP19" s="541"/>
      <c r="DQ19" s="541"/>
      <c r="DR19" s="541"/>
      <c r="DS19" s="541"/>
      <c r="DT19" s="541"/>
      <c r="DU19" s="541"/>
      <c r="DV19" s="541"/>
      <c r="DW19" s="541"/>
      <c r="DX19" s="541"/>
      <c r="DY19" s="541"/>
      <c r="DZ19" s="541"/>
      <c r="EA19" s="541"/>
      <c r="EB19" s="541"/>
      <c r="EC19" s="541"/>
      <c r="ED19" s="541"/>
      <c r="EE19" s="541"/>
      <c r="EF19" s="541"/>
      <c r="EG19" s="541"/>
      <c r="EH19" s="541"/>
      <c r="EI19" s="541"/>
      <c r="EJ19" s="541"/>
      <c r="EK19" s="541"/>
      <c r="EL19" s="541"/>
      <c r="EM19" s="541"/>
      <c r="EN19" s="541"/>
      <c r="EO19" s="541"/>
      <c r="EP19" s="541"/>
      <c r="EQ19" s="541"/>
      <c r="ER19" s="541"/>
      <c r="ES19" s="541"/>
      <c r="ET19" s="541"/>
      <c r="EU19" s="541"/>
      <c r="EV19" s="541"/>
      <c r="EW19" s="541"/>
      <c r="EX19" s="541"/>
      <c r="EY19" s="541"/>
      <c r="EZ19" s="541"/>
      <c r="FA19" s="541"/>
      <c r="FB19" s="541"/>
      <c r="FC19" s="541"/>
      <c r="FD19" s="541"/>
      <c r="FE19" s="541"/>
      <c r="FF19" s="541"/>
      <c r="FG19" s="541"/>
      <c r="FH19" s="541"/>
      <c r="FI19" s="541"/>
      <c r="FJ19" s="541"/>
      <c r="FK19" s="541"/>
      <c r="FL19" s="541"/>
      <c r="FM19" s="541"/>
      <c r="FN19" s="541"/>
      <c r="FO19" s="541"/>
      <c r="FP19" s="541"/>
      <c r="FQ19" s="541"/>
      <c r="FR19" s="541"/>
      <c r="FS19" s="541"/>
      <c r="FT19" s="541"/>
      <c r="FU19" s="541"/>
      <c r="FV19" s="541"/>
      <c r="FW19" s="541"/>
      <c r="FX19" s="541"/>
      <c r="FY19" s="541"/>
      <c r="FZ19" s="541"/>
      <c r="GA19" s="541"/>
      <c r="GB19" s="541"/>
      <c r="GC19" s="541"/>
      <c r="GD19" s="541"/>
      <c r="GE19" s="541"/>
      <c r="GF19" s="541"/>
      <c r="GG19" s="541"/>
      <c r="GH19" s="541"/>
      <c r="GI19" s="541"/>
      <c r="GJ19" s="541"/>
      <c r="GK19" s="541"/>
      <c r="GL19" s="541"/>
      <c r="GM19" s="541"/>
      <c r="GN19" s="541"/>
      <c r="GO19" s="541"/>
      <c r="GP19" s="541"/>
      <c r="GQ19" s="541"/>
      <c r="GR19" s="541"/>
      <c r="GS19" s="541"/>
      <c r="GT19" s="541"/>
      <c r="GU19" s="541"/>
      <c r="GV19" s="541"/>
      <c r="GW19" s="541"/>
      <c r="GX19" s="541"/>
      <c r="GY19" s="541"/>
      <c r="GZ19" s="541"/>
      <c r="HA19" s="541"/>
      <c r="HB19" s="541"/>
      <c r="HC19" s="541"/>
      <c r="HD19" s="541"/>
      <c r="HE19" s="541"/>
      <c r="HF19" s="541"/>
      <c r="HG19" s="541"/>
      <c r="HH19" s="541"/>
      <c r="HI19" s="541"/>
      <c r="HJ19" s="541"/>
      <c r="HK19" s="541"/>
      <c r="HL19" s="541"/>
      <c r="HM19" s="541"/>
      <c r="HN19" s="541"/>
      <c r="HO19" s="541"/>
      <c r="HP19" s="541"/>
      <c r="HQ19" s="541"/>
      <c r="HR19" s="541"/>
      <c r="HS19" s="541"/>
      <c r="HT19" s="541"/>
      <c r="HU19" s="541"/>
      <c r="HV19" s="541"/>
      <c r="HW19" s="541"/>
      <c r="HX19" s="541"/>
      <c r="HY19" s="541"/>
      <c r="HZ19" s="541"/>
      <c r="IA19" s="541"/>
      <c r="IB19" s="541"/>
      <c r="IC19" s="541"/>
      <c r="ID19" s="541"/>
      <c r="IE19" s="541"/>
      <c r="IF19" s="541"/>
      <c r="IG19" s="541"/>
      <c r="IH19" s="541"/>
      <c r="II19" s="541"/>
      <c r="IJ19" s="541"/>
      <c r="IK19" s="541"/>
      <c r="IL19" s="541"/>
      <c r="IM19" s="541"/>
      <c r="IN19" s="541"/>
      <c r="IO19" s="541"/>
      <c r="IP19" s="541"/>
      <c r="IQ19" s="541"/>
      <c r="IR19" s="541"/>
      <c r="IS19" s="541"/>
    </row>
    <row r="20" spans="1:253" s="542" customFormat="1">
      <c r="A20" s="215" t="s">
        <v>635</v>
      </c>
      <c r="B20" s="416">
        <f>'Sources and Uses Budget'!$C19</f>
        <v>0</v>
      </c>
      <c r="C20" s="416">
        <f>'Sources and Uses Budget'!$C19</f>
        <v>0</v>
      </c>
      <c r="D20" s="420">
        <f t="shared" si="0"/>
        <v>0</v>
      </c>
      <c r="E20" s="418"/>
      <c r="F20" s="417"/>
      <c r="G20" s="546"/>
      <c r="H20" s="541"/>
      <c r="I20" s="541"/>
      <c r="J20" s="541"/>
      <c r="K20" s="541"/>
      <c r="L20" s="541"/>
      <c r="M20" s="541"/>
      <c r="N20" s="541"/>
      <c r="O20" s="541"/>
      <c r="P20" s="541"/>
      <c r="Q20" s="541"/>
      <c r="R20" s="541"/>
      <c r="S20" s="541"/>
      <c r="T20" s="541"/>
      <c r="U20" s="541"/>
      <c r="V20" s="541"/>
      <c r="W20" s="541"/>
      <c r="X20" s="541"/>
      <c r="Y20" s="541"/>
      <c r="Z20" s="541"/>
      <c r="AA20" s="541"/>
      <c r="AB20" s="541"/>
      <c r="AC20" s="541"/>
      <c r="AD20" s="541"/>
      <c r="AE20" s="541"/>
      <c r="AF20" s="541"/>
      <c r="AG20" s="541"/>
      <c r="AH20" s="541"/>
      <c r="AI20" s="541"/>
      <c r="AJ20" s="541"/>
      <c r="AK20" s="541"/>
      <c r="AL20" s="541"/>
      <c r="AM20" s="541"/>
      <c r="AN20" s="541"/>
      <c r="AO20" s="541"/>
      <c r="AP20" s="541"/>
      <c r="AQ20" s="541"/>
      <c r="AR20" s="541"/>
      <c r="AS20" s="541"/>
      <c r="AT20" s="541"/>
      <c r="AU20" s="541"/>
      <c r="AV20" s="541"/>
      <c r="AW20" s="541"/>
      <c r="AX20" s="541"/>
      <c r="AY20" s="541"/>
      <c r="AZ20" s="541"/>
      <c r="BA20" s="541"/>
      <c r="BB20" s="541"/>
      <c r="BC20" s="541"/>
      <c r="BD20" s="541"/>
      <c r="BE20" s="541"/>
      <c r="BF20" s="541"/>
      <c r="BG20" s="541"/>
      <c r="BH20" s="541"/>
      <c r="BI20" s="541"/>
      <c r="BJ20" s="541"/>
      <c r="BK20" s="541"/>
      <c r="BL20" s="541"/>
      <c r="BM20" s="541"/>
      <c r="BN20" s="541"/>
      <c r="BO20" s="541"/>
      <c r="BP20" s="541"/>
      <c r="BQ20" s="541"/>
      <c r="BR20" s="541"/>
      <c r="BS20" s="541"/>
      <c r="BT20" s="541"/>
      <c r="BU20" s="541"/>
      <c r="BV20" s="541"/>
      <c r="BW20" s="541"/>
      <c r="BX20" s="541"/>
      <c r="BY20" s="541"/>
      <c r="BZ20" s="541"/>
      <c r="CA20" s="541"/>
      <c r="CB20" s="541"/>
      <c r="CC20" s="541"/>
      <c r="CD20" s="541"/>
      <c r="CE20" s="541"/>
      <c r="CF20" s="541"/>
      <c r="CG20" s="541"/>
      <c r="CH20" s="541"/>
      <c r="CI20" s="541"/>
      <c r="CJ20" s="541"/>
      <c r="CK20" s="541"/>
      <c r="CL20" s="541"/>
      <c r="CM20" s="541"/>
      <c r="CN20" s="541"/>
      <c r="CO20" s="541"/>
      <c r="CP20" s="541"/>
      <c r="CQ20" s="541"/>
      <c r="CR20" s="541"/>
      <c r="CS20" s="541"/>
      <c r="CT20" s="541"/>
      <c r="CU20" s="541"/>
      <c r="CV20" s="541"/>
      <c r="CW20" s="541"/>
      <c r="CX20" s="541"/>
      <c r="CY20" s="541"/>
      <c r="CZ20" s="541"/>
      <c r="DA20" s="541"/>
      <c r="DB20" s="541"/>
      <c r="DC20" s="541"/>
      <c r="DD20" s="541"/>
      <c r="DE20" s="541"/>
      <c r="DF20" s="541"/>
      <c r="DG20" s="541"/>
      <c r="DH20" s="541"/>
      <c r="DI20" s="541"/>
      <c r="DJ20" s="541"/>
      <c r="DK20" s="541"/>
      <c r="DL20" s="541"/>
      <c r="DM20" s="541"/>
      <c r="DN20" s="541"/>
      <c r="DO20" s="541"/>
      <c r="DP20" s="541"/>
      <c r="DQ20" s="541"/>
      <c r="DR20" s="541"/>
      <c r="DS20" s="541"/>
      <c r="DT20" s="541"/>
      <c r="DU20" s="541"/>
      <c r="DV20" s="541"/>
      <c r="DW20" s="541"/>
      <c r="DX20" s="541"/>
      <c r="DY20" s="541"/>
      <c r="DZ20" s="541"/>
      <c r="EA20" s="541"/>
      <c r="EB20" s="541"/>
      <c r="EC20" s="541"/>
      <c r="ED20" s="541"/>
      <c r="EE20" s="541"/>
      <c r="EF20" s="541"/>
      <c r="EG20" s="541"/>
      <c r="EH20" s="541"/>
      <c r="EI20" s="541"/>
      <c r="EJ20" s="541"/>
      <c r="EK20" s="541"/>
      <c r="EL20" s="541"/>
      <c r="EM20" s="541"/>
      <c r="EN20" s="541"/>
      <c r="EO20" s="541"/>
      <c r="EP20" s="541"/>
      <c r="EQ20" s="541"/>
      <c r="ER20" s="541"/>
      <c r="ES20" s="541"/>
      <c r="ET20" s="541"/>
      <c r="EU20" s="541"/>
      <c r="EV20" s="541"/>
      <c r="EW20" s="541"/>
      <c r="EX20" s="541"/>
      <c r="EY20" s="541"/>
      <c r="EZ20" s="541"/>
      <c r="FA20" s="541"/>
      <c r="FB20" s="541"/>
      <c r="FC20" s="541"/>
      <c r="FD20" s="541"/>
      <c r="FE20" s="541"/>
      <c r="FF20" s="541"/>
      <c r="FG20" s="541"/>
      <c r="FH20" s="541"/>
      <c r="FI20" s="541"/>
      <c r="FJ20" s="541"/>
      <c r="FK20" s="541"/>
      <c r="FL20" s="541"/>
      <c r="FM20" s="541"/>
      <c r="FN20" s="541"/>
      <c r="FO20" s="541"/>
      <c r="FP20" s="541"/>
      <c r="FQ20" s="541"/>
      <c r="FR20" s="541"/>
      <c r="FS20" s="541"/>
      <c r="FT20" s="541"/>
      <c r="FU20" s="541"/>
      <c r="FV20" s="541"/>
      <c r="FW20" s="541"/>
      <c r="FX20" s="541"/>
      <c r="FY20" s="541"/>
      <c r="FZ20" s="541"/>
      <c r="GA20" s="541"/>
      <c r="GB20" s="541"/>
      <c r="GC20" s="541"/>
      <c r="GD20" s="541"/>
      <c r="GE20" s="541"/>
      <c r="GF20" s="541"/>
      <c r="GG20" s="541"/>
      <c r="GH20" s="541"/>
      <c r="GI20" s="541"/>
      <c r="GJ20" s="541"/>
      <c r="GK20" s="541"/>
      <c r="GL20" s="541"/>
      <c r="GM20" s="541"/>
      <c r="GN20" s="541"/>
      <c r="GO20" s="541"/>
      <c r="GP20" s="541"/>
      <c r="GQ20" s="541"/>
      <c r="GR20" s="541"/>
      <c r="GS20" s="541"/>
      <c r="GT20" s="541"/>
      <c r="GU20" s="541"/>
      <c r="GV20" s="541"/>
      <c r="GW20" s="541"/>
      <c r="GX20" s="541"/>
      <c r="GY20" s="541"/>
      <c r="GZ20" s="541"/>
      <c r="HA20" s="541"/>
      <c r="HB20" s="541"/>
      <c r="HC20" s="541"/>
      <c r="HD20" s="541"/>
      <c r="HE20" s="541"/>
      <c r="HF20" s="541"/>
      <c r="HG20" s="541"/>
      <c r="HH20" s="541"/>
      <c r="HI20" s="541"/>
      <c r="HJ20" s="541"/>
      <c r="HK20" s="541"/>
      <c r="HL20" s="541"/>
      <c r="HM20" s="541"/>
      <c r="HN20" s="541"/>
      <c r="HO20" s="541"/>
      <c r="HP20" s="541"/>
      <c r="HQ20" s="541"/>
      <c r="HR20" s="541"/>
      <c r="HS20" s="541"/>
      <c r="HT20" s="541"/>
      <c r="HU20" s="541"/>
      <c r="HV20" s="541"/>
      <c r="HW20" s="541"/>
      <c r="HX20" s="541"/>
      <c r="HY20" s="541"/>
      <c r="HZ20" s="541"/>
      <c r="IA20" s="541"/>
      <c r="IB20" s="541"/>
      <c r="IC20" s="541"/>
      <c r="ID20" s="541"/>
      <c r="IE20" s="541"/>
      <c r="IF20" s="541"/>
      <c r="IG20" s="541"/>
      <c r="IH20" s="541"/>
      <c r="II20" s="541"/>
      <c r="IJ20" s="541"/>
      <c r="IK20" s="541"/>
      <c r="IL20" s="541"/>
      <c r="IM20" s="541"/>
      <c r="IN20" s="541"/>
      <c r="IO20" s="541"/>
      <c r="IP20" s="541"/>
      <c r="IQ20" s="541"/>
      <c r="IR20" s="541"/>
      <c r="IS20" s="541"/>
    </row>
    <row r="21" spans="1:253" s="542" customFormat="1">
      <c r="A21" s="215" t="s">
        <v>142</v>
      </c>
      <c r="B21" s="416">
        <f>'Sources and Uses Budget'!$C20</f>
        <v>0</v>
      </c>
      <c r="C21" s="416">
        <f>'Sources and Uses Budget'!$C20</f>
        <v>0</v>
      </c>
      <c r="D21" s="420">
        <f t="shared" si="0"/>
        <v>0</v>
      </c>
      <c r="E21" s="418"/>
      <c r="F21" s="417"/>
      <c r="G21" s="546"/>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541"/>
      <c r="AT21" s="541"/>
      <c r="AU21" s="541"/>
      <c r="AV21" s="541"/>
      <c r="AW21" s="541"/>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c r="BU21" s="541"/>
      <c r="BV21" s="541"/>
      <c r="BW21" s="541"/>
      <c r="BX21" s="541"/>
      <c r="BY21" s="541"/>
      <c r="BZ21" s="541"/>
      <c r="CA21" s="541"/>
      <c r="CB21" s="541"/>
      <c r="CC21" s="541"/>
      <c r="CD21" s="541"/>
      <c r="CE21" s="541"/>
      <c r="CF21" s="541"/>
      <c r="CG21" s="541"/>
      <c r="CH21" s="541"/>
      <c r="CI21" s="541"/>
      <c r="CJ21" s="541"/>
      <c r="CK21" s="541"/>
      <c r="CL21" s="541"/>
      <c r="CM21" s="541"/>
      <c r="CN21" s="541"/>
      <c r="CO21" s="541"/>
      <c r="CP21" s="541"/>
      <c r="CQ21" s="541"/>
      <c r="CR21" s="541"/>
      <c r="CS21" s="541"/>
      <c r="CT21" s="541"/>
      <c r="CU21" s="541"/>
      <c r="CV21" s="541"/>
      <c r="CW21" s="541"/>
      <c r="CX21" s="541"/>
      <c r="CY21" s="541"/>
      <c r="CZ21" s="541"/>
      <c r="DA21" s="541"/>
      <c r="DB21" s="541"/>
      <c r="DC21" s="541"/>
      <c r="DD21" s="541"/>
      <c r="DE21" s="541"/>
      <c r="DF21" s="541"/>
      <c r="DG21" s="541"/>
      <c r="DH21" s="541"/>
      <c r="DI21" s="541"/>
      <c r="DJ21" s="541"/>
      <c r="DK21" s="541"/>
      <c r="DL21" s="541"/>
      <c r="DM21" s="541"/>
      <c r="DN21" s="541"/>
      <c r="DO21" s="541"/>
      <c r="DP21" s="541"/>
      <c r="DQ21" s="541"/>
      <c r="DR21" s="541"/>
      <c r="DS21" s="541"/>
      <c r="DT21" s="541"/>
      <c r="DU21" s="541"/>
      <c r="DV21" s="541"/>
      <c r="DW21" s="541"/>
      <c r="DX21" s="541"/>
      <c r="DY21" s="541"/>
      <c r="DZ21" s="541"/>
      <c r="EA21" s="541"/>
      <c r="EB21" s="541"/>
      <c r="EC21" s="541"/>
      <c r="ED21" s="541"/>
      <c r="EE21" s="541"/>
      <c r="EF21" s="541"/>
      <c r="EG21" s="541"/>
      <c r="EH21" s="541"/>
      <c r="EI21" s="541"/>
      <c r="EJ21" s="541"/>
      <c r="EK21" s="541"/>
      <c r="EL21" s="541"/>
      <c r="EM21" s="541"/>
      <c r="EN21" s="541"/>
      <c r="EO21" s="541"/>
      <c r="EP21" s="541"/>
      <c r="EQ21" s="541"/>
      <c r="ER21" s="541"/>
      <c r="ES21" s="541"/>
      <c r="ET21" s="541"/>
      <c r="EU21" s="541"/>
      <c r="EV21" s="541"/>
      <c r="EW21" s="541"/>
      <c r="EX21" s="541"/>
      <c r="EY21" s="541"/>
      <c r="EZ21" s="541"/>
      <c r="FA21" s="541"/>
      <c r="FB21" s="541"/>
      <c r="FC21" s="541"/>
      <c r="FD21" s="541"/>
      <c r="FE21" s="541"/>
      <c r="FF21" s="541"/>
      <c r="FG21" s="541"/>
      <c r="FH21" s="541"/>
      <c r="FI21" s="541"/>
      <c r="FJ21" s="541"/>
      <c r="FK21" s="541"/>
      <c r="FL21" s="541"/>
      <c r="FM21" s="541"/>
      <c r="FN21" s="541"/>
      <c r="FO21" s="541"/>
      <c r="FP21" s="541"/>
      <c r="FQ21" s="541"/>
      <c r="FR21" s="541"/>
      <c r="FS21" s="541"/>
      <c r="FT21" s="541"/>
      <c r="FU21" s="541"/>
      <c r="FV21" s="541"/>
      <c r="FW21" s="541"/>
      <c r="FX21" s="541"/>
      <c r="FY21" s="541"/>
      <c r="FZ21" s="541"/>
      <c r="GA21" s="541"/>
      <c r="GB21" s="541"/>
      <c r="GC21" s="541"/>
      <c r="GD21" s="541"/>
      <c r="GE21" s="541"/>
      <c r="GF21" s="541"/>
      <c r="GG21" s="541"/>
      <c r="GH21" s="541"/>
      <c r="GI21" s="541"/>
      <c r="GJ21" s="541"/>
      <c r="GK21" s="541"/>
      <c r="GL21" s="541"/>
      <c r="GM21" s="541"/>
      <c r="GN21" s="541"/>
      <c r="GO21" s="541"/>
      <c r="GP21" s="541"/>
      <c r="GQ21" s="541"/>
      <c r="GR21" s="541"/>
      <c r="GS21" s="541"/>
      <c r="GT21" s="541"/>
      <c r="GU21" s="541"/>
      <c r="GV21" s="541"/>
      <c r="GW21" s="541"/>
      <c r="GX21" s="541"/>
      <c r="GY21" s="541"/>
      <c r="GZ21" s="541"/>
      <c r="HA21" s="541"/>
      <c r="HB21" s="541"/>
      <c r="HC21" s="541"/>
      <c r="HD21" s="541"/>
      <c r="HE21" s="541"/>
      <c r="HF21" s="541"/>
      <c r="HG21" s="541"/>
      <c r="HH21" s="541"/>
      <c r="HI21" s="541"/>
      <c r="HJ21" s="541"/>
      <c r="HK21" s="541"/>
      <c r="HL21" s="541"/>
      <c r="HM21" s="541"/>
      <c r="HN21" s="541"/>
      <c r="HO21" s="541"/>
      <c r="HP21" s="541"/>
      <c r="HQ21" s="541"/>
      <c r="HR21" s="541"/>
      <c r="HS21" s="541"/>
      <c r="HT21" s="541"/>
      <c r="HU21" s="541"/>
      <c r="HV21" s="541"/>
      <c r="HW21" s="541"/>
      <c r="HX21" s="541"/>
      <c r="HY21" s="541"/>
      <c r="HZ21" s="541"/>
      <c r="IA21" s="541"/>
      <c r="IB21" s="541"/>
      <c r="IC21" s="541"/>
      <c r="ID21" s="541"/>
      <c r="IE21" s="541"/>
      <c r="IF21" s="541"/>
      <c r="IG21" s="541"/>
      <c r="IH21" s="541"/>
      <c r="II21" s="541"/>
      <c r="IJ21" s="541"/>
      <c r="IK21" s="541"/>
      <c r="IL21" s="541"/>
      <c r="IM21" s="541"/>
      <c r="IN21" s="541"/>
      <c r="IO21" s="541"/>
      <c r="IP21" s="541"/>
      <c r="IQ21" s="541"/>
      <c r="IR21" s="541"/>
      <c r="IS21" s="541"/>
    </row>
    <row r="22" spans="1:253" s="542" customFormat="1">
      <c r="A22" s="215" t="s">
        <v>143</v>
      </c>
      <c r="B22" s="416">
        <f>'Sources and Uses Budget'!$C21</f>
        <v>0</v>
      </c>
      <c r="C22" s="416">
        <f>'Sources and Uses Budget'!$C21</f>
        <v>0</v>
      </c>
      <c r="D22" s="420">
        <f t="shared" si="0"/>
        <v>0</v>
      </c>
      <c r="E22" s="418"/>
      <c r="F22" s="417"/>
      <c r="G22" s="546"/>
      <c r="H22" s="541"/>
      <c r="I22" s="541"/>
      <c r="J22" s="541"/>
      <c r="K22" s="541"/>
      <c r="L22" s="541"/>
      <c r="M22" s="541"/>
      <c r="N22" s="541"/>
      <c r="O22" s="541"/>
      <c r="P22" s="541"/>
      <c r="Q22" s="541"/>
      <c r="R22" s="541"/>
      <c r="S22" s="541"/>
      <c r="T22" s="541"/>
      <c r="U22" s="541"/>
      <c r="V22" s="541"/>
      <c r="W22" s="541"/>
      <c r="X22" s="541"/>
      <c r="Y22" s="541"/>
      <c r="Z22" s="541"/>
      <c r="AA22" s="541"/>
      <c r="AB22" s="541"/>
      <c r="AC22" s="541"/>
      <c r="AD22" s="541"/>
      <c r="AE22" s="541"/>
      <c r="AF22" s="541"/>
      <c r="AG22" s="541"/>
      <c r="AH22" s="541"/>
      <c r="AI22" s="541"/>
      <c r="AJ22" s="541"/>
      <c r="AK22" s="541"/>
      <c r="AL22" s="541"/>
      <c r="AM22" s="541"/>
      <c r="AN22" s="541"/>
      <c r="AO22" s="541"/>
      <c r="AP22" s="541"/>
      <c r="AQ22" s="541"/>
      <c r="AR22" s="541"/>
      <c r="AS22" s="541"/>
      <c r="AT22" s="541"/>
      <c r="AU22" s="541"/>
      <c r="AV22" s="541"/>
      <c r="AW22" s="541"/>
      <c r="AX22" s="541"/>
      <c r="AY22" s="541"/>
      <c r="AZ22" s="541"/>
      <c r="BA22" s="541"/>
      <c r="BB22" s="541"/>
      <c r="BC22" s="541"/>
      <c r="BD22" s="541"/>
      <c r="BE22" s="541"/>
      <c r="BF22" s="541"/>
      <c r="BG22" s="541"/>
      <c r="BH22" s="541"/>
      <c r="BI22" s="541"/>
      <c r="BJ22" s="541"/>
      <c r="BK22" s="541"/>
      <c r="BL22" s="541"/>
      <c r="BM22" s="541"/>
      <c r="BN22" s="541"/>
      <c r="BO22" s="541"/>
      <c r="BP22" s="541"/>
      <c r="BQ22" s="541"/>
      <c r="BR22" s="541"/>
      <c r="BS22" s="541"/>
      <c r="BT22" s="541"/>
      <c r="BU22" s="541"/>
      <c r="BV22" s="541"/>
      <c r="BW22" s="541"/>
      <c r="BX22" s="541"/>
      <c r="BY22" s="541"/>
      <c r="BZ22" s="541"/>
      <c r="CA22" s="541"/>
      <c r="CB22" s="541"/>
      <c r="CC22" s="541"/>
      <c r="CD22" s="541"/>
      <c r="CE22" s="541"/>
      <c r="CF22" s="541"/>
      <c r="CG22" s="541"/>
      <c r="CH22" s="541"/>
      <c r="CI22" s="541"/>
      <c r="CJ22" s="541"/>
      <c r="CK22" s="541"/>
      <c r="CL22" s="541"/>
      <c r="CM22" s="541"/>
      <c r="CN22" s="541"/>
      <c r="CO22" s="541"/>
      <c r="CP22" s="541"/>
      <c r="CQ22" s="541"/>
      <c r="CR22" s="541"/>
      <c r="CS22" s="541"/>
      <c r="CT22" s="541"/>
      <c r="CU22" s="541"/>
      <c r="CV22" s="541"/>
      <c r="CW22" s="541"/>
      <c r="CX22" s="541"/>
      <c r="CY22" s="541"/>
      <c r="CZ22" s="541"/>
      <c r="DA22" s="541"/>
      <c r="DB22" s="541"/>
      <c r="DC22" s="541"/>
      <c r="DD22" s="541"/>
      <c r="DE22" s="541"/>
      <c r="DF22" s="541"/>
      <c r="DG22" s="541"/>
      <c r="DH22" s="541"/>
      <c r="DI22" s="541"/>
      <c r="DJ22" s="541"/>
      <c r="DK22" s="541"/>
      <c r="DL22" s="541"/>
      <c r="DM22" s="541"/>
      <c r="DN22" s="541"/>
      <c r="DO22" s="541"/>
      <c r="DP22" s="541"/>
      <c r="DQ22" s="541"/>
      <c r="DR22" s="541"/>
      <c r="DS22" s="541"/>
      <c r="DT22" s="541"/>
      <c r="DU22" s="541"/>
      <c r="DV22" s="541"/>
      <c r="DW22" s="541"/>
      <c r="DX22" s="541"/>
      <c r="DY22" s="541"/>
      <c r="DZ22" s="541"/>
      <c r="EA22" s="541"/>
      <c r="EB22" s="541"/>
      <c r="EC22" s="541"/>
      <c r="ED22" s="541"/>
      <c r="EE22" s="541"/>
      <c r="EF22" s="541"/>
      <c r="EG22" s="541"/>
      <c r="EH22" s="541"/>
      <c r="EI22" s="541"/>
      <c r="EJ22" s="541"/>
      <c r="EK22" s="541"/>
      <c r="EL22" s="541"/>
      <c r="EM22" s="541"/>
      <c r="EN22" s="541"/>
      <c r="EO22" s="541"/>
      <c r="EP22" s="541"/>
      <c r="EQ22" s="541"/>
      <c r="ER22" s="541"/>
      <c r="ES22" s="541"/>
      <c r="ET22" s="541"/>
      <c r="EU22" s="541"/>
      <c r="EV22" s="541"/>
      <c r="EW22" s="541"/>
      <c r="EX22" s="541"/>
      <c r="EY22" s="541"/>
      <c r="EZ22" s="541"/>
      <c r="FA22" s="541"/>
      <c r="FB22" s="541"/>
      <c r="FC22" s="541"/>
      <c r="FD22" s="541"/>
      <c r="FE22" s="541"/>
      <c r="FF22" s="541"/>
      <c r="FG22" s="541"/>
      <c r="FH22" s="541"/>
      <c r="FI22" s="541"/>
      <c r="FJ22" s="541"/>
      <c r="FK22" s="541"/>
      <c r="FL22" s="541"/>
      <c r="FM22" s="541"/>
      <c r="FN22" s="541"/>
      <c r="FO22" s="541"/>
      <c r="FP22" s="541"/>
      <c r="FQ22" s="541"/>
      <c r="FR22" s="541"/>
      <c r="FS22" s="541"/>
      <c r="FT22" s="541"/>
      <c r="FU22" s="541"/>
      <c r="FV22" s="541"/>
      <c r="FW22" s="541"/>
      <c r="FX22" s="541"/>
      <c r="FY22" s="541"/>
      <c r="FZ22" s="541"/>
      <c r="GA22" s="541"/>
      <c r="GB22" s="541"/>
      <c r="GC22" s="541"/>
      <c r="GD22" s="541"/>
      <c r="GE22" s="541"/>
      <c r="GF22" s="541"/>
      <c r="GG22" s="541"/>
      <c r="GH22" s="541"/>
      <c r="GI22" s="541"/>
      <c r="GJ22" s="541"/>
      <c r="GK22" s="541"/>
      <c r="GL22" s="541"/>
      <c r="GM22" s="541"/>
      <c r="GN22" s="541"/>
      <c r="GO22" s="541"/>
      <c r="GP22" s="541"/>
      <c r="GQ22" s="541"/>
      <c r="GR22" s="541"/>
      <c r="GS22" s="541"/>
      <c r="GT22" s="541"/>
      <c r="GU22" s="541"/>
      <c r="GV22" s="541"/>
      <c r="GW22" s="541"/>
      <c r="GX22" s="541"/>
      <c r="GY22" s="541"/>
      <c r="GZ22" s="541"/>
      <c r="HA22" s="541"/>
      <c r="HB22" s="541"/>
      <c r="HC22" s="541"/>
      <c r="HD22" s="541"/>
      <c r="HE22" s="541"/>
      <c r="HF22" s="541"/>
      <c r="HG22" s="541"/>
      <c r="HH22" s="541"/>
      <c r="HI22" s="541"/>
      <c r="HJ22" s="541"/>
      <c r="HK22" s="541"/>
      <c r="HL22" s="541"/>
      <c r="HM22" s="541"/>
      <c r="HN22" s="541"/>
      <c r="HO22" s="541"/>
      <c r="HP22" s="541"/>
      <c r="HQ22" s="541"/>
      <c r="HR22" s="541"/>
      <c r="HS22" s="541"/>
      <c r="HT22" s="541"/>
      <c r="HU22" s="541"/>
      <c r="HV22" s="541"/>
      <c r="HW22" s="541"/>
      <c r="HX22" s="541"/>
      <c r="HY22" s="541"/>
      <c r="HZ22" s="541"/>
      <c r="IA22" s="541"/>
      <c r="IB22" s="541"/>
      <c r="IC22" s="541"/>
      <c r="ID22" s="541"/>
      <c r="IE22" s="541"/>
      <c r="IF22" s="541"/>
      <c r="IG22" s="541"/>
      <c r="IH22" s="541"/>
      <c r="II22" s="541"/>
      <c r="IJ22" s="541"/>
      <c r="IK22" s="541"/>
      <c r="IL22" s="541"/>
      <c r="IM22" s="541"/>
      <c r="IN22" s="541"/>
      <c r="IO22" s="541"/>
      <c r="IP22" s="541"/>
      <c r="IQ22" s="541"/>
      <c r="IR22" s="541"/>
      <c r="IS22" s="541"/>
    </row>
    <row r="23" spans="1:253" s="542" customFormat="1">
      <c r="A23" s="215" t="s">
        <v>144</v>
      </c>
      <c r="B23" s="416">
        <f>'Sources and Uses Budget'!$C22</f>
        <v>0</v>
      </c>
      <c r="C23" s="416">
        <f>'Sources and Uses Budget'!$C22</f>
        <v>0</v>
      </c>
      <c r="D23" s="420">
        <f t="shared" si="0"/>
        <v>0</v>
      </c>
      <c r="E23" s="418"/>
      <c r="F23" s="417"/>
      <c r="G23" s="546"/>
      <c r="H23" s="541"/>
      <c r="I23" s="541"/>
      <c r="J23" s="541"/>
      <c r="K23" s="541"/>
      <c r="L23" s="541"/>
      <c r="M23" s="541"/>
      <c r="N23" s="541"/>
      <c r="O23" s="541"/>
      <c r="P23" s="541"/>
      <c r="Q23" s="541"/>
      <c r="R23" s="541"/>
      <c r="S23" s="541"/>
      <c r="T23" s="541"/>
      <c r="U23" s="541"/>
      <c r="V23" s="541"/>
      <c r="W23" s="541"/>
      <c r="X23" s="541"/>
      <c r="Y23" s="541"/>
      <c r="Z23" s="541"/>
      <c r="AA23" s="541"/>
      <c r="AB23" s="541"/>
      <c r="AC23" s="541"/>
      <c r="AD23" s="541"/>
      <c r="AE23" s="541"/>
      <c r="AF23" s="541"/>
      <c r="AG23" s="541"/>
      <c r="AH23" s="541"/>
      <c r="AI23" s="541"/>
      <c r="AJ23" s="541"/>
      <c r="AK23" s="541"/>
      <c r="AL23" s="541"/>
      <c r="AM23" s="541"/>
      <c r="AN23" s="541"/>
      <c r="AO23" s="541"/>
      <c r="AP23" s="541"/>
      <c r="AQ23" s="541"/>
      <c r="AR23" s="541"/>
      <c r="AS23" s="541"/>
      <c r="AT23" s="541"/>
      <c r="AU23" s="541"/>
      <c r="AV23" s="541"/>
      <c r="AW23" s="541"/>
      <c r="AX23" s="541"/>
      <c r="AY23" s="541"/>
      <c r="AZ23" s="541"/>
      <c r="BA23" s="541"/>
      <c r="BB23" s="541"/>
      <c r="BC23" s="541"/>
      <c r="BD23" s="541"/>
      <c r="BE23" s="541"/>
      <c r="BF23" s="541"/>
      <c r="BG23" s="541"/>
      <c r="BH23" s="541"/>
      <c r="BI23" s="541"/>
      <c r="BJ23" s="541"/>
      <c r="BK23" s="541"/>
      <c r="BL23" s="541"/>
      <c r="BM23" s="541"/>
      <c r="BN23" s="541"/>
      <c r="BO23" s="541"/>
      <c r="BP23" s="541"/>
      <c r="BQ23" s="541"/>
      <c r="BR23" s="541"/>
      <c r="BS23" s="541"/>
      <c r="BT23" s="541"/>
      <c r="BU23" s="541"/>
      <c r="BV23" s="541"/>
      <c r="BW23" s="541"/>
      <c r="BX23" s="541"/>
      <c r="BY23" s="541"/>
      <c r="BZ23" s="541"/>
      <c r="CA23" s="541"/>
      <c r="CB23" s="541"/>
      <c r="CC23" s="541"/>
      <c r="CD23" s="541"/>
      <c r="CE23" s="541"/>
      <c r="CF23" s="541"/>
      <c r="CG23" s="541"/>
      <c r="CH23" s="541"/>
      <c r="CI23" s="541"/>
      <c r="CJ23" s="541"/>
      <c r="CK23" s="541"/>
      <c r="CL23" s="541"/>
      <c r="CM23" s="541"/>
      <c r="CN23" s="541"/>
      <c r="CO23" s="541"/>
      <c r="CP23" s="541"/>
      <c r="CQ23" s="541"/>
      <c r="CR23" s="541"/>
      <c r="CS23" s="541"/>
      <c r="CT23" s="541"/>
      <c r="CU23" s="541"/>
      <c r="CV23" s="541"/>
      <c r="CW23" s="541"/>
      <c r="CX23" s="541"/>
      <c r="CY23" s="541"/>
      <c r="CZ23" s="541"/>
      <c r="DA23" s="541"/>
      <c r="DB23" s="541"/>
      <c r="DC23" s="541"/>
      <c r="DD23" s="541"/>
      <c r="DE23" s="541"/>
      <c r="DF23" s="541"/>
      <c r="DG23" s="541"/>
      <c r="DH23" s="541"/>
      <c r="DI23" s="541"/>
      <c r="DJ23" s="541"/>
      <c r="DK23" s="541"/>
      <c r="DL23" s="541"/>
      <c r="DM23" s="541"/>
      <c r="DN23" s="541"/>
      <c r="DO23" s="541"/>
      <c r="DP23" s="541"/>
      <c r="DQ23" s="541"/>
      <c r="DR23" s="541"/>
      <c r="DS23" s="541"/>
      <c r="DT23" s="541"/>
      <c r="DU23" s="541"/>
      <c r="DV23" s="541"/>
      <c r="DW23" s="541"/>
      <c r="DX23" s="541"/>
      <c r="DY23" s="541"/>
      <c r="DZ23" s="541"/>
      <c r="EA23" s="541"/>
      <c r="EB23" s="541"/>
      <c r="EC23" s="541"/>
      <c r="ED23" s="541"/>
      <c r="EE23" s="541"/>
      <c r="EF23" s="541"/>
      <c r="EG23" s="541"/>
      <c r="EH23" s="541"/>
      <c r="EI23" s="541"/>
      <c r="EJ23" s="541"/>
      <c r="EK23" s="541"/>
      <c r="EL23" s="541"/>
      <c r="EM23" s="541"/>
      <c r="EN23" s="541"/>
      <c r="EO23" s="541"/>
      <c r="EP23" s="541"/>
      <c r="EQ23" s="541"/>
      <c r="ER23" s="541"/>
      <c r="ES23" s="541"/>
      <c r="ET23" s="541"/>
      <c r="EU23" s="541"/>
      <c r="EV23" s="541"/>
      <c r="EW23" s="541"/>
      <c r="EX23" s="541"/>
      <c r="EY23" s="541"/>
      <c r="EZ23" s="541"/>
      <c r="FA23" s="541"/>
      <c r="FB23" s="541"/>
      <c r="FC23" s="541"/>
      <c r="FD23" s="541"/>
      <c r="FE23" s="541"/>
      <c r="FF23" s="541"/>
      <c r="FG23" s="541"/>
      <c r="FH23" s="541"/>
      <c r="FI23" s="541"/>
      <c r="FJ23" s="541"/>
      <c r="FK23" s="541"/>
      <c r="FL23" s="541"/>
      <c r="FM23" s="541"/>
      <c r="FN23" s="541"/>
      <c r="FO23" s="541"/>
      <c r="FP23" s="541"/>
      <c r="FQ23" s="541"/>
      <c r="FR23" s="541"/>
      <c r="FS23" s="541"/>
      <c r="FT23" s="541"/>
      <c r="FU23" s="541"/>
      <c r="FV23" s="541"/>
      <c r="FW23" s="541"/>
      <c r="FX23" s="541"/>
      <c r="FY23" s="541"/>
      <c r="FZ23" s="541"/>
      <c r="GA23" s="541"/>
      <c r="GB23" s="541"/>
      <c r="GC23" s="541"/>
      <c r="GD23" s="541"/>
      <c r="GE23" s="541"/>
      <c r="GF23" s="541"/>
      <c r="GG23" s="541"/>
      <c r="GH23" s="541"/>
      <c r="GI23" s="541"/>
      <c r="GJ23" s="541"/>
      <c r="GK23" s="541"/>
      <c r="GL23" s="541"/>
      <c r="GM23" s="541"/>
      <c r="GN23" s="541"/>
      <c r="GO23" s="541"/>
      <c r="GP23" s="541"/>
      <c r="GQ23" s="541"/>
      <c r="GR23" s="541"/>
      <c r="GS23" s="541"/>
      <c r="GT23" s="541"/>
      <c r="GU23" s="541"/>
      <c r="GV23" s="541"/>
      <c r="GW23" s="541"/>
      <c r="GX23" s="541"/>
      <c r="GY23" s="541"/>
      <c r="GZ23" s="541"/>
      <c r="HA23" s="541"/>
      <c r="HB23" s="541"/>
      <c r="HC23" s="541"/>
      <c r="HD23" s="541"/>
      <c r="HE23" s="541"/>
      <c r="HF23" s="541"/>
      <c r="HG23" s="541"/>
      <c r="HH23" s="541"/>
      <c r="HI23" s="541"/>
      <c r="HJ23" s="541"/>
      <c r="HK23" s="541"/>
      <c r="HL23" s="541"/>
      <c r="HM23" s="541"/>
      <c r="HN23" s="541"/>
      <c r="HO23" s="541"/>
      <c r="HP23" s="541"/>
      <c r="HQ23" s="541"/>
      <c r="HR23" s="541"/>
      <c r="HS23" s="541"/>
      <c r="HT23" s="541"/>
      <c r="HU23" s="541"/>
      <c r="HV23" s="541"/>
      <c r="HW23" s="541"/>
      <c r="HX23" s="541"/>
      <c r="HY23" s="541"/>
      <c r="HZ23" s="541"/>
      <c r="IA23" s="541"/>
      <c r="IB23" s="541"/>
      <c r="IC23" s="541"/>
      <c r="ID23" s="541"/>
      <c r="IE23" s="541"/>
      <c r="IF23" s="541"/>
      <c r="IG23" s="541"/>
      <c r="IH23" s="541"/>
      <c r="II23" s="541"/>
      <c r="IJ23" s="541"/>
      <c r="IK23" s="541"/>
      <c r="IL23" s="541"/>
      <c r="IM23" s="541"/>
      <c r="IN23" s="541"/>
      <c r="IO23" s="541"/>
      <c r="IP23" s="541"/>
      <c r="IQ23" s="541"/>
      <c r="IR23" s="541"/>
      <c r="IS23" s="541"/>
    </row>
    <row r="24" spans="1:253" s="542" customFormat="1">
      <c r="A24" s="215" t="s">
        <v>145</v>
      </c>
      <c r="B24" s="416">
        <f>'Sources and Uses Budget'!$C23</f>
        <v>0</v>
      </c>
      <c r="C24" s="416">
        <f>'Sources and Uses Budget'!$C23</f>
        <v>0</v>
      </c>
      <c r="D24" s="420">
        <f t="shared" si="0"/>
        <v>0</v>
      </c>
      <c r="E24" s="418"/>
      <c r="F24" s="417"/>
      <c r="G24" s="546"/>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41"/>
      <c r="AO24" s="541"/>
      <c r="AP24" s="541"/>
      <c r="AQ24" s="541"/>
      <c r="AR24" s="541"/>
      <c r="AS24" s="541"/>
      <c r="AT24" s="541"/>
      <c r="AU24" s="541"/>
      <c r="AV24" s="541"/>
      <c r="AW24" s="541"/>
      <c r="AX24" s="541"/>
      <c r="AY24" s="541"/>
      <c r="AZ24" s="541"/>
      <c r="BA24" s="541"/>
      <c r="BB24" s="541"/>
      <c r="BC24" s="541"/>
      <c r="BD24" s="541"/>
      <c r="BE24" s="541"/>
      <c r="BF24" s="541"/>
      <c r="BG24" s="541"/>
      <c r="BH24" s="541"/>
      <c r="BI24" s="541"/>
      <c r="BJ24" s="541"/>
      <c r="BK24" s="541"/>
      <c r="BL24" s="541"/>
      <c r="BM24" s="541"/>
      <c r="BN24" s="541"/>
      <c r="BO24" s="541"/>
      <c r="BP24" s="541"/>
      <c r="BQ24" s="541"/>
      <c r="BR24" s="541"/>
      <c r="BS24" s="541"/>
      <c r="BT24" s="541"/>
      <c r="BU24" s="541"/>
      <c r="BV24" s="541"/>
      <c r="BW24" s="541"/>
      <c r="BX24" s="541"/>
      <c r="BY24" s="541"/>
      <c r="BZ24" s="541"/>
      <c r="CA24" s="541"/>
      <c r="CB24" s="541"/>
      <c r="CC24" s="541"/>
      <c r="CD24" s="541"/>
      <c r="CE24" s="541"/>
      <c r="CF24" s="541"/>
      <c r="CG24" s="541"/>
      <c r="CH24" s="541"/>
      <c r="CI24" s="541"/>
      <c r="CJ24" s="541"/>
      <c r="CK24" s="541"/>
      <c r="CL24" s="541"/>
      <c r="CM24" s="541"/>
      <c r="CN24" s="541"/>
      <c r="CO24" s="541"/>
      <c r="CP24" s="541"/>
      <c r="CQ24" s="541"/>
      <c r="CR24" s="541"/>
      <c r="CS24" s="541"/>
      <c r="CT24" s="541"/>
      <c r="CU24" s="541"/>
      <c r="CV24" s="541"/>
      <c r="CW24" s="541"/>
      <c r="CX24" s="541"/>
      <c r="CY24" s="541"/>
      <c r="CZ24" s="541"/>
      <c r="DA24" s="541"/>
      <c r="DB24" s="541"/>
      <c r="DC24" s="541"/>
      <c r="DD24" s="541"/>
      <c r="DE24" s="541"/>
      <c r="DF24" s="541"/>
      <c r="DG24" s="541"/>
      <c r="DH24" s="541"/>
      <c r="DI24" s="541"/>
      <c r="DJ24" s="541"/>
      <c r="DK24" s="541"/>
      <c r="DL24" s="541"/>
      <c r="DM24" s="541"/>
      <c r="DN24" s="541"/>
      <c r="DO24" s="541"/>
      <c r="DP24" s="541"/>
      <c r="DQ24" s="541"/>
      <c r="DR24" s="541"/>
      <c r="DS24" s="541"/>
      <c r="DT24" s="541"/>
      <c r="DU24" s="541"/>
      <c r="DV24" s="541"/>
      <c r="DW24" s="541"/>
      <c r="DX24" s="541"/>
      <c r="DY24" s="541"/>
      <c r="DZ24" s="541"/>
      <c r="EA24" s="541"/>
      <c r="EB24" s="541"/>
      <c r="EC24" s="541"/>
      <c r="ED24" s="541"/>
      <c r="EE24" s="541"/>
      <c r="EF24" s="541"/>
      <c r="EG24" s="541"/>
      <c r="EH24" s="541"/>
      <c r="EI24" s="541"/>
      <c r="EJ24" s="541"/>
      <c r="EK24" s="541"/>
      <c r="EL24" s="541"/>
      <c r="EM24" s="541"/>
      <c r="EN24" s="541"/>
      <c r="EO24" s="541"/>
      <c r="EP24" s="541"/>
      <c r="EQ24" s="541"/>
      <c r="ER24" s="541"/>
      <c r="ES24" s="541"/>
      <c r="ET24" s="541"/>
      <c r="EU24" s="541"/>
      <c r="EV24" s="541"/>
      <c r="EW24" s="541"/>
      <c r="EX24" s="541"/>
      <c r="EY24" s="541"/>
      <c r="EZ24" s="541"/>
      <c r="FA24" s="541"/>
      <c r="FB24" s="541"/>
      <c r="FC24" s="541"/>
      <c r="FD24" s="541"/>
      <c r="FE24" s="541"/>
      <c r="FF24" s="541"/>
      <c r="FG24" s="541"/>
      <c r="FH24" s="541"/>
      <c r="FI24" s="541"/>
      <c r="FJ24" s="541"/>
      <c r="FK24" s="541"/>
      <c r="FL24" s="541"/>
      <c r="FM24" s="541"/>
      <c r="FN24" s="541"/>
      <c r="FO24" s="541"/>
      <c r="FP24" s="541"/>
      <c r="FQ24" s="541"/>
      <c r="FR24" s="541"/>
      <c r="FS24" s="541"/>
      <c r="FT24" s="541"/>
      <c r="FU24" s="541"/>
      <c r="FV24" s="541"/>
      <c r="FW24" s="541"/>
      <c r="FX24" s="541"/>
      <c r="FY24" s="541"/>
      <c r="FZ24" s="541"/>
      <c r="GA24" s="541"/>
      <c r="GB24" s="541"/>
      <c r="GC24" s="541"/>
      <c r="GD24" s="541"/>
      <c r="GE24" s="541"/>
      <c r="GF24" s="541"/>
      <c r="GG24" s="541"/>
      <c r="GH24" s="541"/>
      <c r="GI24" s="541"/>
      <c r="GJ24" s="541"/>
      <c r="GK24" s="541"/>
      <c r="GL24" s="541"/>
      <c r="GM24" s="541"/>
      <c r="GN24" s="541"/>
      <c r="GO24" s="541"/>
      <c r="GP24" s="541"/>
      <c r="GQ24" s="541"/>
      <c r="GR24" s="541"/>
      <c r="GS24" s="541"/>
      <c r="GT24" s="541"/>
      <c r="GU24" s="541"/>
      <c r="GV24" s="541"/>
      <c r="GW24" s="541"/>
      <c r="GX24" s="541"/>
      <c r="GY24" s="541"/>
      <c r="GZ24" s="541"/>
      <c r="HA24" s="541"/>
      <c r="HB24" s="541"/>
      <c r="HC24" s="541"/>
      <c r="HD24" s="541"/>
      <c r="HE24" s="541"/>
      <c r="HF24" s="541"/>
      <c r="HG24" s="541"/>
      <c r="HH24" s="541"/>
      <c r="HI24" s="541"/>
      <c r="HJ24" s="541"/>
      <c r="HK24" s="541"/>
      <c r="HL24" s="541"/>
      <c r="HM24" s="541"/>
      <c r="HN24" s="541"/>
      <c r="HO24" s="541"/>
      <c r="HP24" s="541"/>
      <c r="HQ24" s="541"/>
      <c r="HR24" s="541"/>
      <c r="HS24" s="541"/>
      <c r="HT24" s="541"/>
      <c r="HU24" s="541"/>
      <c r="HV24" s="541"/>
      <c r="HW24" s="541"/>
      <c r="HX24" s="541"/>
      <c r="HY24" s="541"/>
      <c r="HZ24" s="541"/>
      <c r="IA24" s="541"/>
      <c r="IB24" s="541"/>
      <c r="IC24" s="541"/>
      <c r="ID24" s="541"/>
      <c r="IE24" s="541"/>
      <c r="IF24" s="541"/>
      <c r="IG24" s="541"/>
      <c r="IH24" s="541"/>
      <c r="II24" s="541"/>
      <c r="IJ24" s="541"/>
      <c r="IK24" s="541"/>
      <c r="IL24" s="541"/>
      <c r="IM24" s="541"/>
      <c r="IN24" s="541"/>
      <c r="IO24" s="541"/>
      <c r="IP24" s="541"/>
      <c r="IQ24" s="541"/>
      <c r="IR24" s="541"/>
      <c r="IS24" s="541"/>
    </row>
    <row r="25" spans="1:253" s="542" customFormat="1">
      <c r="A25" s="853" t="s">
        <v>1992</v>
      </c>
      <c r="B25" s="416">
        <f>'Sources and Uses Budget'!$C24</f>
        <v>0</v>
      </c>
      <c r="C25" s="416">
        <f>'Sources and Uses Budget'!$C24</f>
        <v>0</v>
      </c>
      <c r="D25" s="420">
        <f t="shared" si="0"/>
        <v>0</v>
      </c>
      <c r="E25" s="418"/>
      <c r="F25" s="417"/>
      <c r="G25" s="546"/>
      <c r="H25" s="541"/>
      <c r="I25" s="541"/>
      <c r="J25" s="541"/>
      <c r="K25" s="541"/>
      <c r="L25" s="541"/>
      <c r="M25" s="541"/>
      <c r="N25" s="541"/>
      <c r="O25" s="541"/>
      <c r="P25" s="541"/>
      <c r="Q25" s="541"/>
      <c r="R25" s="541"/>
      <c r="S25" s="541"/>
      <c r="T25" s="541"/>
      <c r="U25" s="541"/>
      <c r="V25" s="541"/>
      <c r="W25" s="541"/>
      <c r="X25" s="541"/>
      <c r="Y25" s="541"/>
      <c r="Z25" s="541"/>
      <c r="AA25" s="541"/>
      <c r="AB25" s="541"/>
      <c r="AC25" s="541"/>
      <c r="AD25" s="541"/>
      <c r="AE25" s="541"/>
      <c r="AF25" s="541"/>
      <c r="AG25" s="541"/>
      <c r="AH25" s="541"/>
      <c r="AI25" s="541"/>
      <c r="AJ25" s="541"/>
      <c r="AK25" s="541"/>
      <c r="AL25" s="541"/>
      <c r="AM25" s="541"/>
      <c r="AN25" s="541"/>
      <c r="AO25" s="541"/>
      <c r="AP25" s="541"/>
      <c r="AQ25" s="541"/>
      <c r="AR25" s="541"/>
      <c r="AS25" s="541"/>
      <c r="AT25" s="541"/>
      <c r="AU25" s="541"/>
      <c r="AV25" s="541"/>
      <c r="AW25" s="541"/>
      <c r="AX25" s="541"/>
      <c r="AY25" s="541"/>
      <c r="AZ25" s="541"/>
      <c r="BA25" s="541"/>
      <c r="BB25" s="541"/>
      <c r="BC25" s="541"/>
      <c r="BD25" s="541"/>
      <c r="BE25" s="541"/>
      <c r="BF25" s="541"/>
      <c r="BG25" s="541"/>
      <c r="BH25" s="541"/>
      <c r="BI25" s="541"/>
      <c r="BJ25" s="541"/>
      <c r="BK25" s="541"/>
      <c r="BL25" s="541"/>
      <c r="BM25" s="541"/>
      <c r="BN25" s="541"/>
      <c r="BO25" s="541"/>
      <c r="BP25" s="541"/>
      <c r="BQ25" s="541"/>
      <c r="BR25" s="541"/>
      <c r="BS25" s="541"/>
      <c r="BT25" s="541"/>
      <c r="BU25" s="541"/>
      <c r="BV25" s="541"/>
      <c r="BW25" s="541"/>
      <c r="BX25" s="541"/>
      <c r="BY25" s="541"/>
      <c r="BZ25" s="541"/>
      <c r="CA25" s="541"/>
      <c r="CB25" s="541"/>
      <c r="CC25" s="541"/>
      <c r="CD25" s="541"/>
      <c r="CE25" s="541"/>
      <c r="CF25" s="541"/>
      <c r="CG25" s="541"/>
      <c r="CH25" s="541"/>
      <c r="CI25" s="541"/>
      <c r="CJ25" s="541"/>
      <c r="CK25" s="541"/>
      <c r="CL25" s="541"/>
      <c r="CM25" s="541"/>
      <c r="CN25" s="541"/>
      <c r="CO25" s="541"/>
      <c r="CP25" s="541"/>
      <c r="CQ25" s="541"/>
      <c r="CR25" s="541"/>
      <c r="CS25" s="541"/>
      <c r="CT25" s="541"/>
      <c r="CU25" s="541"/>
      <c r="CV25" s="541"/>
      <c r="CW25" s="541"/>
      <c r="CX25" s="541"/>
      <c r="CY25" s="541"/>
      <c r="CZ25" s="541"/>
      <c r="DA25" s="541"/>
      <c r="DB25" s="541"/>
      <c r="DC25" s="541"/>
      <c r="DD25" s="541"/>
      <c r="DE25" s="541"/>
      <c r="DF25" s="541"/>
      <c r="DG25" s="541"/>
      <c r="DH25" s="541"/>
      <c r="DI25" s="541"/>
      <c r="DJ25" s="541"/>
      <c r="DK25" s="541"/>
      <c r="DL25" s="541"/>
      <c r="DM25" s="541"/>
      <c r="DN25" s="541"/>
      <c r="DO25" s="541"/>
      <c r="DP25" s="541"/>
      <c r="DQ25" s="541"/>
      <c r="DR25" s="541"/>
      <c r="DS25" s="541"/>
      <c r="DT25" s="541"/>
      <c r="DU25" s="541"/>
      <c r="DV25" s="541"/>
      <c r="DW25" s="541"/>
      <c r="DX25" s="541"/>
      <c r="DY25" s="541"/>
      <c r="DZ25" s="541"/>
      <c r="EA25" s="541"/>
      <c r="EB25" s="541"/>
      <c r="EC25" s="541"/>
      <c r="ED25" s="541"/>
      <c r="EE25" s="541"/>
      <c r="EF25" s="541"/>
      <c r="EG25" s="541"/>
      <c r="EH25" s="541"/>
      <c r="EI25" s="541"/>
      <c r="EJ25" s="541"/>
      <c r="EK25" s="541"/>
      <c r="EL25" s="541"/>
      <c r="EM25" s="541"/>
      <c r="EN25" s="541"/>
      <c r="EO25" s="541"/>
      <c r="EP25" s="541"/>
      <c r="EQ25" s="541"/>
      <c r="ER25" s="541"/>
      <c r="ES25" s="541"/>
      <c r="ET25" s="541"/>
      <c r="EU25" s="541"/>
      <c r="EV25" s="541"/>
      <c r="EW25" s="541"/>
      <c r="EX25" s="541"/>
      <c r="EY25" s="541"/>
      <c r="EZ25" s="541"/>
      <c r="FA25" s="541"/>
      <c r="FB25" s="541"/>
      <c r="FC25" s="541"/>
      <c r="FD25" s="541"/>
      <c r="FE25" s="541"/>
      <c r="FF25" s="541"/>
      <c r="FG25" s="541"/>
      <c r="FH25" s="541"/>
      <c r="FI25" s="541"/>
      <c r="FJ25" s="541"/>
      <c r="FK25" s="541"/>
      <c r="FL25" s="541"/>
      <c r="FM25" s="541"/>
      <c r="FN25" s="541"/>
      <c r="FO25" s="541"/>
      <c r="FP25" s="541"/>
      <c r="FQ25" s="541"/>
      <c r="FR25" s="541"/>
      <c r="FS25" s="541"/>
      <c r="FT25" s="541"/>
      <c r="FU25" s="541"/>
      <c r="FV25" s="541"/>
      <c r="FW25" s="541"/>
      <c r="FX25" s="541"/>
      <c r="FY25" s="541"/>
      <c r="FZ25" s="541"/>
      <c r="GA25" s="541"/>
      <c r="GB25" s="541"/>
      <c r="GC25" s="541"/>
      <c r="GD25" s="541"/>
      <c r="GE25" s="541"/>
      <c r="GF25" s="541"/>
      <c r="GG25" s="541"/>
      <c r="GH25" s="541"/>
      <c r="GI25" s="541"/>
      <c r="GJ25" s="541"/>
      <c r="GK25" s="541"/>
      <c r="GL25" s="541"/>
      <c r="GM25" s="541"/>
      <c r="GN25" s="541"/>
      <c r="GO25" s="541"/>
      <c r="GP25" s="541"/>
      <c r="GQ25" s="541"/>
      <c r="GR25" s="541"/>
      <c r="GS25" s="541"/>
      <c r="GT25" s="541"/>
      <c r="GU25" s="541"/>
      <c r="GV25" s="541"/>
      <c r="GW25" s="541"/>
      <c r="GX25" s="541"/>
      <c r="GY25" s="541"/>
      <c r="GZ25" s="541"/>
      <c r="HA25" s="541"/>
      <c r="HB25" s="541"/>
      <c r="HC25" s="541"/>
      <c r="HD25" s="541"/>
      <c r="HE25" s="541"/>
      <c r="HF25" s="541"/>
      <c r="HG25" s="541"/>
      <c r="HH25" s="541"/>
      <c r="HI25" s="541"/>
      <c r="HJ25" s="541"/>
      <c r="HK25" s="541"/>
      <c r="HL25" s="541"/>
      <c r="HM25" s="541"/>
      <c r="HN25" s="541"/>
      <c r="HO25" s="541"/>
      <c r="HP25" s="541"/>
      <c r="HQ25" s="541"/>
      <c r="HR25" s="541"/>
      <c r="HS25" s="541"/>
      <c r="HT25" s="541"/>
      <c r="HU25" s="541"/>
      <c r="HV25" s="541"/>
      <c r="HW25" s="541"/>
      <c r="HX25" s="541"/>
      <c r="HY25" s="541"/>
      <c r="HZ25" s="541"/>
      <c r="IA25" s="541"/>
      <c r="IB25" s="541"/>
      <c r="IC25" s="541"/>
      <c r="ID25" s="541"/>
      <c r="IE25" s="541"/>
      <c r="IF25" s="541"/>
      <c r="IG25" s="541"/>
      <c r="IH25" s="541"/>
      <c r="II25" s="541"/>
      <c r="IJ25" s="541"/>
      <c r="IK25" s="541"/>
      <c r="IL25" s="541"/>
      <c r="IM25" s="541"/>
      <c r="IN25" s="541"/>
      <c r="IO25" s="541"/>
      <c r="IP25" s="541"/>
      <c r="IQ25" s="541"/>
      <c r="IR25" s="541"/>
      <c r="IS25" s="541"/>
    </row>
    <row r="26" spans="1:253" s="542" customFormat="1">
      <c r="A26" s="226" t="str">
        <f>'Sources and Uses Budget'!A25</f>
        <v>Other: (Specify)</v>
      </c>
      <c r="B26" s="416">
        <f>'Sources and Uses Budget'!$C25</f>
        <v>0</v>
      </c>
      <c r="C26" s="416">
        <f>'Sources and Uses Budget'!$C25</f>
        <v>0</v>
      </c>
      <c r="D26" s="420">
        <f t="shared" si="0"/>
        <v>0</v>
      </c>
      <c r="E26" s="418"/>
      <c r="F26" s="417"/>
      <c r="G26" s="546"/>
      <c r="H26" s="541"/>
      <c r="I26" s="541"/>
      <c r="J26" s="541"/>
      <c r="K26" s="541"/>
      <c r="L26" s="541"/>
      <c r="M26" s="541"/>
      <c r="N26" s="541"/>
      <c r="O26" s="541"/>
      <c r="P26" s="541"/>
      <c r="Q26" s="541"/>
      <c r="R26" s="541"/>
      <c r="S26" s="541"/>
      <c r="T26" s="541"/>
      <c r="U26" s="541"/>
      <c r="V26" s="541"/>
      <c r="W26" s="541"/>
      <c r="X26" s="541"/>
      <c r="Y26" s="541"/>
      <c r="Z26" s="541"/>
      <c r="AA26" s="541"/>
      <c r="AB26" s="541"/>
      <c r="AC26" s="541"/>
      <c r="AD26" s="541"/>
      <c r="AE26" s="541"/>
      <c r="AF26" s="541"/>
      <c r="AG26" s="541"/>
      <c r="AH26" s="541"/>
      <c r="AI26" s="541"/>
      <c r="AJ26" s="541"/>
      <c r="AK26" s="541"/>
      <c r="AL26" s="541"/>
      <c r="AM26" s="541"/>
      <c r="AN26" s="541"/>
      <c r="AO26" s="541"/>
      <c r="AP26" s="541"/>
      <c r="AQ26" s="541"/>
      <c r="AR26" s="541"/>
      <c r="AS26" s="541"/>
      <c r="AT26" s="541"/>
      <c r="AU26" s="541"/>
      <c r="AV26" s="541"/>
      <c r="AW26" s="541"/>
      <c r="AX26" s="541"/>
      <c r="AY26" s="541"/>
      <c r="AZ26" s="541"/>
      <c r="BA26" s="541"/>
      <c r="BB26" s="541"/>
      <c r="BC26" s="541"/>
      <c r="BD26" s="541"/>
      <c r="BE26" s="541"/>
      <c r="BF26" s="541"/>
      <c r="BG26" s="541"/>
      <c r="BH26" s="541"/>
      <c r="BI26" s="541"/>
      <c r="BJ26" s="541"/>
      <c r="BK26" s="541"/>
      <c r="BL26" s="541"/>
      <c r="BM26" s="541"/>
      <c r="BN26" s="541"/>
      <c r="BO26" s="541"/>
      <c r="BP26" s="541"/>
      <c r="BQ26" s="541"/>
      <c r="BR26" s="541"/>
      <c r="BS26" s="541"/>
      <c r="BT26" s="541"/>
      <c r="BU26" s="541"/>
      <c r="BV26" s="541"/>
      <c r="BW26" s="541"/>
      <c r="BX26" s="541"/>
      <c r="BY26" s="541"/>
      <c r="BZ26" s="541"/>
      <c r="CA26" s="541"/>
      <c r="CB26" s="541"/>
      <c r="CC26" s="541"/>
      <c r="CD26" s="541"/>
      <c r="CE26" s="541"/>
      <c r="CF26" s="541"/>
      <c r="CG26" s="541"/>
      <c r="CH26" s="541"/>
      <c r="CI26" s="541"/>
      <c r="CJ26" s="541"/>
      <c r="CK26" s="541"/>
      <c r="CL26" s="541"/>
      <c r="CM26" s="541"/>
      <c r="CN26" s="541"/>
      <c r="CO26" s="541"/>
      <c r="CP26" s="541"/>
      <c r="CQ26" s="541"/>
      <c r="CR26" s="541"/>
      <c r="CS26" s="541"/>
      <c r="CT26" s="541"/>
      <c r="CU26" s="541"/>
      <c r="CV26" s="541"/>
      <c r="CW26" s="541"/>
      <c r="CX26" s="541"/>
      <c r="CY26" s="541"/>
      <c r="CZ26" s="541"/>
      <c r="DA26" s="541"/>
      <c r="DB26" s="541"/>
      <c r="DC26" s="541"/>
      <c r="DD26" s="541"/>
      <c r="DE26" s="541"/>
      <c r="DF26" s="541"/>
      <c r="DG26" s="541"/>
      <c r="DH26" s="541"/>
      <c r="DI26" s="541"/>
      <c r="DJ26" s="541"/>
      <c r="DK26" s="541"/>
      <c r="DL26" s="541"/>
      <c r="DM26" s="541"/>
      <c r="DN26" s="541"/>
      <c r="DO26" s="541"/>
      <c r="DP26" s="541"/>
      <c r="DQ26" s="541"/>
      <c r="DR26" s="541"/>
      <c r="DS26" s="541"/>
      <c r="DT26" s="541"/>
      <c r="DU26" s="541"/>
      <c r="DV26" s="541"/>
      <c r="DW26" s="541"/>
      <c r="DX26" s="541"/>
      <c r="DY26" s="541"/>
      <c r="DZ26" s="541"/>
      <c r="EA26" s="541"/>
      <c r="EB26" s="541"/>
      <c r="EC26" s="541"/>
      <c r="ED26" s="541"/>
      <c r="EE26" s="541"/>
      <c r="EF26" s="541"/>
      <c r="EG26" s="541"/>
      <c r="EH26" s="541"/>
      <c r="EI26" s="541"/>
      <c r="EJ26" s="541"/>
      <c r="EK26" s="541"/>
      <c r="EL26" s="541"/>
      <c r="EM26" s="541"/>
      <c r="EN26" s="541"/>
      <c r="EO26" s="541"/>
      <c r="EP26" s="541"/>
      <c r="EQ26" s="541"/>
      <c r="ER26" s="541"/>
      <c r="ES26" s="541"/>
      <c r="ET26" s="541"/>
      <c r="EU26" s="541"/>
      <c r="EV26" s="541"/>
      <c r="EW26" s="541"/>
      <c r="EX26" s="541"/>
      <c r="EY26" s="541"/>
      <c r="EZ26" s="541"/>
      <c r="FA26" s="541"/>
      <c r="FB26" s="541"/>
      <c r="FC26" s="541"/>
      <c r="FD26" s="541"/>
      <c r="FE26" s="541"/>
      <c r="FF26" s="541"/>
      <c r="FG26" s="541"/>
      <c r="FH26" s="541"/>
      <c r="FI26" s="541"/>
      <c r="FJ26" s="541"/>
      <c r="FK26" s="541"/>
      <c r="FL26" s="541"/>
      <c r="FM26" s="541"/>
      <c r="FN26" s="541"/>
      <c r="FO26" s="541"/>
      <c r="FP26" s="541"/>
      <c r="FQ26" s="541"/>
      <c r="FR26" s="541"/>
      <c r="FS26" s="541"/>
      <c r="FT26" s="541"/>
      <c r="FU26" s="541"/>
      <c r="FV26" s="541"/>
      <c r="FW26" s="541"/>
      <c r="FX26" s="541"/>
      <c r="FY26" s="541"/>
      <c r="FZ26" s="541"/>
      <c r="GA26" s="541"/>
      <c r="GB26" s="541"/>
      <c r="GC26" s="541"/>
      <c r="GD26" s="541"/>
      <c r="GE26" s="541"/>
      <c r="GF26" s="541"/>
      <c r="GG26" s="541"/>
      <c r="GH26" s="541"/>
      <c r="GI26" s="541"/>
      <c r="GJ26" s="541"/>
      <c r="GK26" s="541"/>
      <c r="GL26" s="541"/>
      <c r="GM26" s="541"/>
      <c r="GN26" s="541"/>
      <c r="GO26" s="541"/>
      <c r="GP26" s="541"/>
      <c r="GQ26" s="541"/>
      <c r="GR26" s="541"/>
      <c r="GS26" s="541"/>
      <c r="GT26" s="541"/>
      <c r="GU26" s="541"/>
      <c r="GV26" s="541"/>
      <c r="GW26" s="541"/>
      <c r="GX26" s="541"/>
      <c r="GY26" s="541"/>
      <c r="GZ26" s="541"/>
      <c r="HA26" s="541"/>
      <c r="HB26" s="541"/>
      <c r="HC26" s="541"/>
      <c r="HD26" s="541"/>
      <c r="HE26" s="541"/>
      <c r="HF26" s="541"/>
      <c r="HG26" s="541"/>
      <c r="HH26" s="541"/>
      <c r="HI26" s="541"/>
      <c r="HJ26" s="541"/>
      <c r="HK26" s="541"/>
      <c r="HL26" s="541"/>
      <c r="HM26" s="541"/>
      <c r="HN26" s="541"/>
      <c r="HO26" s="541"/>
      <c r="HP26" s="541"/>
      <c r="HQ26" s="541"/>
      <c r="HR26" s="541"/>
      <c r="HS26" s="541"/>
      <c r="HT26" s="541"/>
      <c r="HU26" s="541"/>
      <c r="HV26" s="541"/>
      <c r="HW26" s="541"/>
      <c r="HX26" s="541"/>
      <c r="HY26" s="541"/>
      <c r="HZ26" s="541"/>
      <c r="IA26" s="541"/>
      <c r="IB26" s="541"/>
      <c r="IC26" s="541"/>
      <c r="ID26" s="541"/>
      <c r="IE26" s="541"/>
      <c r="IF26" s="541"/>
      <c r="IG26" s="541"/>
      <c r="IH26" s="541"/>
      <c r="II26" s="541"/>
      <c r="IJ26" s="541"/>
      <c r="IK26" s="541"/>
      <c r="IL26" s="541"/>
      <c r="IM26" s="541"/>
      <c r="IN26" s="541"/>
      <c r="IO26" s="541"/>
      <c r="IP26" s="541"/>
      <c r="IQ26" s="541"/>
      <c r="IR26" s="541"/>
      <c r="IS26" s="541"/>
    </row>
    <row r="27" spans="1:253" s="542" customFormat="1">
      <c r="A27" s="1799" t="s">
        <v>138</v>
      </c>
      <c r="B27" s="420">
        <f>SUM(B18:B26)</f>
        <v>0</v>
      </c>
      <c r="C27" s="420">
        <f>SUM(C18:C26)</f>
        <v>0</v>
      </c>
      <c r="D27" s="420">
        <f>SUM(D18:D26)</f>
        <v>0</v>
      </c>
      <c r="E27" s="418"/>
      <c r="F27" s="417"/>
      <c r="G27" s="546"/>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41"/>
      <c r="AO27" s="541"/>
      <c r="AP27" s="541"/>
      <c r="AQ27" s="541"/>
      <c r="AR27" s="541"/>
      <c r="AS27" s="541"/>
      <c r="AT27" s="541"/>
      <c r="AU27" s="541"/>
      <c r="AV27" s="541"/>
      <c r="AW27" s="541"/>
      <c r="AX27" s="541"/>
      <c r="AY27" s="541"/>
      <c r="AZ27" s="541"/>
      <c r="BA27" s="541"/>
      <c r="BB27" s="541"/>
      <c r="BC27" s="541"/>
      <c r="BD27" s="541"/>
      <c r="BE27" s="541"/>
      <c r="BF27" s="541"/>
      <c r="BG27" s="541"/>
      <c r="BH27" s="541"/>
      <c r="BI27" s="541"/>
      <c r="BJ27" s="541"/>
      <c r="BK27" s="541"/>
      <c r="BL27" s="541"/>
      <c r="BM27" s="541"/>
      <c r="BN27" s="541"/>
      <c r="BO27" s="541"/>
      <c r="BP27" s="541"/>
      <c r="BQ27" s="541"/>
      <c r="BR27" s="541"/>
      <c r="BS27" s="541"/>
      <c r="BT27" s="541"/>
      <c r="BU27" s="541"/>
      <c r="BV27" s="541"/>
      <c r="BW27" s="541"/>
      <c r="BX27" s="541"/>
      <c r="BY27" s="541"/>
      <c r="BZ27" s="541"/>
      <c r="CA27" s="541"/>
      <c r="CB27" s="541"/>
      <c r="CC27" s="541"/>
      <c r="CD27" s="541"/>
      <c r="CE27" s="541"/>
      <c r="CF27" s="541"/>
      <c r="CG27" s="541"/>
      <c r="CH27" s="541"/>
      <c r="CI27" s="541"/>
      <c r="CJ27" s="541"/>
      <c r="CK27" s="541"/>
      <c r="CL27" s="541"/>
      <c r="CM27" s="541"/>
      <c r="CN27" s="541"/>
      <c r="CO27" s="541"/>
      <c r="CP27" s="541"/>
      <c r="CQ27" s="541"/>
      <c r="CR27" s="541"/>
      <c r="CS27" s="541"/>
      <c r="CT27" s="541"/>
      <c r="CU27" s="541"/>
      <c r="CV27" s="541"/>
      <c r="CW27" s="541"/>
      <c r="CX27" s="541"/>
      <c r="CY27" s="541"/>
      <c r="CZ27" s="541"/>
      <c r="DA27" s="541"/>
      <c r="DB27" s="541"/>
      <c r="DC27" s="541"/>
      <c r="DD27" s="541"/>
      <c r="DE27" s="541"/>
      <c r="DF27" s="541"/>
      <c r="DG27" s="541"/>
      <c r="DH27" s="541"/>
      <c r="DI27" s="541"/>
      <c r="DJ27" s="541"/>
      <c r="DK27" s="541"/>
      <c r="DL27" s="541"/>
      <c r="DM27" s="541"/>
      <c r="DN27" s="541"/>
      <c r="DO27" s="541"/>
      <c r="DP27" s="541"/>
      <c r="DQ27" s="541"/>
      <c r="DR27" s="541"/>
      <c r="DS27" s="541"/>
      <c r="DT27" s="541"/>
      <c r="DU27" s="541"/>
      <c r="DV27" s="541"/>
      <c r="DW27" s="541"/>
      <c r="DX27" s="541"/>
      <c r="DY27" s="541"/>
      <c r="DZ27" s="541"/>
      <c r="EA27" s="541"/>
      <c r="EB27" s="541"/>
      <c r="EC27" s="541"/>
      <c r="ED27" s="541"/>
      <c r="EE27" s="541"/>
      <c r="EF27" s="541"/>
      <c r="EG27" s="541"/>
      <c r="EH27" s="541"/>
      <c r="EI27" s="541"/>
      <c r="EJ27" s="541"/>
      <c r="EK27" s="541"/>
      <c r="EL27" s="541"/>
      <c r="EM27" s="541"/>
      <c r="EN27" s="541"/>
      <c r="EO27" s="541"/>
      <c r="EP27" s="541"/>
      <c r="EQ27" s="541"/>
      <c r="ER27" s="541"/>
      <c r="ES27" s="541"/>
      <c r="ET27" s="541"/>
      <c r="EU27" s="541"/>
      <c r="EV27" s="541"/>
      <c r="EW27" s="541"/>
      <c r="EX27" s="541"/>
      <c r="EY27" s="541"/>
      <c r="EZ27" s="541"/>
      <c r="FA27" s="541"/>
      <c r="FB27" s="541"/>
      <c r="FC27" s="541"/>
      <c r="FD27" s="541"/>
      <c r="FE27" s="541"/>
      <c r="FF27" s="541"/>
      <c r="FG27" s="541"/>
      <c r="FH27" s="541"/>
      <c r="FI27" s="541"/>
      <c r="FJ27" s="541"/>
      <c r="FK27" s="541"/>
      <c r="FL27" s="541"/>
      <c r="FM27" s="541"/>
      <c r="FN27" s="541"/>
      <c r="FO27" s="541"/>
      <c r="FP27" s="541"/>
      <c r="FQ27" s="541"/>
      <c r="FR27" s="541"/>
      <c r="FS27" s="541"/>
      <c r="FT27" s="541"/>
      <c r="FU27" s="541"/>
      <c r="FV27" s="541"/>
      <c r="FW27" s="541"/>
      <c r="FX27" s="541"/>
      <c r="FY27" s="541"/>
      <c r="FZ27" s="541"/>
      <c r="GA27" s="541"/>
      <c r="GB27" s="541"/>
      <c r="GC27" s="541"/>
      <c r="GD27" s="541"/>
      <c r="GE27" s="541"/>
      <c r="GF27" s="541"/>
      <c r="GG27" s="541"/>
      <c r="GH27" s="541"/>
      <c r="GI27" s="541"/>
      <c r="GJ27" s="541"/>
      <c r="GK27" s="541"/>
      <c r="GL27" s="541"/>
      <c r="GM27" s="541"/>
      <c r="GN27" s="541"/>
      <c r="GO27" s="541"/>
      <c r="GP27" s="541"/>
      <c r="GQ27" s="541"/>
      <c r="GR27" s="541"/>
      <c r="GS27" s="541"/>
      <c r="GT27" s="541"/>
      <c r="GU27" s="541"/>
      <c r="GV27" s="541"/>
      <c r="GW27" s="541"/>
      <c r="GX27" s="541"/>
      <c r="GY27" s="541"/>
      <c r="GZ27" s="541"/>
      <c r="HA27" s="541"/>
      <c r="HB27" s="541"/>
      <c r="HC27" s="541"/>
      <c r="HD27" s="541"/>
      <c r="HE27" s="541"/>
      <c r="HF27" s="541"/>
      <c r="HG27" s="541"/>
      <c r="HH27" s="541"/>
      <c r="HI27" s="541"/>
      <c r="HJ27" s="541"/>
      <c r="HK27" s="541"/>
      <c r="HL27" s="541"/>
      <c r="HM27" s="541"/>
      <c r="HN27" s="541"/>
      <c r="HO27" s="541"/>
      <c r="HP27" s="541"/>
      <c r="HQ27" s="541"/>
      <c r="HR27" s="541"/>
      <c r="HS27" s="541"/>
      <c r="HT27" s="541"/>
      <c r="HU27" s="541"/>
      <c r="HV27" s="541"/>
      <c r="HW27" s="541"/>
      <c r="HX27" s="541"/>
      <c r="HY27" s="541"/>
      <c r="HZ27" s="541"/>
      <c r="IA27" s="541"/>
      <c r="IB27" s="541"/>
      <c r="IC27" s="541"/>
      <c r="ID27" s="541"/>
      <c r="IE27" s="541"/>
      <c r="IF27" s="541"/>
      <c r="IG27" s="541"/>
      <c r="IH27" s="541"/>
      <c r="II27" s="541"/>
      <c r="IJ27" s="541"/>
      <c r="IK27" s="541"/>
      <c r="IL27" s="541"/>
      <c r="IM27" s="541"/>
      <c r="IN27" s="541"/>
      <c r="IO27" s="541"/>
      <c r="IP27" s="541"/>
      <c r="IQ27" s="541"/>
      <c r="IR27" s="541"/>
      <c r="IS27" s="541"/>
    </row>
    <row r="28" spans="1:253" s="542" customFormat="1">
      <c r="A28" s="421" t="s">
        <v>146</v>
      </c>
      <c r="B28" s="416">
        <f>'Sources and Uses Budget'!$C$27</f>
        <v>0</v>
      </c>
      <c r="C28" s="416">
        <f>'Sources and Uses Budget'!$C$27</f>
        <v>0</v>
      </c>
      <c r="D28" s="420">
        <f t="shared" si="0"/>
        <v>0</v>
      </c>
      <c r="E28" s="418"/>
      <c r="F28" s="417"/>
      <c r="G28" s="546"/>
      <c r="H28" s="541"/>
      <c r="I28" s="541"/>
      <c r="J28" s="541"/>
      <c r="K28" s="541"/>
      <c r="L28" s="541"/>
      <c r="M28" s="541"/>
      <c r="N28" s="541"/>
      <c r="O28" s="541"/>
      <c r="P28" s="541"/>
      <c r="Q28" s="541"/>
      <c r="R28" s="541"/>
      <c r="S28" s="541"/>
      <c r="T28" s="541"/>
      <c r="U28" s="541"/>
      <c r="V28" s="541"/>
      <c r="W28" s="541"/>
      <c r="X28" s="541"/>
      <c r="Y28" s="541"/>
      <c r="Z28" s="541"/>
      <c r="AA28" s="541"/>
      <c r="AB28" s="541"/>
      <c r="AC28" s="541"/>
      <c r="AD28" s="541"/>
      <c r="AE28" s="541"/>
      <c r="AF28" s="541"/>
      <c r="AG28" s="541"/>
      <c r="AH28" s="541"/>
      <c r="AI28" s="541"/>
      <c r="AJ28" s="541"/>
      <c r="AK28" s="541"/>
      <c r="AL28" s="541"/>
      <c r="AM28" s="541"/>
      <c r="AN28" s="541"/>
      <c r="AO28" s="541"/>
      <c r="AP28" s="541"/>
      <c r="AQ28" s="541"/>
      <c r="AR28" s="541"/>
      <c r="AS28" s="541"/>
      <c r="AT28" s="541"/>
      <c r="AU28" s="541"/>
      <c r="AV28" s="541"/>
      <c r="AW28" s="541"/>
      <c r="AX28" s="541"/>
      <c r="AY28" s="541"/>
      <c r="AZ28" s="541"/>
      <c r="BA28" s="541"/>
      <c r="BB28" s="541"/>
      <c r="BC28" s="541"/>
      <c r="BD28" s="541"/>
      <c r="BE28" s="541"/>
      <c r="BF28" s="541"/>
      <c r="BG28" s="541"/>
      <c r="BH28" s="541"/>
      <c r="BI28" s="541"/>
      <c r="BJ28" s="541"/>
      <c r="BK28" s="541"/>
      <c r="BL28" s="541"/>
      <c r="BM28" s="541"/>
      <c r="BN28" s="541"/>
      <c r="BO28" s="541"/>
      <c r="BP28" s="541"/>
      <c r="BQ28" s="541"/>
      <c r="BR28" s="541"/>
      <c r="BS28" s="541"/>
      <c r="BT28" s="541"/>
      <c r="BU28" s="541"/>
      <c r="BV28" s="541"/>
      <c r="BW28" s="541"/>
      <c r="BX28" s="541"/>
      <c r="BY28" s="541"/>
      <c r="BZ28" s="541"/>
      <c r="CA28" s="541"/>
      <c r="CB28" s="541"/>
      <c r="CC28" s="541"/>
      <c r="CD28" s="541"/>
      <c r="CE28" s="541"/>
      <c r="CF28" s="541"/>
      <c r="CG28" s="541"/>
      <c r="CH28" s="541"/>
      <c r="CI28" s="541"/>
      <c r="CJ28" s="541"/>
      <c r="CK28" s="541"/>
      <c r="CL28" s="541"/>
      <c r="CM28" s="541"/>
      <c r="CN28" s="541"/>
      <c r="CO28" s="541"/>
      <c r="CP28" s="541"/>
      <c r="CQ28" s="541"/>
      <c r="CR28" s="541"/>
      <c r="CS28" s="541"/>
      <c r="CT28" s="541"/>
      <c r="CU28" s="541"/>
      <c r="CV28" s="541"/>
      <c r="CW28" s="541"/>
      <c r="CX28" s="541"/>
      <c r="CY28" s="541"/>
      <c r="CZ28" s="541"/>
      <c r="DA28" s="541"/>
      <c r="DB28" s="541"/>
      <c r="DC28" s="541"/>
      <c r="DD28" s="541"/>
      <c r="DE28" s="541"/>
      <c r="DF28" s="541"/>
      <c r="DG28" s="541"/>
      <c r="DH28" s="541"/>
      <c r="DI28" s="541"/>
      <c r="DJ28" s="541"/>
      <c r="DK28" s="541"/>
      <c r="DL28" s="541"/>
      <c r="DM28" s="541"/>
      <c r="DN28" s="541"/>
      <c r="DO28" s="541"/>
      <c r="DP28" s="541"/>
      <c r="DQ28" s="541"/>
      <c r="DR28" s="541"/>
      <c r="DS28" s="541"/>
      <c r="DT28" s="541"/>
      <c r="DU28" s="541"/>
      <c r="DV28" s="541"/>
      <c r="DW28" s="541"/>
      <c r="DX28" s="541"/>
      <c r="DY28" s="541"/>
      <c r="DZ28" s="541"/>
      <c r="EA28" s="541"/>
      <c r="EB28" s="541"/>
      <c r="EC28" s="541"/>
      <c r="ED28" s="541"/>
      <c r="EE28" s="541"/>
      <c r="EF28" s="541"/>
      <c r="EG28" s="541"/>
      <c r="EH28" s="541"/>
      <c r="EI28" s="541"/>
      <c r="EJ28" s="541"/>
      <c r="EK28" s="541"/>
      <c r="EL28" s="541"/>
      <c r="EM28" s="541"/>
      <c r="EN28" s="541"/>
      <c r="EO28" s="541"/>
      <c r="EP28" s="541"/>
      <c r="EQ28" s="541"/>
      <c r="ER28" s="541"/>
      <c r="ES28" s="541"/>
      <c r="ET28" s="541"/>
      <c r="EU28" s="541"/>
      <c r="EV28" s="541"/>
      <c r="EW28" s="541"/>
      <c r="EX28" s="541"/>
      <c r="EY28" s="541"/>
      <c r="EZ28" s="541"/>
      <c r="FA28" s="541"/>
      <c r="FB28" s="541"/>
      <c r="FC28" s="541"/>
      <c r="FD28" s="541"/>
      <c r="FE28" s="541"/>
      <c r="FF28" s="541"/>
      <c r="FG28" s="541"/>
      <c r="FH28" s="541"/>
      <c r="FI28" s="541"/>
      <c r="FJ28" s="541"/>
      <c r="FK28" s="541"/>
      <c r="FL28" s="541"/>
      <c r="FM28" s="541"/>
      <c r="FN28" s="541"/>
      <c r="FO28" s="541"/>
      <c r="FP28" s="541"/>
      <c r="FQ28" s="541"/>
      <c r="FR28" s="541"/>
      <c r="FS28" s="541"/>
      <c r="FT28" s="541"/>
      <c r="FU28" s="541"/>
      <c r="FV28" s="541"/>
      <c r="FW28" s="541"/>
      <c r="FX28" s="541"/>
      <c r="FY28" s="541"/>
      <c r="FZ28" s="541"/>
      <c r="GA28" s="541"/>
      <c r="GB28" s="541"/>
      <c r="GC28" s="541"/>
      <c r="GD28" s="541"/>
      <c r="GE28" s="541"/>
      <c r="GF28" s="541"/>
      <c r="GG28" s="541"/>
      <c r="GH28" s="541"/>
      <c r="GI28" s="541"/>
      <c r="GJ28" s="541"/>
      <c r="GK28" s="541"/>
      <c r="GL28" s="541"/>
      <c r="GM28" s="541"/>
      <c r="GN28" s="541"/>
      <c r="GO28" s="541"/>
      <c r="GP28" s="541"/>
      <c r="GQ28" s="541"/>
      <c r="GR28" s="541"/>
      <c r="GS28" s="541"/>
      <c r="GT28" s="541"/>
      <c r="GU28" s="541"/>
      <c r="GV28" s="541"/>
      <c r="GW28" s="541"/>
      <c r="GX28" s="541"/>
      <c r="GY28" s="541"/>
      <c r="GZ28" s="541"/>
      <c r="HA28" s="541"/>
      <c r="HB28" s="541"/>
      <c r="HC28" s="541"/>
      <c r="HD28" s="541"/>
      <c r="HE28" s="541"/>
      <c r="HF28" s="541"/>
      <c r="HG28" s="541"/>
      <c r="HH28" s="541"/>
      <c r="HI28" s="541"/>
      <c r="HJ28" s="541"/>
      <c r="HK28" s="541"/>
      <c r="HL28" s="541"/>
      <c r="HM28" s="541"/>
      <c r="HN28" s="541"/>
      <c r="HO28" s="541"/>
      <c r="HP28" s="541"/>
      <c r="HQ28" s="541"/>
      <c r="HR28" s="541"/>
      <c r="HS28" s="541"/>
      <c r="HT28" s="541"/>
      <c r="HU28" s="541"/>
      <c r="HV28" s="541"/>
      <c r="HW28" s="541"/>
      <c r="HX28" s="541"/>
      <c r="HY28" s="541"/>
      <c r="HZ28" s="541"/>
      <c r="IA28" s="541"/>
      <c r="IB28" s="541"/>
      <c r="IC28" s="541"/>
      <c r="ID28" s="541"/>
      <c r="IE28" s="541"/>
      <c r="IF28" s="541"/>
      <c r="IG28" s="541"/>
      <c r="IH28" s="541"/>
      <c r="II28" s="541"/>
      <c r="IJ28" s="541"/>
      <c r="IK28" s="541"/>
      <c r="IL28" s="541"/>
      <c r="IM28" s="541"/>
      <c r="IN28" s="541"/>
      <c r="IO28" s="541"/>
      <c r="IP28" s="541"/>
      <c r="IQ28" s="541"/>
      <c r="IR28" s="541"/>
      <c r="IS28" s="541"/>
    </row>
    <row r="29" spans="1:253" s="542" customFormat="1">
      <c r="A29" s="414" t="s">
        <v>147</v>
      </c>
      <c r="B29" s="414"/>
      <c r="C29" s="414"/>
      <c r="D29" s="414"/>
      <c r="E29" s="434"/>
      <c r="F29" s="414"/>
      <c r="G29" s="546"/>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41"/>
      <c r="AO29" s="541"/>
      <c r="AP29" s="541"/>
      <c r="AQ29" s="541"/>
      <c r="AR29" s="541"/>
      <c r="AS29" s="541"/>
      <c r="AT29" s="541"/>
      <c r="AU29" s="541"/>
      <c r="AV29" s="541"/>
      <c r="AW29" s="541"/>
      <c r="AX29" s="541"/>
      <c r="AY29" s="541"/>
      <c r="AZ29" s="541"/>
      <c r="BA29" s="541"/>
      <c r="BB29" s="541"/>
      <c r="BC29" s="541"/>
      <c r="BD29" s="541"/>
      <c r="BE29" s="541"/>
      <c r="BF29" s="541"/>
      <c r="BG29" s="541"/>
      <c r="BH29" s="541"/>
      <c r="BI29" s="541"/>
      <c r="BJ29" s="541"/>
      <c r="BK29" s="541"/>
      <c r="BL29" s="541"/>
      <c r="BM29" s="541"/>
      <c r="BN29" s="541"/>
      <c r="BO29" s="541"/>
      <c r="BP29" s="541"/>
      <c r="BQ29" s="541"/>
      <c r="BR29" s="541"/>
      <c r="BS29" s="541"/>
      <c r="BT29" s="541"/>
      <c r="BU29" s="541"/>
      <c r="BV29" s="541"/>
      <c r="BW29" s="541"/>
      <c r="BX29" s="541"/>
      <c r="BY29" s="541"/>
      <c r="BZ29" s="541"/>
      <c r="CA29" s="541"/>
      <c r="CB29" s="541"/>
      <c r="CC29" s="541"/>
      <c r="CD29" s="541"/>
      <c r="CE29" s="541"/>
      <c r="CF29" s="541"/>
      <c r="CG29" s="541"/>
      <c r="CH29" s="541"/>
      <c r="CI29" s="541"/>
      <c r="CJ29" s="541"/>
      <c r="CK29" s="541"/>
      <c r="CL29" s="541"/>
      <c r="CM29" s="541"/>
      <c r="CN29" s="541"/>
      <c r="CO29" s="541"/>
      <c r="CP29" s="541"/>
      <c r="CQ29" s="541"/>
      <c r="CR29" s="541"/>
      <c r="CS29" s="541"/>
      <c r="CT29" s="541"/>
      <c r="CU29" s="541"/>
      <c r="CV29" s="541"/>
      <c r="CW29" s="541"/>
      <c r="CX29" s="541"/>
      <c r="CY29" s="541"/>
      <c r="CZ29" s="541"/>
      <c r="DA29" s="541"/>
      <c r="DB29" s="541"/>
      <c r="DC29" s="541"/>
      <c r="DD29" s="541"/>
      <c r="DE29" s="541"/>
      <c r="DF29" s="541"/>
      <c r="DG29" s="541"/>
      <c r="DH29" s="541"/>
      <c r="DI29" s="541"/>
      <c r="DJ29" s="541"/>
      <c r="DK29" s="541"/>
      <c r="DL29" s="541"/>
      <c r="DM29" s="541"/>
      <c r="DN29" s="541"/>
      <c r="DO29" s="541"/>
      <c r="DP29" s="541"/>
      <c r="DQ29" s="541"/>
      <c r="DR29" s="541"/>
      <c r="DS29" s="541"/>
      <c r="DT29" s="541"/>
      <c r="DU29" s="541"/>
      <c r="DV29" s="541"/>
      <c r="DW29" s="541"/>
      <c r="DX29" s="541"/>
      <c r="DY29" s="541"/>
      <c r="DZ29" s="541"/>
      <c r="EA29" s="541"/>
      <c r="EB29" s="541"/>
      <c r="EC29" s="541"/>
      <c r="ED29" s="541"/>
      <c r="EE29" s="541"/>
      <c r="EF29" s="541"/>
      <c r="EG29" s="541"/>
      <c r="EH29" s="541"/>
      <c r="EI29" s="541"/>
      <c r="EJ29" s="541"/>
      <c r="EK29" s="541"/>
      <c r="EL29" s="541"/>
      <c r="EM29" s="541"/>
      <c r="EN29" s="541"/>
      <c r="EO29" s="541"/>
      <c r="EP29" s="541"/>
      <c r="EQ29" s="541"/>
      <c r="ER29" s="541"/>
      <c r="ES29" s="541"/>
      <c r="ET29" s="541"/>
      <c r="EU29" s="541"/>
      <c r="EV29" s="541"/>
      <c r="EW29" s="541"/>
      <c r="EX29" s="541"/>
      <c r="EY29" s="541"/>
      <c r="EZ29" s="541"/>
      <c r="FA29" s="541"/>
      <c r="FB29" s="541"/>
      <c r="FC29" s="541"/>
      <c r="FD29" s="541"/>
      <c r="FE29" s="541"/>
      <c r="FF29" s="541"/>
      <c r="FG29" s="541"/>
      <c r="FH29" s="541"/>
      <c r="FI29" s="541"/>
      <c r="FJ29" s="541"/>
      <c r="FK29" s="541"/>
      <c r="FL29" s="541"/>
      <c r="FM29" s="541"/>
      <c r="FN29" s="541"/>
      <c r="FO29" s="541"/>
      <c r="FP29" s="541"/>
      <c r="FQ29" s="541"/>
      <c r="FR29" s="541"/>
      <c r="FS29" s="541"/>
      <c r="FT29" s="541"/>
      <c r="FU29" s="541"/>
      <c r="FV29" s="541"/>
      <c r="FW29" s="541"/>
      <c r="FX29" s="541"/>
      <c r="FY29" s="541"/>
      <c r="FZ29" s="541"/>
      <c r="GA29" s="541"/>
      <c r="GB29" s="541"/>
      <c r="GC29" s="541"/>
      <c r="GD29" s="541"/>
      <c r="GE29" s="541"/>
      <c r="GF29" s="541"/>
      <c r="GG29" s="541"/>
      <c r="GH29" s="541"/>
      <c r="GI29" s="541"/>
      <c r="GJ29" s="541"/>
      <c r="GK29" s="541"/>
      <c r="GL29" s="541"/>
      <c r="GM29" s="541"/>
      <c r="GN29" s="541"/>
      <c r="GO29" s="541"/>
      <c r="GP29" s="541"/>
      <c r="GQ29" s="541"/>
      <c r="GR29" s="541"/>
      <c r="GS29" s="541"/>
      <c r="GT29" s="541"/>
      <c r="GU29" s="541"/>
      <c r="GV29" s="541"/>
      <c r="GW29" s="541"/>
      <c r="GX29" s="541"/>
      <c r="GY29" s="541"/>
      <c r="GZ29" s="541"/>
      <c r="HA29" s="541"/>
      <c r="HB29" s="541"/>
      <c r="HC29" s="541"/>
      <c r="HD29" s="541"/>
      <c r="HE29" s="541"/>
      <c r="HF29" s="541"/>
      <c r="HG29" s="541"/>
      <c r="HH29" s="541"/>
      <c r="HI29" s="541"/>
      <c r="HJ29" s="541"/>
      <c r="HK29" s="541"/>
      <c r="HL29" s="541"/>
      <c r="HM29" s="541"/>
      <c r="HN29" s="541"/>
      <c r="HO29" s="541"/>
      <c r="HP29" s="541"/>
      <c r="HQ29" s="541"/>
      <c r="HR29" s="541"/>
      <c r="HS29" s="541"/>
      <c r="HT29" s="541"/>
      <c r="HU29" s="541"/>
      <c r="HV29" s="541"/>
      <c r="HW29" s="541"/>
      <c r="HX29" s="541"/>
      <c r="HY29" s="541"/>
      <c r="HZ29" s="541"/>
      <c r="IA29" s="541"/>
      <c r="IB29" s="541"/>
      <c r="IC29" s="541"/>
      <c r="ID29" s="541"/>
      <c r="IE29" s="541"/>
      <c r="IF29" s="541"/>
      <c r="IG29" s="541"/>
      <c r="IH29" s="541"/>
      <c r="II29" s="541"/>
      <c r="IJ29" s="541"/>
      <c r="IK29" s="541"/>
      <c r="IL29" s="541"/>
      <c r="IM29" s="541"/>
      <c r="IN29" s="541"/>
      <c r="IO29" s="541"/>
      <c r="IP29" s="541"/>
      <c r="IQ29" s="541"/>
      <c r="IR29" s="541"/>
      <c r="IS29" s="541"/>
    </row>
    <row r="30" spans="1:253" s="542" customFormat="1">
      <c r="A30" s="215" t="s">
        <v>633</v>
      </c>
      <c r="B30" s="416">
        <f>'Sources and Uses Budget'!$C29</f>
        <v>8602752</v>
      </c>
      <c r="C30" s="416">
        <f>'Sources and Uses Budget'!$C29</f>
        <v>8602752</v>
      </c>
      <c r="D30" s="420">
        <f t="shared" si="0"/>
        <v>0</v>
      </c>
      <c r="E30" s="418"/>
      <c r="F30" s="417"/>
      <c r="G30" s="546"/>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41"/>
      <c r="AO30" s="541"/>
      <c r="AP30" s="541"/>
      <c r="AQ30" s="541"/>
      <c r="AR30" s="541"/>
      <c r="AS30" s="541"/>
      <c r="AT30" s="541"/>
      <c r="AU30" s="541"/>
      <c r="AV30" s="541"/>
      <c r="AW30" s="541"/>
      <c r="AX30" s="541"/>
      <c r="AY30" s="541"/>
      <c r="AZ30" s="541"/>
      <c r="BA30" s="541"/>
      <c r="BB30" s="541"/>
      <c r="BC30" s="541"/>
      <c r="BD30" s="541"/>
      <c r="BE30" s="541"/>
      <c r="BF30" s="541"/>
      <c r="BG30" s="541"/>
      <c r="BH30" s="541"/>
      <c r="BI30" s="541"/>
      <c r="BJ30" s="541"/>
      <c r="BK30" s="541"/>
      <c r="BL30" s="541"/>
      <c r="BM30" s="541"/>
      <c r="BN30" s="541"/>
      <c r="BO30" s="541"/>
      <c r="BP30" s="541"/>
      <c r="BQ30" s="541"/>
      <c r="BR30" s="541"/>
      <c r="BS30" s="541"/>
      <c r="BT30" s="541"/>
      <c r="BU30" s="541"/>
      <c r="BV30" s="541"/>
      <c r="BW30" s="541"/>
      <c r="BX30" s="541"/>
      <c r="BY30" s="541"/>
      <c r="BZ30" s="541"/>
      <c r="CA30" s="541"/>
      <c r="CB30" s="541"/>
      <c r="CC30" s="541"/>
      <c r="CD30" s="541"/>
      <c r="CE30" s="541"/>
      <c r="CF30" s="541"/>
      <c r="CG30" s="541"/>
      <c r="CH30" s="541"/>
      <c r="CI30" s="541"/>
      <c r="CJ30" s="541"/>
      <c r="CK30" s="541"/>
      <c r="CL30" s="541"/>
      <c r="CM30" s="541"/>
      <c r="CN30" s="541"/>
      <c r="CO30" s="541"/>
      <c r="CP30" s="541"/>
      <c r="CQ30" s="541"/>
      <c r="CR30" s="541"/>
      <c r="CS30" s="541"/>
      <c r="CT30" s="541"/>
      <c r="CU30" s="541"/>
      <c r="CV30" s="541"/>
      <c r="CW30" s="541"/>
      <c r="CX30" s="541"/>
      <c r="CY30" s="541"/>
      <c r="CZ30" s="541"/>
      <c r="DA30" s="541"/>
      <c r="DB30" s="541"/>
      <c r="DC30" s="541"/>
      <c r="DD30" s="541"/>
      <c r="DE30" s="541"/>
      <c r="DF30" s="541"/>
      <c r="DG30" s="541"/>
      <c r="DH30" s="541"/>
      <c r="DI30" s="541"/>
      <c r="DJ30" s="541"/>
      <c r="DK30" s="541"/>
      <c r="DL30" s="541"/>
      <c r="DM30" s="541"/>
      <c r="DN30" s="541"/>
      <c r="DO30" s="541"/>
      <c r="DP30" s="541"/>
      <c r="DQ30" s="541"/>
      <c r="DR30" s="541"/>
      <c r="DS30" s="541"/>
      <c r="DT30" s="541"/>
      <c r="DU30" s="541"/>
      <c r="DV30" s="541"/>
      <c r="DW30" s="541"/>
      <c r="DX30" s="541"/>
      <c r="DY30" s="541"/>
      <c r="DZ30" s="541"/>
      <c r="EA30" s="541"/>
      <c r="EB30" s="541"/>
      <c r="EC30" s="541"/>
      <c r="ED30" s="541"/>
      <c r="EE30" s="541"/>
      <c r="EF30" s="541"/>
      <c r="EG30" s="541"/>
      <c r="EH30" s="541"/>
      <c r="EI30" s="541"/>
      <c r="EJ30" s="541"/>
      <c r="EK30" s="541"/>
      <c r="EL30" s="541"/>
      <c r="EM30" s="541"/>
      <c r="EN30" s="541"/>
      <c r="EO30" s="541"/>
      <c r="EP30" s="541"/>
      <c r="EQ30" s="541"/>
      <c r="ER30" s="541"/>
      <c r="ES30" s="541"/>
      <c r="ET30" s="541"/>
      <c r="EU30" s="541"/>
      <c r="EV30" s="541"/>
      <c r="EW30" s="541"/>
      <c r="EX30" s="541"/>
      <c r="EY30" s="541"/>
      <c r="EZ30" s="541"/>
      <c r="FA30" s="541"/>
      <c r="FB30" s="541"/>
      <c r="FC30" s="541"/>
      <c r="FD30" s="541"/>
      <c r="FE30" s="541"/>
      <c r="FF30" s="541"/>
      <c r="FG30" s="541"/>
      <c r="FH30" s="541"/>
      <c r="FI30" s="541"/>
      <c r="FJ30" s="541"/>
      <c r="FK30" s="541"/>
      <c r="FL30" s="541"/>
      <c r="FM30" s="541"/>
      <c r="FN30" s="541"/>
      <c r="FO30" s="541"/>
      <c r="FP30" s="541"/>
      <c r="FQ30" s="541"/>
      <c r="FR30" s="541"/>
      <c r="FS30" s="541"/>
      <c r="FT30" s="541"/>
      <c r="FU30" s="541"/>
      <c r="FV30" s="541"/>
      <c r="FW30" s="541"/>
      <c r="FX30" s="541"/>
      <c r="FY30" s="541"/>
      <c r="FZ30" s="541"/>
      <c r="GA30" s="541"/>
      <c r="GB30" s="541"/>
      <c r="GC30" s="541"/>
      <c r="GD30" s="541"/>
      <c r="GE30" s="541"/>
      <c r="GF30" s="541"/>
      <c r="GG30" s="541"/>
      <c r="GH30" s="541"/>
      <c r="GI30" s="541"/>
      <c r="GJ30" s="541"/>
      <c r="GK30" s="541"/>
      <c r="GL30" s="541"/>
      <c r="GM30" s="541"/>
      <c r="GN30" s="541"/>
      <c r="GO30" s="541"/>
      <c r="GP30" s="541"/>
      <c r="GQ30" s="541"/>
      <c r="GR30" s="541"/>
      <c r="GS30" s="541"/>
      <c r="GT30" s="541"/>
      <c r="GU30" s="541"/>
      <c r="GV30" s="541"/>
      <c r="GW30" s="541"/>
      <c r="GX30" s="541"/>
      <c r="GY30" s="541"/>
      <c r="GZ30" s="541"/>
      <c r="HA30" s="541"/>
      <c r="HB30" s="541"/>
      <c r="HC30" s="541"/>
      <c r="HD30" s="541"/>
      <c r="HE30" s="541"/>
      <c r="HF30" s="541"/>
      <c r="HG30" s="541"/>
      <c r="HH30" s="541"/>
      <c r="HI30" s="541"/>
      <c r="HJ30" s="541"/>
      <c r="HK30" s="541"/>
      <c r="HL30" s="541"/>
      <c r="HM30" s="541"/>
      <c r="HN30" s="541"/>
      <c r="HO30" s="541"/>
      <c r="HP30" s="541"/>
      <c r="HQ30" s="541"/>
      <c r="HR30" s="541"/>
      <c r="HS30" s="541"/>
      <c r="HT30" s="541"/>
      <c r="HU30" s="541"/>
      <c r="HV30" s="541"/>
      <c r="HW30" s="541"/>
      <c r="HX30" s="541"/>
      <c r="HY30" s="541"/>
      <c r="HZ30" s="541"/>
      <c r="IA30" s="541"/>
      <c r="IB30" s="541"/>
      <c r="IC30" s="541"/>
      <c r="ID30" s="541"/>
      <c r="IE30" s="541"/>
      <c r="IF30" s="541"/>
      <c r="IG30" s="541"/>
      <c r="IH30" s="541"/>
      <c r="II30" s="541"/>
      <c r="IJ30" s="541"/>
      <c r="IK30" s="541"/>
      <c r="IL30" s="541"/>
      <c r="IM30" s="541"/>
      <c r="IN30" s="541"/>
      <c r="IO30" s="541"/>
      <c r="IP30" s="541"/>
      <c r="IQ30" s="541"/>
      <c r="IR30" s="541"/>
      <c r="IS30" s="541"/>
    </row>
    <row r="31" spans="1:253" s="542" customFormat="1">
      <c r="A31" s="215" t="s">
        <v>634</v>
      </c>
      <c r="B31" s="416">
        <f>'Sources and Uses Budget'!$C30</f>
        <v>51195566</v>
      </c>
      <c r="C31" s="416">
        <f>'Sources and Uses Budget'!$C30</f>
        <v>51195566</v>
      </c>
      <c r="D31" s="420">
        <f t="shared" si="0"/>
        <v>0</v>
      </c>
      <c r="E31" s="418"/>
      <c r="F31" s="417"/>
      <c r="G31" s="546"/>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41"/>
      <c r="AO31" s="541"/>
      <c r="AP31" s="541"/>
      <c r="AQ31" s="541"/>
      <c r="AR31" s="541"/>
      <c r="AS31" s="541"/>
      <c r="AT31" s="541"/>
      <c r="AU31" s="541"/>
      <c r="AV31" s="541"/>
      <c r="AW31" s="541"/>
      <c r="AX31" s="541"/>
      <c r="AY31" s="541"/>
      <c r="AZ31" s="541"/>
      <c r="BA31" s="541"/>
      <c r="BB31" s="541"/>
      <c r="BC31" s="541"/>
      <c r="BD31" s="541"/>
      <c r="BE31" s="541"/>
      <c r="BF31" s="541"/>
      <c r="BG31" s="541"/>
      <c r="BH31" s="541"/>
      <c r="BI31" s="541"/>
      <c r="BJ31" s="541"/>
      <c r="BK31" s="541"/>
      <c r="BL31" s="541"/>
      <c r="BM31" s="541"/>
      <c r="BN31" s="541"/>
      <c r="BO31" s="541"/>
      <c r="BP31" s="541"/>
      <c r="BQ31" s="541"/>
      <c r="BR31" s="541"/>
      <c r="BS31" s="541"/>
      <c r="BT31" s="541"/>
      <c r="BU31" s="541"/>
      <c r="BV31" s="541"/>
      <c r="BW31" s="541"/>
      <c r="BX31" s="541"/>
      <c r="BY31" s="541"/>
      <c r="BZ31" s="541"/>
      <c r="CA31" s="541"/>
      <c r="CB31" s="541"/>
      <c r="CC31" s="541"/>
      <c r="CD31" s="541"/>
      <c r="CE31" s="541"/>
      <c r="CF31" s="541"/>
      <c r="CG31" s="541"/>
      <c r="CH31" s="541"/>
      <c r="CI31" s="541"/>
      <c r="CJ31" s="541"/>
      <c r="CK31" s="541"/>
      <c r="CL31" s="541"/>
      <c r="CM31" s="541"/>
      <c r="CN31" s="541"/>
      <c r="CO31" s="541"/>
      <c r="CP31" s="541"/>
      <c r="CQ31" s="541"/>
      <c r="CR31" s="541"/>
      <c r="CS31" s="541"/>
      <c r="CT31" s="541"/>
      <c r="CU31" s="541"/>
      <c r="CV31" s="541"/>
      <c r="CW31" s="541"/>
      <c r="CX31" s="541"/>
      <c r="CY31" s="541"/>
      <c r="CZ31" s="541"/>
      <c r="DA31" s="541"/>
      <c r="DB31" s="541"/>
      <c r="DC31" s="541"/>
      <c r="DD31" s="541"/>
      <c r="DE31" s="541"/>
      <c r="DF31" s="541"/>
      <c r="DG31" s="541"/>
      <c r="DH31" s="541"/>
      <c r="DI31" s="541"/>
      <c r="DJ31" s="541"/>
      <c r="DK31" s="541"/>
      <c r="DL31" s="541"/>
      <c r="DM31" s="541"/>
      <c r="DN31" s="541"/>
      <c r="DO31" s="541"/>
      <c r="DP31" s="541"/>
      <c r="DQ31" s="541"/>
      <c r="DR31" s="541"/>
      <c r="DS31" s="541"/>
      <c r="DT31" s="541"/>
      <c r="DU31" s="541"/>
      <c r="DV31" s="541"/>
      <c r="DW31" s="541"/>
      <c r="DX31" s="541"/>
      <c r="DY31" s="541"/>
      <c r="DZ31" s="541"/>
      <c r="EA31" s="541"/>
      <c r="EB31" s="541"/>
      <c r="EC31" s="541"/>
      <c r="ED31" s="541"/>
      <c r="EE31" s="541"/>
      <c r="EF31" s="541"/>
      <c r="EG31" s="541"/>
      <c r="EH31" s="541"/>
      <c r="EI31" s="541"/>
      <c r="EJ31" s="541"/>
      <c r="EK31" s="541"/>
      <c r="EL31" s="541"/>
      <c r="EM31" s="541"/>
      <c r="EN31" s="541"/>
      <c r="EO31" s="541"/>
      <c r="EP31" s="541"/>
      <c r="EQ31" s="541"/>
      <c r="ER31" s="541"/>
      <c r="ES31" s="541"/>
      <c r="ET31" s="541"/>
      <c r="EU31" s="541"/>
      <c r="EV31" s="541"/>
      <c r="EW31" s="541"/>
      <c r="EX31" s="541"/>
      <c r="EY31" s="541"/>
      <c r="EZ31" s="541"/>
      <c r="FA31" s="541"/>
      <c r="FB31" s="541"/>
      <c r="FC31" s="541"/>
      <c r="FD31" s="541"/>
      <c r="FE31" s="541"/>
      <c r="FF31" s="541"/>
      <c r="FG31" s="541"/>
      <c r="FH31" s="541"/>
      <c r="FI31" s="541"/>
      <c r="FJ31" s="541"/>
      <c r="FK31" s="541"/>
      <c r="FL31" s="541"/>
      <c r="FM31" s="541"/>
      <c r="FN31" s="541"/>
      <c r="FO31" s="541"/>
      <c r="FP31" s="541"/>
      <c r="FQ31" s="541"/>
      <c r="FR31" s="541"/>
      <c r="FS31" s="541"/>
      <c r="FT31" s="541"/>
      <c r="FU31" s="541"/>
      <c r="FV31" s="541"/>
      <c r="FW31" s="541"/>
      <c r="FX31" s="541"/>
      <c r="FY31" s="541"/>
      <c r="FZ31" s="541"/>
      <c r="GA31" s="541"/>
      <c r="GB31" s="541"/>
      <c r="GC31" s="541"/>
      <c r="GD31" s="541"/>
      <c r="GE31" s="541"/>
      <c r="GF31" s="541"/>
      <c r="GG31" s="541"/>
      <c r="GH31" s="541"/>
      <c r="GI31" s="541"/>
      <c r="GJ31" s="541"/>
      <c r="GK31" s="541"/>
      <c r="GL31" s="541"/>
      <c r="GM31" s="541"/>
      <c r="GN31" s="541"/>
      <c r="GO31" s="541"/>
      <c r="GP31" s="541"/>
      <c r="GQ31" s="541"/>
      <c r="GR31" s="541"/>
      <c r="GS31" s="541"/>
      <c r="GT31" s="541"/>
      <c r="GU31" s="541"/>
      <c r="GV31" s="541"/>
      <c r="GW31" s="541"/>
      <c r="GX31" s="541"/>
      <c r="GY31" s="541"/>
      <c r="GZ31" s="541"/>
      <c r="HA31" s="541"/>
      <c r="HB31" s="541"/>
      <c r="HC31" s="541"/>
      <c r="HD31" s="541"/>
      <c r="HE31" s="541"/>
      <c r="HF31" s="541"/>
      <c r="HG31" s="541"/>
      <c r="HH31" s="541"/>
      <c r="HI31" s="541"/>
      <c r="HJ31" s="541"/>
      <c r="HK31" s="541"/>
      <c r="HL31" s="541"/>
      <c r="HM31" s="541"/>
      <c r="HN31" s="541"/>
      <c r="HO31" s="541"/>
      <c r="HP31" s="541"/>
      <c r="HQ31" s="541"/>
      <c r="HR31" s="541"/>
      <c r="HS31" s="541"/>
      <c r="HT31" s="541"/>
      <c r="HU31" s="541"/>
      <c r="HV31" s="541"/>
      <c r="HW31" s="541"/>
      <c r="HX31" s="541"/>
      <c r="HY31" s="541"/>
      <c r="HZ31" s="541"/>
      <c r="IA31" s="541"/>
      <c r="IB31" s="541"/>
      <c r="IC31" s="541"/>
      <c r="ID31" s="541"/>
      <c r="IE31" s="541"/>
      <c r="IF31" s="541"/>
      <c r="IG31" s="541"/>
      <c r="IH31" s="541"/>
      <c r="II31" s="541"/>
      <c r="IJ31" s="541"/>
      <c r="IK31" s="541"/>
      <c r="IL31" s="541"/>
      <c r="IM31" s="541"/>
      <c r="IN31" s="541"/>
      <c r="IO31" s="541"/>
      <c r="IP31" s="541"/>
      <c r="IQ31" s="541"/>
      <c r="IR31" s="541"/>
      <c r="IS31" s="541"/>
    </row>
    <row r="32" spans="1:253" s="542" customFormat="1">
      <c r="A32" s="215" t="s">
        <v>635</v>
      </c>
      <c r="B32" s="416">
        <f>'Sources and Uses Budget'!$C31</f>
        <v>1710160</v>
      </c>
      <c r="C32" s="416">
        <f>'Sources and Uses Budget'!$C31</f>
        <v>1710160</v>
      </c>
      <c r="D32" s="420">
        <f t="shared" si="0"/>
        <v>0</v>
      </c>
      <c r="E32" s="418"/>
      <c r="F32" s="417"/>
      <c r="G32" s="546"/>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41"/>
      <c r="AO32" s="541"/>
      <c r="AP32" s="541"/>
      <c r="AQ32" s="541"/>
      <c r="AR32" s="541"/>
      <c r="AS32" s="541"/>
      <c r="AT32" s="541"/>
      <c r="AU32" s="541"/>
      <c r="AV32" s="541"/>
      <c r="AW32" s="541"/>
      <c r="AX32" s="541"/>
      <c r="AY32" s="541"/>
      <c r="AZ32" s="541"/>
      <c r="BA32" s="541"/>
      <c r="BB32" s="541"/>
      <c r="BC32" s="541"/>
      <c r="BD32" s="541"/>
      <c r="BE32" s="541"/>
      <c r="BF32" s="541"/>
      <c r="BG32" s="541"/>
      <c r="BH32" s="541"/>
      <c r="BI32" s="541"/>
      <c r="BJ32" s="541"/>
      <c r="BK32" s="541"/>
      <c r="BL32" s="541"/>
      <c r="BM32" s="541"/>
      <c r="BN32" s="541"/>
      <c r="BO32" s="541"/>
      <c r="BP32" s="541"/>
      <c r="BQ32" s="541"/>
      <c r="BR32" s="541"/>
      <c r="BS32" s="541"/>
      <c r="BT32" s="541"/>
      <c r="BU32" s="541"/>
      <c r="BV32" s="541"/>
      <c r="BW32" s="541"/>
      <c r="BX32" s="541"/>
      <c r="BY32" s="541"/>
      <c r="BZ32" s="541"/>
      <c r="CA32" s="541"/>
      <c r="CB32" s="541"/>
      <c r="CC32" s="541"/>
      <c r="CD32" s="541"/>
      <c r="CE32" s="541"/>
      <c r="CF32" s="541"/>
      <c r="CG32" s="541"/>
      <c r="CH32" s="541"/>
      <c r="CI32" s="541"/>
      <c r="CJ32" s="541"/>
      <c r="CK32" s="541"/>
      <c r="CL32" s="541"/>
      <c r="CM32" s="541"/>
      <c r="CN32" s="541"/>
      <c r="CO32" s="541"/>
      <c r="CP32" s="541"/>
      <c r="CQ32" s="541"/>
      <c r="CR32" s="541"/>
      <c r="CS32" s="541"/>
      <c r="CT32" s="541"/>
      <c r="CU32" s="541"/>
      <c r="CV32" s="541"/>
      <c r="CW32" s="541"/>
      <c r="CX32" s="541"/>
      <c r="CY32" s="541"/>
      <c r="CZ32" s="541"/>
      <c r="DA32" s="541"/>
      <c r="DB32" s="541"/>
      <c r="DC32" s="541"/>
      <c r="DD32" s="541"/>
      <c r="DE32" s="541"/>
      <c r="DF32" s="541"/>
      <c r="DG32" s="541"/>
      <c r="DH32" s="541"/>
      <c r="DI32" s="541"/>
      <c r="DJ32" s="541"/>
      <c r="DK32" s="541"/>
      <c r="DL32" s="541"/>
      <c r="DM32" s="541"/>
      <c r="DN32" s="541"/>
      <c r="DO32" s="541"/>
      <c r="DP32" s="541"/>
      <c r="DQ32" s="541"/>
      <c r="DR32" s="541"/>
      <c r="DS32" s="541"/>
      <c r="DT32" s="541"/>
      <c r="DU32" s="541"/>
      <c r="DV32" s="541"/>
      <c r="DW32" s="541"/>
      <c r="DX32" s="541"/>
      <c r="DY32" s="541"/>
      <c r="DZ32" s="541"/>
      <c r="EA32" s="541"/>
      <c r="EB32" s="541"/>
      <c r="EC32" s="541"/>
      <c r="ED32" s="541"/>
      <c r="EE32" s="541"/>
      <c r="EF32" s="541"/>
      <c r="EG32" s="541"/>
      <c r="EH32" s="541"/>
      <c r="EI32" s="541"/>
      <c r="EJ32" s="541"/>
      <c r="EK32" s="541"/>
      <c r="EL32" s="541"/>
      <c r="EM32" s="541"/>
      <c r="EN32" s="541"/>
      <c r="EO32" s="541"/>
      <c r="EP32" s="541"/>
      <c r="EQ32" s="541"/>
      <c r="ER32" s="541"/>
      <c r="ES32" s="541"/>
      <c r="ET32" s="541"/>
      <c r="EU32" s="541"/>
      <c r="EV32" s="541"/>
      <c r="EW32" s="541"/>
      <c r="EX32" s="541"/>
      <c r="EY32" s="541"/>
      <c r="EZ32" s="541"/>
      <c r="FA32" s="541"/>
      <c r="FB32" s="541"/>
      <c r="FC32" s="541"/>
      <c r="FD32" s="541"/>
      <c r="FE32" s="541"/>
      <c r="FF32" s="541"/>
      <c r="FG32" s="541"/>
      <c r="FH32" s="541"/>
      <c r="FI32" s="541"/>
      <c r="FJ32" s="541"/>
      <c r="FK32" s="541"/>
      <c r="FL32" s="541"/>
      <c r="FM32" s="541"/>
      <c r="FN32" s="541"/>
      <c r="FO32" s="541"/>
      <c r="FP32" s="541"/>
      <c r="FQ32" s="541"/>
      <c r="FR32" s="541"/>
      <c r="FS32" s="541"/>
      <c r="FT32" s="541"/>
      <c r="FU32" s="541"/>
      <c r="FV32" s="541"/>
      <c r="FW32" s="541"/>
      <c r="FX32" s="541"/>
      <c r="FY32" s="541"/>
      <c r="FZ32" s="541"/>
      <c r="GA32" s="541"/>
      <c r="GB32" s="541"/>
      <c r="GC32" s="541"/>
      <c r="GD32" s="541"/>
      <c r="GE32" s="541"/>
      <c r="GF32" s="541"/>
      <c r="GG32" s="541"/>
      <c r="GH32" s="541"/>
      <c r="GI32" s="541"/>
      <c r="GJ32" s="541"/>
      <c r="GK32" s="541"/>
      <c r="GL32" s="541"/>
      <c r="GM32" s="541"/>
      <c r="GN32" s="541"/>
      <c r="GO32" s="541"/>
      <c r="GP32" s="541"/>
      <c r="GQ32" s="541"/>
      <c r="GR32" s="541"/>
      <c r="GS32" s="541"/>
      <c r="GT32" s="541"/>
      <c r="GU32" s="541"/>
      <c r="GV32" s="541"/>
      <c r="GW32" s="541"/>
      <c r="GX32" s="541"/>
      <c r="GY32" s="541"/>
      <c r="GZ32" s="541"/>
      <c r="HA32" s="541"/>
      <c r="HB32" s="541"/>
      <c r="HC32" s="541"/>
      <c r="HD32" s="541"/>
      <c r="HE32" s="541"/>
      <c r="HF32" s="541"/>
      <c r="HG32" s="541"/>
      <c r="HH32" s="541"/>
      <c r="HI32" s="541"/>
      <c r="HJ32" s="541"/>
      <c r="HK32" s="541"/>
      <c r="HL32" s="541"/>
      <c r="HM32" s="541"/>
      <c r="HN32" s="541"/>
      <c r="HO32" s="541"/>
      <c r="HP32" s="541"/>
      <c r="HQ32" s="541"/>
      <c r="HR32" s="541"/>
      <c r="HS32" s="541"/>
      <c r="HT32" s="541"/>
      <c r="HU32" s="541"/>
      <c r="HV32" s="541"/>
      <c r="HW32" s="541"/>
      <c r="HX32" s="541"/>
      <c r="HY32" s="541"/>
      <c r="HZ32" s="541"/>
      <c r="IA32" s="541"/>
      <c r="IB32" s="541"/>
      <c r="IC32" s="541"/>
      <c r="ID32" s="541"/>
      <c r="IE32" s="541"/>
      <c r="IF32" s="541"/>
      <c r="IG32" s="541"/>
      <c r="IH32" s="541"/>
      <c r="II32" s="541"/>
      <c r="IJ32" s="541"/>
      <c r="IK32" s="541"/>
      <c r="IL32" s="541"/>
      <c r="IM32" s="541"/>
      <c r="IN32" s="541"/>
      <c r="IO32" s="541"/>
      <c r="IP32" s="541"/>
      <c r="IQ32" s="541"/>
      <c r="IR32" s="541"/>
      <c r="IS32" s="541"/>
    </row>
    <row r="33" spans="1:253" s="542" customFormat="1">
      <c r="A33" s="215" t="s">
        <v>142</v>
      </c>
      <c r="B33" s="416">
        <f>'Sources and Uses Budget'!$C32</f>
        <v>3416720</v>
      </c>
      <c r="C33" s="416">
        <f>'Sources and Uses Budget'!$C32</f>
        <v>3416720</v>
      </c>
      <c r="D33" s="420">
        <f t="shared" si="0"/>
        <v>0</v>
      </c>
      <c r="E33" s="418"/>
      <c r="F33" s="417"/>
      <c r="G33" s="546"/>
      <c r="H33" s="541"/>
      <c r="I33" s="541"/>
      <c r="J33" s="541"/>
      <c r="K33" s="541"/>
      <c r="L33" s="541"/>
      <c r="M33" s="541"/>
      <c r="N33" s="541"/>
      <c r="O33" s="541"/>
      <c r="P33" s="541"/>
      <c r="Q33" s="541"/>
      <c r="R33" s="541"/>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541"/>
      <c r="BO33" s="541"/>
      <c r="BP33" s="541"/>
      <c r="BQ33" s="541"/>
      <c r="BR33" s="541"/>
      <c r="BS33" s="541"/>
      <c r="BT33" s="541"/>
      <c r="BU33" s="541"/>
      <c r="BV33" s="541"/>
      <c r="BW33" s="541"/>
      <c r="BX33" s="541"/>
      <c r="BY33" s="541"/>
      <c r="BZ33" s="541"/>
      <c r="CA33" s="541"/>
      <c r="CB33" s="541"/>
      <c r="CC33" s="541"/>
      <c r="CD33" s="541"/>
      <c r="CE33" s="541"/>
      <c r="CF33" s="541"/>
      <c r="CG33" s="541"/>
      <c r="CH33" s="541"/>
      <c r="CI33" s="541"/>
      <c r="CJ33" s="541"/>
      <c r="CK33" s="541"/>
      <c r="CL33" s="541"/>
      <c r="CM33" s="541"/>
      <c r="CN33" s="541"/>
      <c r="CO33" s="541"/>
      <c r="CP33" s="541"/>
      <c r="CQ33" s="541"/>
      <c r="CR33" s="541"/>
      <c r="CS33" s="541"/>
      <c r="CT33" s="541"/>
      <c r="CU33" s="541"/>
      <c r="CV33" s="541"/>
      <c r="CW33" s="541"/>
      <c r="CX33" s="541"/>
      <c r="CY33" s="541"/>
      <c r="CZ33" s="541"/>
      <c r="DA33" s="541"/>
      <c r="DB33" s="541"/>
      <c r="DC33" s="541"/>
      <c r="DD33" s="541"/>
      <c r="DE33" s="541"/>
      <c r="DF33" s="541"/>
      <c r="DG33" s="541"/>
      <c r="DH33" s="541"/>
      <c r="DI33" s="541"/>
      <c r="DJ33" s="541"/>
      <c r="DK33" s="541"/>
      <c r="DL33" s="541"/>
      <c r="DM33" s="541"/>
      <c r="DN33" s="541"/>
      <c r="DO33" s="541"/>
      <c r="DP33" s="541"/>
      <c r="DQ33" s="541"/>
      <c r="DR33" s="541"/>
      <c r="DS33" s="541"/>
      <c r="DT33" s="541"/>
      <c r="DU33" s="541"/>
      <c r="DV33" s="541"/>
      <c r="DW33" s="541"/>
      <c r="DX33" s="541"/>
      <c r="DY33" s="541"/>
      <c r="DZ33" s="541"/>
      <c r="EA33" s="541"/>
      <c r="EB33" s="541"/>
      <c r="EC33" s="541"/>
      <c r="ED33" s="541"/>
      <c r="EE33" s="541"/>
      <c r="EF33" s="541"/>
      <c r="EG33" s="541"/>
      <c r="EH33" s="541"/>
      <c r="EI33" s="541"/>
      <c r="EJ33" s="541"/>
      <c r="EK33" s="541"/>
      <c r="EL33" s="541"/>
      <c r="EM33" s="541"/>
      <c r="EN33" s="541"/>
      <c r="EO33" s="541"/>
      <c r="EP33" s="541"/>
      <c r="EQ33" s="541"/>
      <c r="ER33" s="541"/>
      <c r="ES33" s="541"/>
      <c r="ET33" s="541"/>
      <c r="EU33" s="541"/>
      <c r="EV33" s="541"/>
      <c r="EW33" s="541"/>
      <c r="EX33" s="541"/>
      <c r="EY33" s="541"/>
      <c r="EZ33" s="541"/>
      <c r="FA33" s="541"/>
      <c r="FB33" s="541"/>
      <c r="FC33" s="541"/>
      <c r="FD33" s="541"/>
      <c r="FE33" s="541"/>
      <c r="FF33" s="541"/>
      <c r="FG33" s="541"/>
      <c r="FH33" s="541"/>
      <c r="FI33" s="541"/>
      <c r="FJ33" s="541"/>
      <c r="FK33" s="541"/>
      <c r="FL33" s="541"/>
      <c r="FM33" s="541"/>
      <c r="FN33" s="541"/>
      <c r="FO33" s="541"/>
      <c r="FP33" s="541"/>
      <c r="FQ33" s="541"/>
      <c r="FR33" s="541"/>
      <c r="FS33" s="541"/>
      <c r="FT33" s="541"/>
      <c r="FU33" s="541"/>
      <c r="FV33" s="541"/>
      <c r="FW33" s="541"/>
      <c r="FX33" s="541"/>
      <c r="FY33" s="541"/>
      <c r="FZ33" s="541"/>
      <c r="GA33" s="541"/>
      <c r="GB33" s="541"/>
      <c r="GC33" s="541"/>
      <c r="GD33" s="541"/>
      <c r="GE33" s="541"/>
      <c r="GF33" s="541"/>
      <c r="GG33" s="541"/>
      <c r="GH33" s="541"/>
      <c r="GI33" s="541"/>
      <c r="GJ33" s="541"/>
      <c r="GK33" s="541"/>
      <c r="GL33" s="541"/>
      <c r="GM33" s="541"/>
      <c r="GN33" s="541"/>
      <c r="GO33" s="541"/>
      <c r="GP33" s="541"/>
      <c r="GQ33" s="541"/>
      <c r="GR33" s="541"/>
      <c r="GS33" s="541"/>
      <c r="GT33" s="541"/>
      <c r="GU33" s="541"/>
      <c r="GV33" s="541"/>
      <c r="GW33" s="541"/>
      <c r="GX33" s="541"/>
      <c r="GY33" s="541"/>
      <c r="GZ33" s="541"/>
      <c r="HA33" s="541"/>
      <c r="HB33" s="541"/>
      <c r="HC33" s="541"/>
      <c r="HD33" s="541"/>
      <c r="HE33" s="541"/>
      <c r="HF33" s="541"/>
      <c r="HG33" s="541"/>
      <c r="HH33" s="541"/>
      <c r="HI33" s="541"/>
      <c r="HJ33" s="541"/>
      <c r="HK33" s="541"/>
      <c r="HL33" s="541"/>
      <c r="HM33" s="541"/>
      <c r="HN33" s="541"/>
      <c r="HO33" s="541"/>
      <c r="HP33" s="541"/>
      <c r="HQ33" s="541"/>
      <c r="HR33" s="541"/>
      <c r="HS33" s="541"/>
      <c r="HT33" s="541"/>
      <c r="HU33" s="541"/>
      <c r="HV33" s="541"/>
      <c r="HW33" s="541"/>
      <c r="HX33" s="541"/>
      <c r="HY33" s="541"/>
      <c r="HZ33" s="541"/>
      <c r="IA33" s="541"/>
      <c r="IB33" s="541"/>
      <c r="IC33" s="541"/>
      <c r="ID33" s="541"/>
      <c r="IE33" s="541"/>
      <c r="IF33" s="541"/>
      <c r="IG33" s="541"/>
      <c r="IH33" s="541"/>
      <c r="II33" s="541"/>
      <c r="IJ33" s="541"/>
      <c r="IK33" s="541"/>
      <c r="IL33" s="541"/>
      <c r="IM33" s="541"/>
      <c r="IN33" s="541"/>
      <c r="IO33" s="541"/>
      <c r="IP33" s="541"/>
      <c r="IQ33" s="541"/>
      <c r="IR33" s="541"/>
      <c r="IS33" s="541"/>
    </row>
    <row r="34" spans="1:253" s="542" customFormat="1">
      <c r="A34" s="215" t="s">
        <v>143</v>
      </c>
      <c r="B34" s="416">
        <f>'Sources and Uses Budget'!$C33</f>
        <v>0</v>
      </c>
      <c r="C34" s="416">
        <f>'Sources and Uses Budget'!$C33</f>
        <v>0</v>
      </c>
      <c r="D34" s="420">
        <f t="shared" si="0"/>
        <v>0</v>
      </c>
      <c r="E34" s="418"/>
      <c r="F34" s="417"/>
      <c r="G34" s="546"/>
      <c r="H34" s="541"/>
      <c r="I34" s="541"/>
      <c r="J34" s="541"/>
      <c r="K34" s="541"/>
      <c r="L34" s="541"/>
      <c r="M34" s="541"/>
      <c r="N34" s="541"/>
      <c r="O34" s="541"/>
      <c r="P34" s="541"/>
      <c r="Q34" s="541"/>
      <c r="R34" s="541"/>
      <c r="S34" s="541"/>
      <c r="T34" s="541"/>
      <c r="U34" s="541"/>
      <c r="V34" s="541"/>
      <c r="W34" s="541"/>
      <c r="X34" s="541"/>
      <c r="Y34" s="541"/>
      <c r="Z34" s="541"/>
      <c r="AA34" s="541"/>
      <c r="AB34" s="541"/>
      <c r="AC34" s="541"/>
      <c r="AD34" s="541"/>
      <c r="AE34" s="541"/>
      <c r="AF34" s="541"/>
      <c r="AG34" s="541"/>
      <c r="AH34" s="541"/>
      <c r="AI34" s="541"/>
      <c r="AJ34" s="541"/>
      <c r="AK34" s="541"/>
      <c r="AL34" s="541"/>
      <c r="AM34" s="541"/>
      <c r="AN34" s="541"/>
      <c r="AO34" s="541"/>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541"/>
      <c r="BL34" s="541"/>
      <c r="BM34" s="541"/>
      <c r="BN34" s="541"/>
      <c r="BO34" s="541"/>
      <c r="BP34" s="541"/>
      <c r="BQ34" s="541"/>
      <c r="BR34" s="541"/>
      <c r="BS34" s="541"/>
      <c r="BT34" s="541"/>
      <c r="BU34" s="541"/>
      <c r="BV34" s="541"/>
      <c r="BW34" s="541"/>
      <c r="BX34" s="541"/>
      <c r="BY34" s="541"/>
      <c r="BZ34" s="541"/>
      <c r="CA34" s="541"/>
      <c r="CB34" s="541"/>
      <c r="CC34" s="541"/>
      <c r="CD34" s="541"/>
      <c r="CE34" s="541"/>
      <c r="CF34" s="541"/>
      <c r="CG34" s="541"/>
      <c r="CH34" s="541"/>
      <c r="CI34" s="541"/>
      <c r="CJ34" s="541"/>
      <c r="CK34" s="541"/>
      <c r="CL34" s="541"/>
      <c r="CM34" s="541"/>
      <c r="CN34" s="541"/>
      <c r="CO34" s="541"/>
      <c r="CP34" s="541"/>
      <c r="CQ34" s="541"/>
      <c r="CR34" s="541"/>
      <c r="CS34" s="541"/>
      <c r="CT34" s="541"/>
      <c r="CU34" s="541"/>
      <c r="CV34" s="541"/>
      <c r="CW34" s="541"/>
      <c r="CX34" s="541"/>
      <c r="CY34" s="541"/>
      <c r="CZ34" s="541"/>
      <c r="DA34" s="541"/>
      <c r="DB34" s="541"/>
      <c r="DC34" s="541"/>
      <c r="DD34" s="541"/>
      <c r="DE34" s="541"/>
      <c r="DF34" s="541"/>
      <c r="DG34" s="541"/>
      <c r="DH34" s="541"/>
      <c r="DI34" s="541"/>
      <c r="DJ34" s="541"/>
      <c r="DK34" s="541"/>
      <c r="DL34" s="541"/>
      <c r="DM34" s="541"/>
      <c r="DN34" s="541"/>
      <c r="DO34" s="541"/>
      <c r="DP34" s="541"/>
      <c r="DQ34" s="541"/>
      <c r="DR34" s="541"/>
      <c r="DS34" s="541"/>
      <c r="DT34" s="541"/>
      <c r="DU34" s="541"/>
      <c r="DV34" s="541"/>
      <c r="DW34" s="541"/>
      <c r="DX34" s="541"/>
      <c r="DY34" s="541"/>
      <c r="DZ34" s="541"/>
      <c r="EA34" s="541"/>
      <c r="EB34" s="541"/>
      <c r="EC34" s="541"/>
      <c r="ED34" s="541"/>
      <c r="EE34" s="541"/>
      <c r="EF34" s="541"/>
      <c r="EG34" s="541"/>
      <c r="EH34" s="541"/>
      <c r="EI34" s="541"/>
      <c r="EJ34" s="541"/>
      <c r="EK34" s="541"/>
      <c r="EL34" s="541"/>
      <c r="EM34" s="541"/>
      <c r="EN34" s="541"/>
      <c r="EO34" s="541"/>
      <c r="EP34" s="541"/>
      <c r="EQ34" s="541"/>
      <c r="ER34" s="541"/>
      <c r="ES34" s="541"/>
      <c r="ET34" s="541"/>
      <c r="EU34" s="541"/>
      <c r="EV34" s="541"/>
      <c r="EW34" s="541"/>
      <c r="EX34" s="541"/>
      <c r="EY34" s="541"/>
      <c r="EZ34" s="541"/>
      <c r="FA34" s="541"/>
      <c r="FB34" s="541"/>
      <c r="FC34" s="541"/>
      <c r="FD34" s="541"/>
      <c r="FE34" s="541"/>
      <c r="FF34" s="541"/>
      <c r="FG34" s="541"/>
      <c r="FH34" s="541"/>
      <c r="FI34" s="541"/>
      <c r="FJ34" s="541"/>
      <c r="FK34" s="541"/>
      <c r="FL34" s="541"/>
      <c r="FM34" s="541"/>
      <c r="FN34" s="541"/>
      <c r="FO34" s="541"/>
      <c r="FP34" s="541"/>
      <c r="FQ34" s="541"/>
      <c r="FR34" s="541"/>
      <c r="FS34" s="541"/>
      <c r="FT34" s="541"/>
      <c r="FU34" s="541"/>
      <c r="FV34" s="541"/>
      <c r="FW34" s="541"/>
      <c r="FX34" s="541"/>
      <c r="FY34" s="541"/>
      <c r="FZ34" s="541"/>
      <c r="GA34" s="541"/>
      <c r="GB34" s="541"/>
      <c r="GC34" s="541"/>
      <c r="GD34" s="541"/>
      <c r="GE34" s="541"/>
      <c r="GF34" s="541"/>
      <c r="GG34" s="541"/>
      <c r="GH34" s="541"/>
      <c r="GI34" s="541"/>
      <c r="GJ34" s="541"/>
      <c r="GK34" s="541"/>
      <c r="GL34" s="541"/>
      <c r="GM34" s="541"/>
      <c r="GN34" s="541"/>
      <c r="GO34" s="541"/>
      <c r="GP34" s="541"/>
      <c r="GQ34" s="541"/>
      <c r="GR34" s="541"/>
      <c r="GS34" s="541"/>
      <c r="GT34" s="541"/>
      <c r="GU34" s="541"/>
      <c r="GV34" s="541"/>
      <c r="GW34" s="541"/>
      <c r="GX34" s="541"/>
      <c r="GY34" s="541"/>
      <c r="GZ34" s="541"/>
      <c r="HA34" s="541"/>
      <c r="HB34" s="541"/>
      <c r="HC34" s="541"/>
      <c r="HD34" s="541"/>
      <c r="HE34" s="541"/>
      <c r="HF34" s="541"/>
      <c r="HG34" s="541"/>
      <c r="HH34" s="541"/>
      <c r="HI34" s="541"/>
      <c r="HJ34" s="541"/>
      <c r="HK34" s="541"/>
      <c r="HL34" s="541"/>
      <c r="HM34" s="541"/>
      <c r="HN34" s="541"/>
      <c r="HO34" s="541"/>
      <c r="HP34" s="541"/>
      <c r="HQ34" s="541"/>
      <c r="HR34" s="541"/>
      <c r="HS34" s="541"/>
      <c r="HT34" s="541"/>
      <c r="HU34" s="541"/>
      <c r="HV34" s="541"/>
      <c r="HW34" s="541"/>
      <c r="HX34" s="541"/>
      <c r="HY34" s="541"/>
      <c r="HZ34" s="541"/>
      <c r="IA34" s="541"/>
      <c r="IB34" s="541"/>
      <c r="IC34" s="541"/>
      <c r="ID34" s="541"/>
      <c r="IE34" s="541"/>
      <c r="IF34" s="541"/>
      <c r="IG34" s="541"/>
      <c r="IH34" s="541"/>
      <c r="II34" s="541"/>
      <c r="IJ34" s="541"/>
      <c r="IK34" s="541"/>
      <c r="IL34" s="541"/>
      <c r="IM34" s="541"/>
      <c r="IN34" s="541"/>
      <c r="IO34" s="541"/>
      <c r="IP34" s="541"/>
      <c r="IQ34" s="541"/>
      <c r="IR34" s="541"/>
      <c r="IS34" s="541"/>
    </row>
    <row r="35" spans="1:253" s="542" customFormat="1">
      <c r="A35" s="215" t="s">
        <v>144</v>
      </c>
      <c r="B35" s="416">
        <f>'Sources and Uses Budget'!$C34</f>
        <v>0</v>
      </c>
      <c r="C35" s="416">
        <f>'Sources and Uses Budget'!$C34</f>
        <v>0</v>
      </c>
      <c r="D35" s="420">
        <f t="shared" si="0"/>
        <v>0</v>
      </c>
      <c r="E35" s="418"/>
      <c r="F35" s="417"/>
      <c r="G35" s="546"/>
      <c r="H35" s="541"/>
      <c r="I35" s="541"/>
      <c r="J35" s="541"/>
      <c r="K35" s="541"/>
      <c r="L35" s="541"/>
      <c r="M35" s="541"/>
      <c r="N35" s="541"/>
      <c r="O35" s="541"/>
      <c r="P35" s="541"/>
      <c r="Q35" s="541"/>
      <c r="R35" s="541"/>
      <c r="S35" s="541"/>
      <c r="T35" s="541"/>
      <c r="U35" s="541"/>
      <c r="V35" s="541"/>
      <c r="W35" s="541"/>
      <c r="X35" s="541"/>
      <c r="Y35" s="541"/>
      <c r="Z35" s="541"/>
      <c r="AA35" s="541"/>
      <c r="AB35" s="541"/>
      <c r="AC35" s="541"/>
      <c r="AD35" s="541"/>
      <c r="AE35" s="541"/>
      <c r="AF35" s="541"/>
      <c r="AG35" s="541"/>
      <c r="AH35" s="541"/>
      <c r="AI35" s="541"/>
      <c r="AJ35" s="541"/>
      <c r="AK35" s="541"/>
      <c r="AL35" s="541"/>
      <c r="AM35" s="541"/>
      <c r="AN35" s="541"/>
      <c r="AO35" s="541"/>
      <c r="AP35" s="541"/>
      <c r="AQ35" s="541"/>
      <c r="AR35" s="541"/>
      <c r="AS35" s="541"/>
      <c r="AT35" s="541"/>
      <c r="AU35" s="541"/>
      <c r="AV35" s="541"/>
      <c r="AW35" s="541"/>
      <c r="AX35" s="541"/>
      <c r="AY35" s="541"/>
      <c r="AZ35" s="541"/>
      <c r="BA35" s="541"/>
      <c r="BB35" s="541"/>
      <c r="BC35" s="541"/>
      <c r="BD35" s="541"/>
      <c r="BE35" s="541"/>
      <c r="BF35" s="541"/>
      <c r="BG35" s="541"/>
      <c r="BH35" s="541"/>
      <c r="BI35" s="541"/>
      <c r="BJ35" s="541"/>
      <c r="BK35" s="541"/>
      <c r="BL35" s="541"/>
      <c r="BM35" s="541"/>
      <c r="BN35" s="541"/>
      <c r="BO35" s="541"/>
      <c r="BP35" s="541"/>
      <c r="BQ35" s="541"/>
      <c r="BR35" s="541"/>
      <c r="BS35" s="541"/>
      <c r="BT35" s="541"/>
      <c r="BU35" s="541"/>
      <c r="BV35" s="541"/>
      <c r="BW35" s="541"/>
      <c r="BX35" s="541"/>
      <c r="BY35" s="541"/>
      <c r="BZ35" s="541"/>
      <c r="CA35" s="541"/>
      <c r="CB35" s="541"/>
      <c r="CC35" s="541"/>
      <c r="CD35" s="541"/>
      <c r="CE35" s="541"/>
      <c r="CF35" s="541"/>
      <c r="CG35" s="541"/>
      <c r="CH35" s="541"/>
      <c r="CI35" s="541"/>
      <c r="CJ35" s="541"/>
      <c r="CK35" s="541"/>
      <c r="CL35" s="541"/>
      <c r="CM35" s="541"/>
      <c r="CN35" s="541"/>
      <c r="CO35" s="541"/>
      <c r="CP35" s="541"/>
      <c r="CQ35" s="541"/>
      <c r="CR35" s="541"/>
      <c r="CS35" s="541"/>
      <c r="CT35" s="541"/>
      <c r="CU35" s="541"/>
      <c r="CV35" s="541"/>
      <c r="CW35" s="541"/>
      <c r="CX35" s="541"/>
      <c r="CY35" s="541"/>
      <c r="CZ35" s="541"/>
      <c r="DA35" s="541"/>
      <c r="DB35" s="541"/>
      <c r="DC35" s="541"/>
      <c r="DD35" s="541"/>
      <c r="DE35" s="541"/>
      <c r="DF35" s="541"/>
      <c r="DG35" s="541"/>
      <c r="DH35" s="541"/>
      <c r="DI35" s="541"/>
      <c r="DJ35" s="541"/>
      <c r="DK35" s="541"/>
      <c r="DL35" s="541"/>
      <c r="DM35" s="541"/>
      <c r="DN35" s="541"/>
      <c r="DO35" s="541"/>
      <c r="DP35" s="541"/>
      <c r="DQ35" s="541"/>
      <c r="DR35" s="541"/>
      <c r="DS35" s="541"/>
      <c r="DT35" s="541"/>
      <c r="DU35" s="541"/>
      <c r="DV35" s="541"/>
      <c r="DW35" s="541"/>
      <c r="DX35" s="541"/>
      <c r="DY35" s="541"/>
      <c r="DZ35" s="541"/>
      <c r="EA35" s="541"/>
      <c r="EB35" s="541"/>
      <c r="EC35" s="541"/>
      <c r="ED35" s="541"/>
      <c r="EE35" s="541"/>
      <c r="EF35" s="541"/>
      <c r="EG35" s="541"/>
      <c r="EH35" s="541"/>
      <c r="EI35" s="541"/>
      <c r="EJ35" s="541"/>
      <c r="EK35" s="541"/>
      <c r="EL35" s="541"/>
      <c r="EM35" s="541"/>
      <c r="EN35" s="541"/>
      <c r="EO35" s="541"/>
      <c r="EP35" s="541"/>
      <c r="EQ35" s="541"/>
      <c r="ER35" s="541"/>
      <c r="ES35" s="541"/>
      <c r="ET35" s="541"/>
      <c r="EU35" s="541"/>
      <c r="EV35" s="541"/>
      <c r="EW35" s="541"/>
      <c r="EX35" s="541"/>
      <c r="EY35" s="541"/>
      <c r="EZ35" s="541"/>
      <c r="FA35" s="541"/>
      <c r="FB35" s="541"/>
      <c r="FC35" s="541"/>
      <c r="FD35" s="541"/>
      <c r="FE35" s="541"/>
      <c r="FF35" s="541"/>
      <c r="FG35" s="541"/>
      <c r="FH35" s="541"/>
      <c r="FI35" s="541"/>
      <c r="FJ35" s="541"/>
      <c r="FK35" s="541"/>
      <c r="FL35" s="541"/>
      <c r="FM35" s="541"/>
      <c r="FN35" s="541"/>
      <c r="FO35" s="541"/>
      <c r="FP35" s="541"/>
      <c r="FQ35" s="541"/>
      <c r="FR35" s="541"/>
      <c r="FS35" s="541"/>
      <c r="FT35" s="541"/>
      <c r="FU35" s="541"/>
      <c r="FV35" s="541"/>
      <c r="FW35" s="541"/>
      <c r="FX35" s="541"/>
      <c r="FY35" s="541"/>
      <c r="FZ35" s="541"/>
      <c r="GA35" s="541"/>
      <c r="GB35" s="541"/>
      <c r="GC35" s="541"/>
      <c r="GD35" s="541"/>
      <c r="GE35" s="541"/>
      <c r="GF35" s="541"/>
      <c r="GG35" s="541"/>
      <c r="GH35" s="541"/>
      <c r="GI35" s="541"/>
      <c r="GJ35" s="541"/>
      <c r="GK35" s="541"/>
      <c r="GL35" s="541"/>
      <c r="GM35" s="541"/>
      <c r="GN35" s="541"/>
      <c r="GO35" s="541"/>
      <c r="GP35" s="541"/>
      <c r="GQ35" s="541"/>
      <c r="GR35" s="541"/>
      <c r="GS35" s="541"/>
      <c r="GT35" s="541"/>
      <c r="GU35" s="541"/>
      <c r="GV35" s="541"/>
      <c r="GW35" s="541"/>
      <c r="GX35" s="541"/>
      <c r="GY35" s="541"/>
      <c r="GZ35" s="541"/>
      <c r="HA35" s="541"/>
      <c r="HB35" s="541"/>
      <c r="HC35" s="541"/>
      <c r="HD35" s="541"/>
      <c r="HE35" s="541"/>
      <c r="HF35" s="541"/>
      <c r="HG35" s="541"/>
      <c r="HH35" s="541"/>
      <c r="HI35" s="541"/>
      <c r="HJ35" s="541"/>
      <c r="HK35" s="541"/>
      <c r="HL35" s="541"/>
      <c r="HM35" s="541"/>
      <c r="HN35" s="541"/>
      <c r="HO35" s="541"/>
      <c r="HP35" s="541"/>
      <c r="HQ35" s="541"/>
      <c r="HR35" s="541"/>
      <c r="HS35" s="541"/>
      <c r="HT35" s="541"/>
      <c r="HU35" s="541"/>
      <c r="HV35" s="541"/>
      <c r="HW35" s="541"/>
      <c r="HX35" s="541"/>
      <c r="HY35" s="541"/>
      <c r="HZ35" s="541"/>
      <c r="IA35" s="541"/>
      <c r="IB35" s="541"/>
      <c r="IC35" s="541"/>
      <c r="ID35" s="541"/>
      <c r="IE35" s="541"/>
      <c r="IF35" s="541"/>
      <c r="IG35" s="541"/>
      <c r="IH35" s="541"/>
      <c r="II35" s="541"/>
      <c r="IJ35" s="541"/>
      <c r="IK35" s="541"/>
      <c r="IL35" s="541"/>
      <c r="IM35" s="541"/>
      <c r="IN35" s="541"/>
      <c r="IO35" s="541"/>
      <c r="IP35" s="541"/>
      <c r="IQ35" s="541"/>
      <c r="IR35" s="541"/>
      <c r="IS35" s="541"/>
    </row>
    <row r="36" spans="1:253" s="542" customFormat="1">
      <c r="A36" s="215" t="s">
        <v>145</v>
      </c>
      <c r="B36" s="416">
        <f>'Sources and Uses Budget'!$C35</f>
        <v>1088188</v>
      </c>
      <c r="C36" s="416">
        <f>'Sources and Uses Budget'!$C35</f>
        <v>1088188</v>
      </c>
      <c r="D36" s="420">
        <f t="shared" si="0"/>
        <v>0</v>
      </c>
      <c r="E36" s="418"/>
      <c r="F36" s="417"/>
      <c r="G36" s="546"/>
      <c r="H36" s="541"/>
      <c r="I36" s="541"/>
      <c r="J36" s="541"/>
      <c r="K36" s="541"/>
      <c r="L36" s="541"/>
      <c r="M36" s="541"/>
      <c r="N36" s="541"/>
      <c r="O36" s="541"/>
      <c r="P36" s="541"/>
      <c r="Q36" s="541"/>
      <c r="R36" s="541"/>
      <c r="S36" s="541"/>
      <c r="T36" s="541"/>
      <c r="U36" s="541"/>
      <c r="V36" s="541"/>
      <c r="W36" s="541"/>
      <c r="X36" s="541"/>
      <c r="Y36" s="541"/>
      <c r="Z36" s="541"/>
      <c r="AA36" s="541"/>
      <c r="AB36" s="541"/>
      <c r="AC36" s="541"/>
      <c r="AD36" s="541"/>
      <c r="AE36" s="541"/>
      <c r="AF36" s="541"/>
      <c r="AG36" s="541"/>
      <c r="AH36" s="541"/>
      <c r="AI36" s="541"/>
      <c r="AJ36" s="541"/>
      <c r="AK36" s="541"/>
      <c r="AL36" s="541"/>
      <c r="AM36" s="541"/>
      <c r="AN36" s="541"/>
      <c r="AO36" s="541"/>
      <c r="AP36" s="541"/>
      <c r="AQ36" s="541"/>
      <c r="AR36" s="541"/>
      <c r="AS36" s="541"/>
      <c r="AT36" s="541"/>
      <c r="AU36" s="541"/>
      <c r="AV36" s="541"/>
      <c r="AW36" s="541"/>
      <c r="AX36" s="541"/>
      <c r="AY36" s="541"/>
      <c r="AZ36" s="541"/>
      <c r="BA36" s="541"/>
      <c r="BB36" s="541"/>
      <c r="BC36" s="541"/>
      <c r="BD36" s="541"/>
      <c r="BE36" s="541"/>
      <c r="BF36" s="541"/>
      <c r="BG36" s="541"/>
      <c r="BH36" s="541"/>
      <c r="BI36" s="541"/>
      <c r="BJ36" s="541"/>
      <c r="BK36" s="541"/>
      <c r="BL36" s="541"/>
      <c r="BM36" s="541"/>
      <c r="BN36" s="541"/>
      <c r="BO36" s="541"/>
      <c r="BP36" s="541"/>
      <c r="BQ36" s="541"/>
      <c r="BR36" s="541"/>
      <c r="BS36" s="541"/>
      <c r="BT36" s="541"/>
      <c r="BU36" s="541"/>
      <c r="BV36" s="541"/>
      <c r="BW36" s="541"/>
      <c r="BX36" s="541"/>
      <c r="BY36" s="541"/>
      <c r="BZ36" s="541"/>
      <c r="CA36" s="541"/>
      <c r="CB36" s="541"/>
      <c r="CC36" s="541"/>
      <c r="CD36" s="541"/>
      <c r="CE36" s="541"/>
      <c r="CF36" s="541"/>
      <c r="CG36" s="541"/>
      <c r="CH36" s="541"/>
      <c r="CI36" s="541"/>
      <c r="CJ36" s="541"/>
      <c r="CK36" s="541"/>
      <c r="CL36" s="541"/>
      <c r="CM36" s="541"/>
      <c r="CN36" s="541"/>
      <c r="CO36" s="541"/>
      <c r="CP36" s="541"/>
      <c r="CQ36" s="541"/>
      <c r="CR36" s="541"/>
      <c r="CS36" s="541"/>
      <c r="CT36" s="541"/>
      <c r="CU36" s="541"/>
      <c r="CV36" s="541"/>
      <c r="CW36" s="541"/>
      <c r="CX36" s="541"/>
      <c r="CY36" s="541"/>
      <c r="CZ36" s="541"/>
      <c r="DA36" s="541"/>
      <c r="DB36" s="541"/>
      <c r="DC36" s="541"/>
      <c r="DD36" s="541"/>
      <c r="DE36" s="541"/>
      <c r="DF36" s="541"/>
      <c r="DG36" s="541"/>
      <c r="DH36" s="541"/>
      <c r="DI36" s="541"/>
      <c r="DJ36" s="541"/>
      <c r="DK36" s="541"/>
      <c r="DL36" s="541"/>
      <c r="DM36" s="541"/>
      <c r="DN36" s="541"/>
      <c r="DO36" s="541"/>
      <c r="DP36" s="541"/>
      <c r="DQ36" s="541"/>
      <c r="DR36" s="541"/>
      <c r="DS36" s="541"/>
      <c r="DT36" s="541"/>
      <c r="DU36" s="541"/>
      <c r="DV36" s="541"/>
      <c r="DW36" s="541"/>
      <c r="DX36" s="541"/>
      <c r="DY36" s="541"/>
      <c r="DZ36" s="541"/>
      <c r="EA36" s="541"/>
      <c r="EB36" s="541"/>
      <c r="EC36" s="541"/>
      <c r="ED36" s="541"/>
      <c r="EE36" s="541"/>
      <c r="EF36" s="541"/>
      <c r="EG36" s="541"/>
      <c r="EH36" s="541"/>
      <c r="EI36" s="541"/>
      <c r="EJ36" s="541"/>
      <c r="EK36" s="541"/>
      <c r="EL36" s="541"/>
      <c r="EM36" s="541"/>
      <c r="EN36" s="541"/>
      <c r="EO36" s="541"/>
      <c r="EP36" s="541"/>
      <c r="EQ36" s="541"/>
      <c r="ER36" s="541"/>
      <c r="ES36" s="541"/>
      <c r="ET36" s="541"/>
      <c r="EU36" s="541"/>
      <c r="EV36" s="541"/>
      <c r="EW36" s="541"/>
      <c r="EX36" s="541"/>
      <c r="EY36" s="541"/>
      <c r="EZ36" s="541"/>
      <c r="FA36" s="541"/>
      <c r="FB36" s="541"/>
      <c r="FC36" s="541"/>
      <c r="FD36" s="541"/>
      <c r="FE36" s="541"/>
      <c r="FF36" s="541"/>
      <c r="FG36" s="541"/>
      <c r="FH36" s="541"/>
      <c r="FI36" s="541"/>
      <c r="FJ36" s="541"/>
      <c r="FK36" s="541"/>
      <c r="FL36" s="541"/>
      <c r="FM36" s="541"/>
      <c r="FN36" s="541"/>
      <c r="FO36" s="541"/>
      <c r="FP36" s="541"/>
      <c r="FQ36" s="541"/>
      <c r="FR36" s="541"/>
      <c r="FS36" s="541"/>
      <c r="FT36" s="541"/>
      <c r="FU36" s="541"/>
      <c r="FV36" s="541"/>
      <c r="FW36" s="541"/>
      <c r="FX36" s="541"/>
      <c r="FY36" s="541"/>
      <c r="FZ36" s="541"/>
      <c r="GA36" s="541"/>
      <c r="GB36" s="541"/>
      <c r="GC36" s="541"/>
      <c r="GD36" s="541"/>
      <c r="GE36" s="541"/>
      <c r="GF36" s="541"/>
      <c r="GG36" s="541"/>
      <c r="GH36" s="541"/>
      <c r="GI36" s="541"/>
      <c r="GJ36" s="541"/>
      <c r="GK36" s="541"/>
      <c r="GL36" s="541"/>
      <c r="GM36" s="541"/>
      <c r="GN36" s="541"/>
      <c r="GO36" s="541"/>
      <c r="GP36" s="541"/>
      <c r="GQ36" s="541"/>
      <c r="GR36" s="541"/>
      <c r="GS36" s="541"/>
      <c r="GT36" s="541"/>
      <c r="GU36" s="541"/>
      <c r="GV36" s="541"/>
      <c r="GW36" s="541"/>
      <c r="GX36" s="541"/>
      <c r="GY36" s="541"/>
      <c r="GZ36" s="541"/>
      <c r="HA36" s="541"/>
      <c r="HB36" s="541"/>
      <c r="HC36" s="541"/>
      <c r="HD36" s="541"/>
      <c r="HE36" s="541"/>
      <c r="HF36" s="541"/>
      <c r="HG36" s="541"/>
      <c r="HH36" s="541"/>
      <c r="HI36" s="541"/>
      <c r="HJ36" s="541"/>
      <c r="HK36" s="541"/>
      <c r="HL36" s="541"/>
      <c r="HM36" s="541"/>
      <c r="HN36" s="541"/>
      <c r="HO36" s="541"/>
      <c r="HP36" s="541"/>
      <c r="HQ36" s="541"/>
      <c r="HR36" s="541"/>
      <c r="HS36" s="541"/>
      <c r="HT36" s="541"/>
      <c r="HU36" s="541"/>
      <c r="HV36" s="541"/>
      <c r="HW36" s="541"/>
      <c r="HX36" s="541"/>
      <c r="HY36" s="541"/>
      <c r="HZ36" s="541"/>
      <c r="IA36" s="541"/>
      <c r="IB36" s="541"/>
      <c r="IC36" s="541"/>
      <c r="ID36" s="541"/>
      <c r="IE36" s="541"/>
      <c r="IF36" s="541"/>
      <c r="IG36" s="541"/>
      <c r="IH36" s="541"/>
      <c r="II36" s="541"/>
      <c r="IJ36" s="541"/>
      <c r="IK36" s="541"/>
      <c r="IL36" s="541"/>
      <c r="IM36" s="541"/>
      <c r="IN36" s="541"/>
      <c r="IO36" s="541"/>
      <c r="IP36" s="541"/>
      <c r="IQ36" s="541"/>
      <c r="IR36" s="541"/>
      <c r="IS36" s="541"/>
    </row>
    <row r="37" spans="1:253" s="542" customFormat="1">
      <c r="A37" s="1793" t="s">
        <v>1992</v>
      </c>
      <c r="B37" s="416">
        <f>'Sources and Uses Budget'!$C36</f>
        <v>0</v>
      </c>
      <c r="C37" s="416">
        <f>'Sources and Uses Budget'!$C36</f>
        <v>0</v>
      </c>
      <c r="D37" s="420"/>
      <c r="E37" s="418"/>
      <c r="F37" s="417"/>
      <c r="G37" s="546"/>
      <c r="H37" s="541"/>
      <c r="I37" s="541"/>
      <c r="J37" s="541"/>
      <c r="K37" s="541"/>
      <c r="L37" s="541"/>
      <c r="M37" s="541"/>
      <c r="N37" s="541"/>
      <c r="O37" s="541"/>
      <c r="P37" s="541"/>
      <c r="Q37" s="541"/>
      <c r="R37" s="541"/>
      <c r="S37" s="541"/>
      <c r="T37" s="541"/>
      <c r="U37" s="541"/>
      <c r="V37" s="541"/>
      <c r="W37" s="541"/>
      <c r="X37" s="541"/>
      <c r="Y37" s="541"/>
      <c r="Z37" s="541"/>
      <c r="AA37" s="541"/>
      <c r="AB37" s="541"/>
      <c r="AC37" s="541"/>
      <c r="AD37" s="541"/>
      <c r="AE37" s="541"/>
      <c r="AF37" s="541"/>
      <c r="AG37" s="541"/>
      <c r="AH37" s="541"/>
      <c r="AI37" s="541"/>
      <c r="AJ37" s="541"/>
      <c r="AK37" s="541"/>
      <c r="AL37" s="541"/>
      <c r="AM37" s="541"/>
      <c r="AN37" s="541"/>
      <c r="AO37" s="541"/>
      <c r="AP37" s="541"/>
      <c r="AQ37" s="541"/>
      <c r="AR37" s="541"/>
      <c r="AS37" s="541"/>
      <c r="AT37" s="541"/>
      <c r="AU37" s="541"/>
      <c r="AV37" s="541"/>
      <c r="AW37" s="541"/>
      <c r="AX37" s="541"/>
      <c r="AY37" s="541"/>
      <c r="AZ37" s="541"/>
      <c r="BA37" s="541"/>
      <c r="BB37" s="541"/>
      <c r="BC37" s="541"/>
      <c r="BD37" s="541"/>
      <c r="BE37" s="541"/>
      <c r="BF37" s="541"/>
      <c r="BG37" s="541"/>
      <c r="BH37" s="541"/>
      <c r="BI37" s="541"/>
      <c r="BJ37" s="541"/>
      <c r="BK37" s="541"/>
      <c r="BL37" s="541"/>
      <c r="BM37" s="541"/>
      <c r="BN37" s="541"/>
      <c r="BO37" s="541"/>
      <c r="BP37" s="541"/>
      <c r="BQ37" s="541"/>
      <c r="BR37" s="541"/>
      <c r="BS37" s="541"/>
      <c r="BT37" s="541"/>
      <c r="BU37" s="541"/>
      <c r="BV37" s="541"/>
      <c r="BW37" s="541"/>
      <c r="BX37" s="541"/>
      <c r="BY37" s="541"/>
      <c r="BZ37" s="541"/>
      <c r="CA37" s="541"/>
      <c r="CB37" s="541"/>
      <c r="CC37" s="541"/>
      <c r="CD37" s="541"/>
      <c r="CE37" s="541"/>
      <c r="CF37" s="541"/>
      <c r="CG37" s="541"/>
      <c r="CH37" s="541"/>
      <c r="CI37" s="541"/>
      <c r="CJ37" s="541"/>
      <c r="CK37" s="541"/>
      <c r="CL37" s="541"/>
      <c r="CM37" s="541"/>
      <c r="CN37" s="541"/>
      <c r="CO37" s="541"/>
      <c r="CP37" s="541"/>
      <c r="CQ37" s="541"/>
      <c r="CR37" s="541"/>
      <c r="CS37" s="541"/>
      <c r="CT37" s="541"/>
      <c r="CU37" s="541"/>
      <c r="CV37" s="541"/>
      <c r="CW37" s="541"/>
      <c r="CX37" s="541"/>
      <c r="CY37" s="541"/>
      <c r="CZ37" s="541"/>
      <c r="DA37" s="541"/>
      <c r="DB37" s="541"/>
      <c r="DC37" s="541"/>
      <c r="DD37" s="541"/>
      <c r="DE37" s="541"/>
      <c r="DF37" s="541"/>
      <c r="DG37" s="541"/>
      <c r="DH37" s="541"/>
      <c r="DI37" s="541"/>
      <c r="DJ37" s="541"/>
      <c r="DK37" s="541"/>
      <c r="DL37" s="541"/>
      <c r="DM37" s="541"/>
      <c r="DN37" s="541"/>
      <c r="DO37" s="541"/>
      <c r="DP37" s="541"/>
      <c r="DQ37" s="541"/>
      <c r="DR37" s="541"/>
      <c r="DS37" s="541"/>
      <c r="DT37" s="541"/>
      <c r="DU37" s="541"/>
      <c r="DV37" s="541"/>
      <c r="DW37" s="541"/>
      <c r="DX37" s="541"/>
      <c r="DY37" s="541"/>
      <c r="DZ37" s="541"/>
      <c r="EA37" s="541"/>
      <c r="EB37" s="541"/>
      <c r="EC37" s="541"/>
      <c r="ED37" s="541"/>
      <c r="EE37" s="541"/>
      <c r="EF37" s="541"/>
      <c r="EG37" s="541"/>
      <c r="EH37" s="541"/>
      <c r="EI37" s="541"/>
      <c r="EJ37" s="541"/>
      <c r="EK37" s="541"/>
      <c r="EL37" s="541"/>
      <c r="EM37" s="541"/>
      <c r="EN37" s="541"/>
      <c r="EO37" s="541"/>
      <c r="EP37" s="541"/>
      <c r="EQ37" s="541"/>
      <c r="ER37" s="541"/>
      <c r="ES37" s="541"/>
      <c r="ET37" s="541"/>
      <c r="EU37" s="541"/>
      <c r="EV37" s="541"/>
      <c r="EW37" s="541"/>
      <c r="EX37" s="541"/>
      <c r="EY37" s="541"/>
      <c r="EZ37" s="541"/>
      <c r="FA37" s="541"/>
      <c r="FB37" s="541"/>
      <c r="FC37" s="541"/>
      <c r="FD37" s="541"/>
      <c r="FE37" s="541"/>
      <c r="FF37" s="541"/>
      <c r="FG37" s="541"/>
      <c r="FH37" s="541"/>
      <c r="FI37" s="541"/>
      <c r="FJ37" s="541"/>
      <c r="FK37" s="541"/>
      <c r="FL37" s="541"/>
      <c r="FM37" s="541"/>
      <c r="FN37" s="541"/>
      <c r="FO37" s="541"/>
      <c r="FP37" s="541"/>
      <c r="FQ37" s="541"/>
      <c r="FR37" s="541"/>
      <c r="FS37" s="541"/>
      <c r="FT37" s="541"/>
      <c r="FU37" s="541"/>
      <c r="FV37" s="541"/>
      <c r="FW37" s="541"/>
      <c r="FX37" s="541"/>
      <c r="FY37" s="541"/>
      <c r="FZ37" s="541"/>
      <c r="GA37" s="541"/>
      <c r="GB37" s="541"/>
      <c r="GC37" s="541"/>
      <c r="GD37" s="541"/>
      <c r="GE37" s="541"/>
      <c r="GF37" s="541"/>
      <c r="GG37" s="541"/>
      <c r="GH37" s="541"/>
      <c r="GI37" s="541"/>
      <c r="GJ37" s="541"/>
      <c r="GK37" s="541"/>
      <c r="GL37" s="541"/>
      <c r="GM37" s="541"/>
      <c r="GN37" s="541"/>
      <c r="GO37" s="541"/>
      <c r="GP37" s="541"/>
      <c r="GQ37" s="541"/>
      <c r="GR37" s="541"/>
      <c r="GS37" s="541"/>
      <c r="GT37" s="541"/>
      <c r="GU37" s="541"/>
      <c r="GV37" s="541"/>
      <c r="GW37" s="541"/>
      <c r="GX37" s="541"/>
      <c r="GY37" s="541"/>
      <c r="GZ37" s="541"/>
      <c r="HA37" s="541"/>
      <c r="HB37" s="541"/>
      <c r="HC37" s="541"/>
      <c r="HD37" s="541"/>
      <c r="HE37" s="541"/>
      <c r="HF37" s="541"/>
      <c r="HG37" s="541"/>
      <c r="HH37" s="541"/>
      <c r="HI37" s="541"/>
      <c r="HJ37" s="541"/>
      <c r="HK37" s="541"/>
      <c r="HL37" s="541"/>
      <c r="HM37" s="541"/>
      <c r="HN37" s="541"/>
      <c r="HO37" s="541"/>
      <c r="HP37" s="541"/>
      <c r="HQ37" s="541"/>
      <c r="HR37" s="541"/>
      <c r="HS37" s="541"/>
      <c r="HT37" s="541"/>
      <c r="HU37" s="541"/>
      <c r="HV37" s="541"/>
      <c r="HW37" s="541"/>
      <c r="HX37" s="541"/>
      <c r="HY37" s="541"/>
      <c r="HZ37" s="541"/>
      <c r="IA37" s="541"/>
      <c r="IB37" s="541"/>
      <c r="IC37" s="541"/>
      <c r="ID37" s="541"/>
      <c r="IE37" s="541"/>
      <c r="IF37" s="541"/>
      <c r="IG37" s="541"/>
      <c r="IH37" s="541"/>
      <c r="II37" s="541"/>
      <c r="IJ37" s="541"/>
      <c r="IK37" s="541"/>
      <c r="IL37" s="541"/>
      <c r="IM37" s="541"/>
      <c r="IN37" s="541"/>
      <c r="IO37" s="541"/>
      <c r="IP37" s="541"/>
      <c r="IQ37" s="541"/>
      <c r="IR37" s="541"/>
      <c r="IS37" s="541"/>
    </row>
    <row r="38" spans="1:253" s="542" customFormat="1">
      <c r="A38" s="226" t="str">
        <f>'Sources and Uses Budget'!A37</f>
        <v>Other: (Specify)</v>
      </c>
      <c r="B38" s="416">
        <f>'Sources and Uses Budget'!$C37</f>
        <v>0</v>
      </c>
      <c r="C38" s="416">
        <f>'Sources and Uses Budget'!$C37</f>
        <v>0</v>
      </c>
      <c r="D38" s="420">
        <f t="shared" si="0"/>
        <v>0</v>
      </c>
      <c r="E38" s="418"/>
      <c r="F38" s="417"/>
      <c r="G38" s="546"/>
      <c r="H38" s="541"/>
      <c r="I38" s="541"/>
      <c r="J38" s="541"/>
      <c r="K38" s="541"/>
      <c r="L38" s="541"/>
      <c r="M38" s="541"/>
      <c r="N38" s="541"/>
      <c r="O38" s="541"/>
      <c r="P38" s="541"/>
      <c r="Q38" s="541"/>
      <c r="R38" s="541"/>
      <c r="S38" s="541"/>
      <c r="T38" s="541"/>
      <c r="U38" s="541"/>
      <c r="V38" s="541"/>
      <c r="W38" s="541"/>
      <c r="X38" s="541"/>
      <c r="Y38" s="541"/>
      <c r="Z38" s="541"/>
      <c r="AA38" s="541"/>
      <c r="AB38" s="541"/>
      <c r="AC38" s="541"/>
      <c r="AD38" s="541"/>
      <c r="AE38" s="541"/>
      <c r="AF38" s="541"/>
      <c r="AG38" s="541"/>
      <c r="AH38" s="541"/>
      <c r="AI38" s="541"/>
      <c r="AJ38" s="541"/>
      <c r="AK38" s="541"/>
      <c r="AL38" s="541"/>
      <c r="AM38" s="541"/>
      <c r="AN38" s="541"/>
      <c r="AO38" s="541"/>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541"/>
      <c r="BL38" s="541"/>
      <c r="BM38" s="541"/>
      <c r="BN38" s="541"/>
      <c r="BO38" s="541"/>
      <c r="BP38" s="541"/>
      <c r="BQ38" s="541"/>
      <c r="BR38" s="541"/>
      <c r="BS38" s="541"/>
      <c r="BT38" s="541"/>
      <c r="BU38" s="541"/>
      <c r="BV38" s="541"/>
      <c r="BW38" s="541"/>
      <c r="BX38" s="541"/>
      <c r="BY38" s="541"/>
      <c r="BZ38" s="541"/>
      <c r="CA38" s="541"/>
      <c r="CB38" s="541"/>
      <c r="CC38" s="541"/>
      <c r="CD38" s="541"/>
      <c r="CE38" s="541"/>
      <c r="CF38" s="541"/>
      <c r="CG38" s="541"/>
      <c r="CH38" s="541"/>
      <c r="CI38" s="541"/>
      <c r="CJ38" s="541"/>
      <c r="CK38" s="541"/>
      <c r="CL38" s="541"/>
      <c r="CM38" s="541"/>
      <c r="CN38" s="541"/>
      <c r="CO38" s="541"/>
      <c r="CP38" s="541"/>
      <c r="CQ38" s="541"/>
      <c r="CR38" s="541"/>
      <c r="CS38" s="541"/>
      <c r="CT38" s="541"/>
      <c r="CU38" s="541"/>
      <c r="CV38" s="541"/>
      <c r="CW38" s="541"/>
      <c r="CX38" s="541"/>
      <c r="CY38" s="541"/>
      <c r="CZ38" s="541"/>
      <c r="DA38" s="541"/>
      <c r="DB38" s="541"/>
      <c r="DC38" s="541"/>
      <c r="DD38" s="541"/>
      <c r="DE38" s="541"/>
      <c r="DF38" s="541"/>
      <c r="DG38" s="541"/>
      <c r="DH38" s="541"/>
      <c r="DI38" s="541"/>
      <c r="DJ38" s="541"/>
      <c r="DK38" s="541"/>
      <c r="DL38" s="541"/>
      <c r="DM38" s="541"/>
      <c r="DN38" s="541"/>
      <c r="DO38" s="541"/>
      <c r="DP38" s="541"/>
      <c r="DQ38" s="541"/>
      <c r="DR38" s="541"/>
      <c r="DS38" s="541"/>
      <c r="DT38" s="541"/>
      <c r="DU38" s="541"/>
      <c r="DV38" s="541"/>
      <c r="DW38" s="541"/>
      <c r="DX38" s="541"/>
      <c r="DY38" s="541"/>
      <c r="DZ38" s="541"/>
      <c r="EA38" s="541"/>
      <c r="EB38" s="541"/>
      <c r="EC38" s="541"/>
      <c r="ED38" s="541"/>
      <c r="EE38" s="541"/>
      <c r="EF38" s="541"/>
      <c r="EG38" s="541"/>
      <c r="EH38" s="541"/>
      <c r="EI38" s="541"/>
      <c r="EJ38" s="541"/>
      <c r="EK38" s="541"/>
      <c r="EL38" s="541"/>
      <c r="EM38" s="541"/>
      <c r="EN38" s="541"/>
      <c r="EO38" s="541"/>
      <c r="EP38" s="541"/>
      <c r="EQ38" s="541"/>
      <c r="ER38" s="541"/>
      <c r="ES38" s="541"/>
      <c r="ET38" s="541"/>
      <c r="EU38" s="541"/>
      <c r="EV38" s="541"/>
      <c r="EW38" s="541"/>
      <c r="EX38" s="541"/>
      <c r="EY38" s="541"/>
      <c r="EZ38" s="541"/>
      <c r="FA38" s="541"/>
      <c r="FB38" s="541"/>
      <c r="FC38" s="541"/>
      <c r="FD38" s="541"/>
      <c r="FE38" s="541"/>
      <c r="FF38" s="541"/>
      <c r="FG38" s="541"/>
      <c r="FH38" s="541"/>
      <c r="FI38" s="541"/>
      <c r="FJ38" s="541"/>
      <c r="FK38" s="541"/>
      <c r="FL38" s="541"/>
      <c r="FM38" s="541"/>
      <c r="FN38" s="541"/>
      <c r="FO38" s="541"/>
      <c r="FP38" s="541"/>
      <c r="FQ38" s="541"/>
      <c r="FR38" s="541"/>
      <c r="FS38" s="541"/>
      <c r="FT38" s="541"/>
      <c r="FU38" s="541"/>
      <c r="FV38" s="541"/>
      <c r="FW38" s="541"/>
      <c r="FX38" s="541"/>
      <c r="FY38" s="541"/>
      <c r="FZ38" s="541"/>
      <c r="GA38" s="541"/>
      <c r="GB38" s="541"/>
      <c r="GC38" s="541"/>
      <c r="GD38" s="541"/>
      <c r="GE38" s="541"/>
      <c r="GF38" s="541"/>
      <c r="GG38" s="541"/>
      <c r="GH38" s="541"/>
      <c r="GI38" s="541"/>
      <c r="GJ38" s="541"/>
      <c r="GK38" s="541"/>
      <c r="GL38" s="541"/>
      <c r="GM38" s="541"/>
      <c r="GN38" s="541"/>
      <c r="GO38" s="541"/>
      <c r="GP38" s="541"/>
      <c r="GQ38" s="541"/>
      <c r="GR38" s="541"/>
      <c r="GS38" s="541"/>
      <c r="GT38" s="541"/>
      <c r="GU38" s="541"/>
      <c r="GV38" s="541"/>
      <c r="GW38" s="541"/>
      <c r="GX38" s="541"/>
      <c r="GY38" s="541"/>
      <c r="GZ38" s="541"/>
      <c r="HA38" s="541"/>
      <c r="HB38" s="541"/>
      <c r="HC38" s="541"/>
      <c r="HD38" s="541"/>
      <c r="HE38" s="541"/>
      <c r="HF38" s="541"/>
      <c r="HG38" s="541"/>
      <c r="HH38" s="541"/>
      <c r="HI38" s="541"/>
      <c r="HJ38" s="541"/>
      <c r="HK38" s="541"/>
      <c r="HL38" s="541"/>
      <c r="HM38" s="541"/>
      <c r="HN38" s="541"/>
      <c r="HO38" s="541"/>
      <c r="HP38" s="541"/>
      <c r="HQ38" s="541"/>
      <c r="HR38" s="541"/>
      <c r="HS38" s="541"/>
      <c r="HT38" s="541"/>
      <c r="HU38" s="541"/>
      <c r="HV38" s="541"/>
      <c r="HW38" s="541"/>
      <c r="HX38" s="541"/>
      <c r="HY38" s="541"/>
      <c r="HZ38" s="541"/>
      <c r="IA38" s="541"/>
      <c r="IB38" s="541"/>
      <c r="IC38" s="541"/>
      <c r="ID38" s="541"/>
      <c r="IE38" s="541"/>
      <c r="IF38" s="541"/>
      <c r="IG38" s="541"/>
      <c r="IH38" s="541"/>
      <c r="II38" s="541"/>
      <c r="IJ38" s="541"/>
      <c r="IK38" s="541"/>
      <c r="IL38" s="541"/>
      <c r="IM38" s="541"/>
      <c r="IN38" s="541"/>
      <c r="IO38" s="541"/>
      <c r="IP38" s="541"/>
      <c r="IQ38" s="541"/>
      <c r="IR38" s="541"/>
      <c r="IS38" s="541"/>
    </row>
    <row r="39" spans="1:253" s="542" customFormat="1">
      <c r="A39" s="421" t="s">
        <v>148</v>
      </c>
      <c r="B39" s="420">
        <f>SUM(B30:B38)</f>
        <v>66013386</v>
      </c>
      <c r="C39" s="420">
        <f>SUM(C30:C38)</f>
        <v>66013386</v>
      </c>
      <c r="D39" s="420">
        <f t="shared" si="0"/>
        <v>0</v>
      </c>
      <c r="E39" s="418"/>
      <c r="F39" s="417"/>
      <c r="G39" s="546"/>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41"/>
      <c r="AO39" s="541"/>
      <c r="AP39" s="541"/>
      <c r="AQ39" s="541"/>
      <c r="AR39" s="541"/>
      <c r="AS39" s="541"/>
      <c r="AT39" s="541"/>
      <c r="AU39" s="541"/>
      <c r="AV39" s="541"/>
      <c r="AW39" s="541"/>
      <c r="AX39" s="541"/>
      <c r="AY39" s="541"/>
      <c r="AZ39" s="541"/>
      <c r="BA39" s="541"/>
      <c r="BB39" s="541"/>
      <c r="BC39" s="541"/>
      <c r="BD39" s="541"/>
      <c r="BE39" s="541"/>
      <c r="BF39" s="541"/>
      <c r="BG39" s="541"/>
      <c r="BH39" s="541"/>
      <c r="BI39" s="541"/>
      <c r="BJ39" s="541"/>
      <c r="BK39" s="541"/>
      <c r="BL39" s="541"/>
      <c r="BM39" s="541"/>
      <c r="BN39" s="541"/>
      <c r="BO39" s="541"/>
      <c r="BP39" s="541"/>
      <c r="BQ39" s="541"/>
      <c r="BR39" s="541"/>
      <c r="BS39" s="541"/>
      <c r="BT39" s="541"/>
      <c r="BU39" s="541"/>
      <c r="BV39" s="541"/>
      <c r="BW39" s="541"/>
      <c r="BX39" s="541"/>
      <c r="BY39" s="541"/>
      <c r="BZ39" s="541"/>
      <c r="CA39" s="541"/>
      <c r="CB39" s="541"/>
      <c r="CC39" s="541"/>
      <c r="CD39" s="541"/>
      <c r="CE39" s="541"/>
      <c r="CF39" s="541"/>
      <c r="CG39" s="541"/>
      <c r="CH39" s="541"/>
      <c r="CI39" s="541"/>
      <c r="CJ39" s="541"/>
      <c r="CK39" s="541"/>
      <c r="CL39" s="541"/>
      <c r="CM39" s="541"/>
      <c r="CN39" s="541"/>
      <c r="CO39" s="541"/>
      <c r="CP39" s="541"/>
      <c r="CQ39" s="541"/>
      <c r="CR39" s="541"/>
      <c r="CS39" s="541"/>
      <c r="CT39" s="541"/>
      <c r="CU39" s="541"/>
      <c r="CV39" s="541"/>
      <c r="CW39" s="541"/>
      <c r="CX39" s="541"/>
      <c r="CY39" s="541"/>
      <c r="CZ39" s="541"/>
      <c r="DA39" s="541"/>
      <c r="DB39" s="541"/>
      <c r="DC39" s="541"/>
      <c r="DD39" s="541"/>
      <c r="DE39" s="541"/>
      <c r="DF39" s="541"/>
      <c r="DG39" s="541"/>
      <c r="DH39" s="541"/>
      <c r="DI39" s="541"/>
      <c r="DJ39" s="541"/>
      <c r="DK39" s="541"/>
      <c r="DL39" s="541"/>
      <c r="DM39" s="541"/>
      <c r="DN39" s="541"/>
      <c r="DO39" s="541"/>
      <c r="DP39" s="541"/>
      <c r="DQ39" s="541"/>
      <c r="DR39" s="541"/>
      <c r="DS39" s="541"/>
      <c r="DT39" s="541"/>
      <c r="DU39" s="541"/>
      <c r="DV39" s="541"/>
      <c r="DW39" s="541"/>
      <c r="DX39" s="541"/>
      <c r="DY39" s="541"/>
      <c r="DZ39" s="541"/>
      <c r="EA39" s="541"/>
      <c r="EB39" s="541"/>
      <c r="EC39" s="541"/>
      <c r="ED39" s="541"/>
      <c r="EE39" s="541"/>
      <c r="EF39" s="541"/>
      <c r="EG39" s="541"/>
      <c r="EH39" s="541"/>
      <c r="EI39" s="541"/>
      <c r="EJ39" s="541"/>
      <c r="EK39" s="541"/>
      <c r="EL39" s="541"/>
      <c r="EM39" s="541"/>
      <c r="EN39" s="541"/>
      <c r="EO39" s="541"/>
      <c r="EP39" s="541"/>
      <c r="EQ39" s="541"/>
      <c r="ER39" s="541"/>
      <c r="ES39" s="541"/>
      <c r="ET39" s="541"/>
      <c r="EU39" s="541"/>
      <c r="EV39" s="541"/>
      <c r="EW39" s="541"/>
      <c r="EX39" s="541"/>
      <c r="EY39" s="541"/>
      <c r="EZ39" s="541"/>
      <c r="FA39" s="541"/>
      <c r="FB39" s="541"/>
      <c r="FC39" s="541"/>
      <c r="FD39" s="541"/>
      <c r="FE39" s="541"/>
      <c r="FF39" s="541"/>
      <c r="FG39" s="541"/>
      <c r="FH39" s="541"/>
      <c r="FI39" s="541"/>
      <c r="FJ39" s="541"/>
      <c r="FK39" s="541"/>
      <c r="FL39" s="541"/>
      <c r="FM39" s="541"/>
      <c r="FN39" s="541"/>
      <c r="FO39" s="541"/>
      <c r="FP39" s="541"/>
      <c r="FQ39" s="541"/>
      <c r="FR39" s="541"/>
      <c r="FS39" s="541"/>
      <c r="FT39" s="541"/>
      <c r="FU39" s="541"/>
      <c r="FV39" s="541"/>
      <c r="FW39" s="541"/>
      <c r="FX39" s="541"/>
      <c r="FY39" s="541"/>
      <c r="FZ39" s="541"/>
      <c r="GA39" s="541"/>
      <c r="GB39" s="541"/>
      <c r="GC39" s="541"/>
      <c r="GD39" s="541"/>
      <c r="GE39" s="541"/>
      <c r="GF39" s="541"/>
      <c r="GG39" s="541"/>
      <c r="GH39" s="541"/>
      <c r="GI39" s="541"/>
      <c r="GJ39" s="541"/>
      <c r="GK39" s="541"/>
      <c r="GL39" s="541"/>
      <c r="GM39" s="541"/>
      <c r="GN39" s="541"/>
      <c r="GO39" s="541"/>
      <c r="GP39" s="541"/>
      <c r="GQ39" s="541"/>
      <c r="GR39" s="541"/>
      <c r="GS39" s="541"/>
      <c r="GT39" s="541"/>
      <c r="GU39" s="541"/>
      <c r="GV39" s="541"/>
      <c r="GW39" s="541"/>
      <c r="GX39" s="541"/>
      <c r="GY39" s="541"/>
      <c r="GZ39" s="541"/>
      <c r="HA39" s="541"/>
      <c r="HB39" s="541"/>
      <c r="HC39" s="541"/>
      <c r="HD39" s="541"/>
      <c r="HE39" s="541"/>
      <c r="HF39" s="541"/>
      <c r="HG39" s="541"/>
      <c r="HH39" s="541"/>
      <c r="HI39" s="541"/>
      <c r="HJ39" s="541"/>
      <c r="HK39" s="541"/>
      <c r="HL39" s="541"/>
      <c r="HM39" s="541"/>
      <c r="HN39" s="541"/>
      <c r="HO39" s="541"/>
      <c r="HP39" s="541"/>
      <c r="HQ39" s="541"/>
      <c r="HR39" s="541"/>
      <c r="HS39" s="541"/>
      <c r="HT39" s="541"/>
      <c r="HU39" s="541"/>
      <c r="HV39" s="541"/>
      <c r="HW39" s="541"/>
      <c r="HX39" s="541"/>
      <c r="HY39" s="541"/>
      <c r="HZ39" s="541"/>
      <c r="IA39" s="541"/>
      <c r="IB39" s="541"/>
      <c r="IC39" s="541"/>
      <c r="ID39" s="541"/>
      <c r="IE39" s="541"/>
      <c r="IF39" s="541"/>
      <c r="IG39" s="541"/>
      <c r="IH39" s="541"/>
      <c r="II39" s="541"/>
      <c r="IJ39" s="541"/>
      <c r="IK39" s="541"/>
      <c r="IL39" s="541"/>
      <c r="IM39" s="541"/>
      <c r="IN39" s="541"/>
      <c r="IO39" s="541"/>
      <c r="IP39" s="541"/>
      <c r="IQ39" s="541"/>
      <c r="IR39" s="541"/>
      <c r="IS39" s="541"/>
    </row>
    <row r="40" spans="1:253" s="542" customFormat="1">
      <c r="A40" s="414" t="s">
        <v>149</v>
      </c>
      <c r="B40" s="414"/>
      <c r="C40" s="414"/>
      <c r="D40" s="414"/>
      <c r="E40" s="434"/>
      <c r="F40" s="414"/>
      <c r="G40" s="546"/>
      <c r="H40" s="541"/>
      <c r="I40" s="541"/>
      <c r="J40" s="541"/>
      <c r="K40" s="541"/>
      <c r="L40" s="541"/>
      <c r="M40" s="541"/>
      <c r="N40" s="541"/>
      <c r="O40" s="541"/>
      <c r="P40" s="541"/>
      <c r="Q40" s="541"/>
      <c r="R40" s="541"/>
      <c r="S40" s="541"/>
      <c r="T40" s="541"/>
      <c r="U40" s="541"/>
      <c r="V40" s="541"/>
      <c r="W40" s="541"/>
      <c r="X40" s="541"/>
      <c r="Y40" s="541"/>
      <c r="Z40" s="541"/>
      <c r="AA40" s="541"/>
      <c r="AB40" s="541"/>
      <c r="AC40" s="541"/>
      <c r="AD40" s="541"/>
      <c r="AE40" s="541"/>
      <c r="AF40" s="541"/>
      <c r="AG40" s="541"/>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c r="DP40" s="541"/>
      <c r="DQ40" s="541"/>
      <c r="DR40" s="541"/>
      <c r="DS40" s="541"/>
      <c r="DT40" s="541"/>
      <c r="DU40" s="541"/>
      <c r="DV40" s="541"/>
      <c r="DW40" s="541"/>
      <c r="DX40" s="541"/>
      <c r="DY40" s="541"/>
      <c r="DZ40" s="541"/>
      <c r="EA40" s="541"/>
      <c r="EB40" s="541"/>
      <c r="EC40" s="541"/>
      <c r="ED40" s="541"/>
      <c r="EE40" s="541"/>
      <c r="EF40" s="541"/>
      <c r="EG40" s="541"/>
      <c r="EH40" s="541"/>
      <c r="EI40" s="541"/>
      <c r="EJ40" s="541"/>
      <c r="EK40" s="541"/>
      <c r="EL40" s="541"/>
      <c r="EM40" s="541"/>
      <c r="EN40" s="541"/>
      <c r="EO40" s="541"/>
      <c r="EP40" s="541"/>
      <c r="EQ40" s="541"/>
      <c r="ER40" s="541"/>
      <c r="ES40" s="541"/>
      <c r="ET40" s="541"/>
      <c r="EU40" s="541"/>
      <c r="EV40" s="541"/>
      <c r="EW40" s="541"/>
      <c r="EX40" s="541"/>
      <c r="EY40" s="541"/>
      <c r="EZ40" s="541"/>
      <c r="FA40" s="541"/>
      <c r="FB40" s="541"/>
      <c r="FC40" s="541"/>
      <c r="FD40" s="541"/>
      <c r="FE40" s="541"/>
      <c r="FF40" s="541"/>
      <c r="FG40" s="541"/>
      <c r="FH40" s="541"/>
      <c r="FI40" s="541"/>
      <c r="FJ40" s="541"/>
      <c r="FK40" s="541"/>
      <c r="FL40" s="541"/>
      <c r="FM40" s="541"/>
      <c r="FN40" s="541"/>
      <c r="FO40" s="541"/>
      <c r="FP40" s="541"/>
      <c r="FQ40" s="541"/>
      <c r="FR40" s="541"/>
      <c r="FS40" s="541"/>
      <c r="FT40" s="541"/>
      <c r="FU40" s="541"/>
      <c r="FV40" s="541"/>
      <c r="FW40" s="541"/>
      <c r="FX40" s="541"/>
      <c r="FY40" s="541"/>
      <c r="FZ40" s="541"/>
      <c r="GA40" s="541"/>
      <c r="GB40" s="541"/>
      <c r="GC40" s="541"/>
      <c r="GD40" s="541"/>
      <c r="GE40" s="541"/>
      <c r="GF40" s="541"/>
      <c r="GG40" s="541"/>
      <c r="GH40" s="541"/>
      <c r="GI40" s="541"/>
      <c r="GJ40" s="541"/>
      <c r="GK40" s="541"/>
      <c r="GL40" s="541"/>
      <c r="GM40" s="541"/>
      <c r="GN40" s="541"/>
      <c r="GO40" s="541"/>
      <c r="GP40" s="541"/>
      <c r="GQ40" s="541"/>
      <c r="GR40" s="541"/>
      <c r="GS40" s="541"/>
      <c r="GT40" s="541"/>
      <c r="GU40" s="541"/>
      <c r="GV40" s="541"/>
      <c r="GW40" s="541"/>
      <c r="GX40" s="541"/>
      <c r="GY40" s="541"/>
      <c r="GZ40" s="541"/>
      <c r="HA40" s="541"/>
      <c r="HB40" s="541"/>
      <c r="HC40" s="541"/>
      <c r="HD40" s="541"/>
      <c r="HE40" s="541"/>
      <c r="HF40" s="541"/>
      <c r="HG40" s="541"/>
      <c r="HH40" s="541"/>
      <c r="HI40" s="541"/>
      <c r="HJ40" s="541"/>
      <c r="HK40" s="541"/>
      <c r="HL40" s="541"/>
      <c r="HM40" s="541"/>
      <c r="HN40" s="541"/>
      <c r="HO40" s="541"/>
      <c r="HP40" s="541"/>
      <c r="HQ40" s="541"/>
      <c r="HR40" s="541"/>
      <c r="HS40" s="541"/>
      <c r="HT40" s="541"/>
      <c r="HU40" s="541"/>
      <c r="HV40" s="541"/>
      <c r="HW40" s="541"/>
      <c r="HX40" s="541"/>
      <c r="HY40" s="541"/>
      <c r="HZ40" s="541"/>
      <c r="IA40" s="541"/>
      <c r="IB40" s="541"/>
      <c r="IC40" s="541"/>
      <c r="ID40" s="541"/>
      <c r="IE40" s="541"/>
      <c r="IF40" s="541"/>
      <c r="IG40" s="541"/>
      <c r="IH40" s="541"/>
      <c r="II40" s="541"/>
      <c r="IJ40" s="541"/>
      <c r="IK40" s="541"/>
      <c r="IL40" s="541"/>
      <c r="IM40" s="541"/>
      <c r="IN40" s="541"/>
      <c r="IO40" s="541"/>
      <c r="IP40" s="541"/>
      <c r="IQ40" s="541"/>
      <c r="IR40" s="541"/>
      <c r="IS40" s="541"/>
    </row>
    <row r="41" spans="1:253" s="542" customFormat="1">
      <c r="A41" s="419" t="s">
        <v>150</v>
      </c>
      <c r="B41" s="416">
        <f>'Sources and Uses Budget'!$C40</f>
        <v>2189964</v>
      </c>
      <c r="C41" s="416">
        <f>'Sources and Uses Budget'!$C40</f>
        <v>2189964</v>
      </c>
      <c r="D41" s="420">
        <f t="shared" si="0"/>
        <v>0</v>
      </c>
      <c r="E41" s="418"/>
      <c r="F41" s="417"/>
      <c r="G41" s="546"/>
      <c r="H41" s="541"/>
      <c r="I41" s="541"/>
      <c r="J41" s="541"/>
      <c r="K41" s="541"/>
      <c r="L41" s="541"/>
      <c r="M41" s="541"/>
      <c r="N41" s="541"/>
      <c r="O41" s="541"/>
      <c r="P41" s="541"/>
      <c r="Q41" s="541"/>
      <c r="R41" s="541"/>
      <c r="S41" s="541"/>
      <c r="T41" s="541"/>
      <c r="U41" s="541"/>
      <c r="V41" s="541"/>
      <c r="W41" s="541"/>
      <c r="X41" s="541"/>
      <c r="Y41" s="541"/>
      <c r="Z41" s="541"/>
      <c r="AA41" s="541"/>
      <c r="AB41" s="541"/>
      <c r="AC41" s="541"/>
      <c r="AD41" s="541"/>
      <c r="AE41" s="541"/>
      <c r="AF41" s="541"/>
      <c r="AG41" s="541"/>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c r="DP41" s="541"/>
      <c r="DQ41" s="541"/>
      <c r="DR41" s="541"/>
      <c r="DS41" s="541"/>
      <c r="DT41" s="541"/>
      <c r="DU41" s="541"/>
      <c r="DV41" s="541"/>
      <c r="DW41" s="541"/>
      <c r="DX41" s="541"/>
      <c r="DY41" s="541"/>
      <c r="DZ41" s="541"/>
      <c r="EA41" s="541"/>
      <c r="EB41" s="541"/>
      <c r="EC41" s="541"/>
      <c r="ED41" s="541"/>
      <c r="EE41" s="541"/>
      <c r="EF41" s="541"/>
      <c r="EG41" s="541"/>
      <c r="EH41" s="541"/>
      <c r="EI41" s="541"/>
      <c r="EJ41" s="541"/>
      <c r="EK41" s="541"/>
      <c r="EL41" s="541"/>
      <c r="EM41" s="541"/>
      <c r="EN41" s="541"/>
      <c r="EO41" s="541"/>
      <c r="EP41" s="541"/>
      <c r="EQ41" s="541"/>
      <c r="ER41" s="541"/>
      <c r="ES41" s="541"/>
      <c r="ET41" s="541"/>
      <c r="EU41" s="541"/>
      <c r="EV41" s="541"/>
      <c r="EW41" s="541"/>
      <c r="EX41" s="541"/>
      <c r="EY41" s="541"/>
      <c r="EZ41" s="541"/>
      <c r="FA41" s="541"/>
      <c r="FB41" s="541"/>
      <c r="FC41" s="541"/>
      <c r="FD41" s="541"/>
      <c r="FE41" s="541"/>
      <c r="FF41" s="541"/>
      <c r="FG41" s="541"/>
      <c r="FH41" s="541"/>
      <c r="FI41" s="541"/>
      <c r="FJ41" s="541"/>
      <c r="FK41" s="541"/>
      <c r="FL41" s="541"/>
      <c r="FM41" s="541"/>
      <c r="FN41" s="541"/>
      <c r="FO41" s="541"/>
      <c r="FP41" s="541"/>
      <c r="FQ41" s="541"/>
      <c r="FR41" s="541"/>
      <c r="FS41" s="541"/>
      <c r="FT41" s="541"/>
      <c r="FU41" s="541"/>
      <c r="FV41" s="541"/>
      <c r="FW41" s="541"/>
      <c r="FX41" s="541"/>
      <c r="FY41" s="541"/>
      <c r="FZ41" s="541"/>
      <c r="GA41" s="541"/>
      <c r="GB41" s="541"/>
      <c r="GC41" s="541"/>
      <c r="GD41" s="541"/>
      <c r="GE41" s="541"/>
      <c r="GF41" s="541"/>
      <c r="GG41" s="541"/>
      <c r="GH41" s="541"/>
      <c r="GI41" s="541"/>
      <c r="GJ41" s="541"/>
      <c r="GK41" s="541"/>
      <c r="GL41" s="541"/>
      <c r="GM41" s="541"/>
      <c r="GN41" s="541"/>
      <c r="GO41" s="541"/>
      <c r="GP41" s="541"/>
      <c r="GQ41" s="541"/>
      <c r="GR41" s="541"/>
      <c r="GS41" s="541"/>
      <c r="GT41" s="541"/>
      <c r="GU41" s="541"/>
      <c r="GV41" s="541"/>
      <c r="GW41" s="541"/>
      <c r="GX41" s="541"/>
      <c r="GY41" s="541"/>
      <c r="GZ41" s="541"/>
      <c r="HA41" s="541"/>
      <c r="HB41" s="541"/>
      <c r="HC41" s="541"/>
      <c r="HD41" s="541"/>
      <c r="HE41" s="541"/>
      <c r="HF41" s="541"/>
      <c r="HG41" s="541"/>
      <c r="HH41" s="541"/>
      <c r="HI41" s="541"/>
      <c r="HJ41" s="541"/>
      <c r="HK41" s="541"/>
      <c r="HL41" s="541"/>
      <c r="HM41" s="541"/>
      <c r="HN41" s="541"/>
      <c r="HO41" s="541"/>
      <c r="HP41" s="541"/>
      <c r="HQ41" s="541"/>
      <c r="HR41" s="541"/>
      <c r="HS41" s="541"/>
      <c r="HT41" s="541"/>
      <c r="HU41" s="541"/>
      <c r="HV41" s="541"/>
      <c r="HW41" s="541"/>
      <c r="HX41" s="541"/>
      <c r="HY41" s="541"/>
      <c r="HZ41" s="541"/>
      <c r="IA41" s="541"/>
      <c r="IB41" s="541"/>
      <c r="IC41" s="541"/>
      <c r="ID41" s="541"/>
      <c r="IE41" s="541"/>
      <c r="IF41" s="541"/>
      <c r="IG41" s="541"/>
      <c r="IH41" s="541"/>
      <c r="II41" s="541"/>
      <c r="IJ41" s="541"/>
      <c r="IK41" s="541"/>
      <c r="IL41" s="541"/>
      <c r="IM41" s="541"/>
      <c r="IN41" s="541"/>
      <c r="IO41" s="541"/>
      <c r="IP41" s="541"/>
      <c r="IQ41" s="541"/>
      <c r="IR41" s="541"/>
      <c r="IS41" s="541"/>
    </row>
    <row r="42" spans="1:253" s="542" customFormat="1">
      <c r="A42" s="419" t="s">
        <v>151</v>
      </c>
      <c r="B42" s="416">
        <f>'Sources and Uses Budget'!$C41</f>
        <v>0</v>
      </c>
      <c r="C42" s="416">
        <f>'Sources and Uses Budget'!$C41</f>
        <v>0</v>
      </c>
      <c r="D42" s="420">
        <f t="shared" si="0"/>
        <v>0</v>
      </c>
      <c r="E42" s="418"/>
      <c r="F42" s="417"/>
      <c r="G42" s="546"/>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1"/>
      <c r="DS42" s="541"/>
      <c r="DT42" s="541"/>
      <c r="DU42" s="541"/>
      <c r="DV42" s="541"/>
      <c r="DW42" s="541"/>
      <c r="DX42" s="541"/>
      <c r="DY42" s="541"/>
      <c r="DZ42" s="541"/>
      <c r="EA42" s="541"/>
      <c r="EB42" s="541"/>
      <c r="EC42" s="541"/>
      <c r="ED42" s="541"/>
      <c r="EE42" s="541"/>
      <c r="EF42" s="541"/>
      <c r="EG42" s="541"/>
      <c r="EH42" s="541"/>
      <c r="EI42" s="541"/>
      <c r="EJ42" s="541"/>
      <c r="EK42" s="541"/>
      <c r="EL42" s="541"/>
      <c r="EM42" s="541"/>
      <c r="EN42" s="541"/>
      <c r="EO42" s="541"/>
      <c r="EP42" s="541"/>
      <c r="EQ42" s="541"/>
      <c r="ER42" s="541"/>
      <c r="ES42" s="541"/>
      <c r="ET42" s="541"/>
      <c r="EU42" s="541"/>
      <c r="EV42" s="541"/>
      <c r="EW42" s="541"/>
      <c r="EX42" s="541"/>
      <c r="EY42" s="541"/>
      <c r="EZ42" s="541"/>
      <c r="FA42" s="541"/>
      <c r="FB42" s="541"/>
      <c r="FC42" s="541"/>
      <c r="FD42" s="541"/>
      <c r="FE42" s="541"/>
      <c r="FF42" s="541"/>
      <c r="FG42" s="541"/>
      <c r="FH42" s="541"/>
      <c r="FI42" s="541"/>
      <c r="FJ42" s="541"/>
      <c r="FK42" s="541"/>
      <c r="FL42" s="541"/>
      <c r="FM42" s="541"/>
      <c r="FN42" s="541"/>
      <c r="FO42" s="541"/>
      <c r="FP42" s="541"/>
      <c r="FQ42" s="541"/>
      <c r="FR42" s="541"/>
      <c r="FS42" s="541"/>
      <c r="FT42" s="541"/>
      <c r="FU42" s="541"/>
      <c r="FV42" s="541"/>
      <c r="FW42" s="541"/>
      <c r="FX42" s="541"/>
      <c r="FY42" s="541"/>
      <c r="FZ42" s="541"/>
      <c r="GA42" s="541"/>
      <c r="GB42" s="541"/>
      <c r="GC42" s="541"/>
      <c r="GD42" s="541"/>
      <c r="GE42" s="541"/>
      <c r="GF42" s="541"/>
      <c r="GG42" s="541"/>
      <c r="GH42" s="541"/>
      <c r="GI42" s="541"/>
      <c r="GJ42" s="541"/>
      <c r="GK42" s="541"/>
      <c r="GL42" s="541"/>
      <c r="GM42" s="541"/>
      <c r="GN42" s="541"/>
      <c r="GO42" s="541"/>
      <c r="GP42" s="541"/>
      <c r="GQ42" s="541"/>
      <c r="GR42" s="541"/>
      <c r="GS42" s="541"/>
      <c r="GT42" s="541"/>
      <c r="GU42" s="541"/>
      <c r="GV42" s="541"/>
      <c r="GW42" s="541"/>
      <c r="GX42" s="541"/>
      <c r="GY42" s="541"/>
      <c r="GZ42" s="541"/>
      <c r="HA42" s="541"/>
      <c r="HB42" s="541"/>
      <c r="HC42" s="541"/>
      <c r="HD42" s="541"/>
      <c r="HE42" s="541"/>
      <c r="HF42" s="541"/>
      <c r="HG42" s="541"/>
      <c r="HH42" s="541"/>
      <c r="HI42" s="541"/>
      <c r="HJ42" s="541"/>
      <c r="HK42" s="541"/>
      <c r="HL42" s="541"/>
      <c r="HM42" s="541"/>
      <c r="HN42" s="541"/>
      <c r="HO42" s="541"/>
      <c r="HP42" s="541"/>
      <c r="HQ42" s="541"/>
      <c r="HR42" s="541"/>
      <c r="HS42" s="541"/>
      <c r="HT42" s="541"/>
      <c r="HU42" s="541"/>
      <c r="HV42" s="541"/>
      <c r="HW42" s="541"/>
      <c r="HX42" s="541"/>
      <c r="HY42" s="541"/>
      <c r="HZ42" s="541"/>
      <c r="IA42" s="541"/>
      <c r="IB42" s="541"/>
      <c r="IC42" s="541"/>
      <c r="ID42" s="541"/>
      <c r="IE42" s="541"/>
      <c r="IF42" s="541"/>
      <c r="IG42" s="541"/>
      <c r="IH42" s="541"/>
      <c r="II42" s="541"/>
      <c r="IJ42" s="541"/>
      <c r="IK42" s="541"/>
      <c r="IL42" s="541"/>
      <c r="IM42" s="541"/>
      <c r="IN42" s="541"/>
      <c r="IO42" s="541"/>
      <c r="IP42" s="541"/>
      <c r="IQ42" s="541"/>
      <c r="IR42" s="541"/>
      <c r="IS42" s="541"/>
    </row>
    <row r="43" spans="1:253" s="542" customFormat="1">
      <c r="A43" s="421" t="s">
        <v>152</v>
      </c>
      <c r="B43" s="420">
        <f>SUM(B41:B42)</f>
        <v>2189964</v>
      </c>
      <c r="C43" s="420">
        <f>SUM(C41:C42)</f>
        <v>2189964</v>
      </c>
      <c r="D43" s="420">
        <f t="shared" si="0"/>
        <v>0</v>
      </c>
      <c r="E43" s="418"/>
      <c r="F43" s="417"/>
      <c r="G43" s="546"/>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1"/>
      <c r="DW43" s="541"/>
      <c r="DX43" s="541"/>
      <c r="DY43" s="541"/>
      <c r="DZ43" s="541"/>
      <c r="EA43" s="541"/>
      <c r="EB43" s="541"/>
      <c r="EC43" s="541"/>
      <c r="ED43" s="541"/>
      <c r="EE43" s="541"/>
      <c r="EF43" s="541"/>
      <c r="EG43" s="541"/>
      <c r="EH43" s="541"/>
      <c r="EI43" s="541"/>
      <c r="EJ43" s="541"/>
      <c r="EK43" s="541"/>
      <c r="EL43" s="541"/>
      <c r="EM43" s="541"/>
      <c r="EN43" s="541"/>
      <c r="EO43" s="541"/>
      <c r="EP43" s="541"/>
      <c r="EQ43" s="541"/>
      <c r="ER43" s="541"/>
      <c r="ES43" s="541"/>
      <c r="ET43" s="541"/>
      <c r="EU43" s="541"/>
      <c r="EV43" s="541"/>
      <c r="EW43" s="541"/>
      <c r="EX43" s="541"/>
      <c r="EY43" s="541"/>
      <c r="EZ43" s="541"/>
      <c r="FA43" s="541"/>
      <c r="FB43" s="541"/>
      <c r="FC43" s="541"/>
      <c r="FD43" s="541"/>
      <c r="FE43" s="541"/>
      <c r="FF43" s="541"/>
      <c r="FG43" s="541"/>
      <c r="FH43" s="541"/>
      <c r="FI43" s="541"/>
      <c r="FJ43" s="541"/>
      <c r="FK43" s="541"/>
      <c r="FL43" s="541"/>
      <c r="FM43" s="541"/>
      <c r="FN43" s="541"/>
      <c r="FO43" s="541"/>
      <c r="FP43" s="541"/>
      <c r="FQ43" s="541"/>
      <c r="FR43" s="541"/>
      <c r="FS43" s="541"/>
      <c r="FT43" s="541"/>
      <c r="FU43" s="541"/>
      <c r="FV43" s="541"/>
      <c r="FW43" s="541"/>
      <c r="FX43" s="541"/>
      <c r="FY43" s="541"/>
      <c r="FZ43" s="541"/>
      <c r="GA43" s="541"/>
      <c r="GB43" s="541"/>
      <c r="GC43" s="541"/>
      <c r="GD43" s="541"/>
      <c r="GE43" s="541"/>
      <c r="GF43" s="541"/>
      <c r="GG43" s="541"/>
      <c r="GH43" s="541"/>
      <c r="GI43" s="541"/>
      <c r="GJ43" s="541"/>
      <c r="GK43" s="541"/>
      <c r="GL43" s="541"/>
      <c r="GM43" s="541"/>
      <c r="GN43" s="541"/>
      <c r="GO43" s="541"/>
      <c r="GP43" s="541"/>
      <c r="GQ43" s="541"/>
      <c r="GR43" s="541"/>
      <c r="GS43" s="541"/>
      <c r="GT43" s="541"/>
      <c r="GU43" s="541"/>
      <c r="GV43" s="541"/>
      <c r="GW43" s="541"/>
      <c r="GX43" s="541"/>
      <c r="GY43" s="541"/>
      <c r="GZ43" s="541"/>
      <c r="HA43" s="541"/>
      <c r="HB43" s="541"/>
      <c r="HC43" s="541"/>
      <c r="HD43" s="541"/>
      <c r="HE43" s="541"/>
      <c r="HF43" s="541"/>
      <c r="HG43" s="541"/>
      <c r="HH43" s="541"/>
      <c r="HI43" s="541"/>
      <c r="HJ43" s="541"/>
      <c r="HK43" s="541"/>
      <c r="HL43" s="541"/>
      <c r="HM43" s="541"/>
      <c r="HN43" s="541"/>
      <c r="HO43" s="541"/>
      <c r="HP43" s="541"/>
      <c r="HQ43" s="541"/>
      <c r="HR43" s="541"/>
      <c r="HS43" s="541"/>
      <c r="HT43" s="541"/>
      <c r="HU43" s="541"/>
      <c r="HV43" s="541"/>
      <c r="HW43" s="541"/>
      <c r="HX43" s="541"/>
      <c r="HY43" s="541"/>
      <c r="HZ43" s="541"/>
      <c r="IA43" s="541"/>
      <c r="IB43" s="541"/>
      <c r="IC43" s="541"/>
      <c r="ID43" s="541"/>
      <c r="IE43" s="541"/>
      <c r="IF43" s="541"/>
      <c r="IG43" s="541"/>
      <c r="IH43" s="541"/>
      <c r="II43" s="541"/>
      <c r="IJ43" s="541"/>
      <c r="IK43" s="541"/>
      <c r="IL43" s="541"/>
      <c r="IM43" s="541"/>
      <c r="IN43" s="541"/>
      <c r="IO43" s="541"/>
      <c r="IP43" s="541"/>
      <c r="IQ43" s="541"/>
      <c r="IR43" s="541"/>
      <c r="IS43" s="541"/>
    </row>
    <row r="44" spans="1:253" s="542" customFormat="1">
      <c r="A44" s="421" t="s">
        <v>153</v>
      </c>
      <c r="B44" s="416">
        <f>'Sources and Uses Budget'!$C43</f>
        <v>300000</v>
      </c>
      <c r="C44" s="416">
        <f>'Sources and Uses Budget'!$C43</f>
        <v>300000</v>
      </c>
      <c r="D44" s="420">
        <f t="shared" si="0"/>
        <v>0</v>
      </c>
      <c r="E44" s="418"/>
      <c r="F44" s="417"/>
      <c r="G44" s="546"/>
      <c r="H44" s="541"/>
      <c r="I44" s="541"/>
      <c r="J44" s="541"/>
      <c r="K44" s="541"/>
      <c r="L44" s="541"/>
      <c r="M44" s="541"/>
      <c r="N44" s="541"/>
      <c r="O44" s="541"/>
      <c r="P44" s="541"/>
      <c r="Q44" s="541"/>
      <c r="R44" s="541"/>
      <c r="S44" s="541"/>
      <c r="T44" s="541"/>
      <c r="U44" s="541"/>
      <c r="V44" s="541"/>
      <c r="W44" s="541"/>
      <c r="X44" s="541"/>
      <c r="Y44" s="541"/>
      <c r="Z44" s="541"/>
      <c r="AA44" s="541"/>
      <c r="AB44" s="541"/>
      <c r="AC44" s="541"/>
      <c r="AD44" s="541"/>
      <c r="AE44" s="541"/>
      <c r="AF44" s="541"/>
      <c r="AG44" s="541"/>
      <c r="AH44" s="541"/>
      <c r="AI44" s="541"/>
      <c r="AJ44" s="541"/>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c r="DP44" s="541"/>
      <c r="DQ44" s="541"/>
      <c r="DR44" s="541"/>
      <c r="DS44" s="541"/>
      <c r="DT44" s="541"/>
      <c r="DU44" s="541"/>
      <c r="DV44" s="541"/>
      <c r="DW44" s="541"/>
      <c r="DX44" s="541"/>
      <c r="DY44" s="541"/>
      <c r="DZ44" s="541"/>
      <c r="EA44" s="541"/>
      <c r="EB44" s="541"/>
      <c r="EC44" s="541"/>
      <c r="ED44" s="541"/>
      <c r="EE44" s="541"/>
      <c r="EF44" s="541"/>
      <c r="EG44" s="541"/>
      <c r="EH44" s="541"/>
      <c r="EI44" s="541"/>
      <c r="EJ44" s="541"/>
      <c r="EK44" s="541"/>
      <c r="EL44" s="541"/>
      <c r="EM44" s="541"/>
      <c r="EN44" s="541"/>
      <c r="EO44" s="541"/>
      <c r="EP44" s="541"/>
      <c r="EQ44" s="541"/>
      <c r="ER44" s="541"/>
      <c r="ES44" s="541"/>
      <c r="ET44" s="541"/>
      <c r="EU44" s="541"/>
      <c r="EV44" s="541"/>
      <c r="EW44" s="541"/>
      <c r="EX44" s="541"/>
      <c r="EY44" s="541"/>
      <c r="EZ44" s="541"/>
      <c r="FA44" s="541"/>
      <c r="FB44" s="541"/>
      <c r="FC44" s="541"/>
      <c r="FD44" s="541"/>
      <c r="FE44" s="541"/>
      <c r="FF44" s="541"/>
      <c r="FG44" s="541"/>
      <c r="FH44" s="541"/>
      <c r="FI44" s="541"/>
      <c r="FJ44" s="541"/>
      <c r="FK44" s="541"/>
      <c r="FL44" s="541"/>
      <c r="FM44" s="541"/>
      <c r="FN44" s="541"/>
      <c r="FO44" s="541"/>
      <c r="FP44" s="541"/>
      <c r="FQ44" s="541"/>
      <c r="FR44" s="541"/>
      <c r="FS44" s="541"/>
      <c r="FT44" s="541"/>
      <c r="FU44" s="541"/>
      <c r="FV44" s="541"/>
      <c r="FW44" s="541"/>
      <c r="FX44" s="541"/>
      <c r="FY44" s="541"/>
      <c r="FZ44" s="541"/>
      <c r="GA44" s="541"/>
      <c r="GB44" s="541"/>
      <c r="GC44" s="541"/>
      <c r="GD44" s="541"/>
      <c r="GE44" s="541"/>
      <c r="GF44" s="541"/>
      <c r="GG44" s="541"/>
      <c r="GH44" s="541"/>
      <c r="GI44" s="541"/>
      <c r="GJ44" s="541"/>
      <c r="GK44" s="541"/>
      <c r="GL44" s="541"/>
      <c r="GM44" s="541"/>
      <c r="GN44" s="541"/>
      <c r="GO44" s="541"/>
      <c r="GP44" s="541"/>
      <c r="GQ44" s="541"/>
      <c r="GR44" s="541"/>
      <c r="GS44" s="541"/>
      <c r="GT44" s="541"/>
      <c r="GU44" s="541"/>
      <c r="GV44" s="541"/>
      <c r="GW44" s="541"/>
      <c r="GX44" s="541"/>
      <c r="GY44" s="541"/>
      <c r="GZ44" s="541"/>
      <c r="HA44" s="541"/>
      <c r="HB44" s="541"/>
      <c r="HC44" s="541"/>
      <c r="HD44" s="541"/>
      <c r="HE44" s="541"/>
      <c r="HF44" s="541"/>
      <c r="HG44" s="541"/>
      <c r="HH44" s="541"/>
      <c r="HI44" s="541"/>
      <c r="HJ44" s="541"/>
      <c r="HK44" s="541"/>
      <c r="HL44" s="541"/>
      <c r="HM44" s="541"/>
      <c r="HN44" s="541"/>
      <c r="HO44" s="541"/>
      <c r="HP44" s="541"/>
      <c r="HQ44" s="541"/>
      <c r="HR44" s="541"/>
      <c r="HS44" s="541"/>
      <c r="HT44" s="541"/>
      <c r="HU44" s="541"/>
      <c r="HV44" s="541"/>
      <c r="HW44" s="541"/>
      <c r="HX44" s="541"/>
      <c r="HY44" s="541"/>
      <c r="HZ44" s="541"/>
      <c r="IA44" s="541"/>
      <c r="IB44" s="541"/>
      <c r="IC44" s="541"/>
      <c r="ID44" s="541"/>
      <c r="IE44" s="541"/>
      <c r="IF44" s="541"/>
      <c r="IG44" s="541"/>
      <c r="IH44" s="541"/>
      <c r="II44" s="541"/>
      <c r="IJ44" s="541"/>
      <c r="IK44" s="541"/>
      <c r="IL44" s="541"/>
      <c r="IM44" s="541"/>
      <c r="IN44" s="541"/>
      <c r="IO44" s="541"/>
      <c r="IP44" s="541"/>
      <c r="IQ44" s="541"/>
      <c r="IR44" s="541"/>
      <c r="IS44" s="541"/>
    </row>
    <row r="45" spans="1:253" s="542" customFormat="1" ht="12" customHeight="1">
      <c r="A45" s="414" t="s">
        <v>154</v>
      </c>
      <c r="B45" s="414"/>
      <c r="C45" s="414"/>
      <c r="D45" s="414"/>
      <c r="E45" s="434"/>
      <c r="F45" s="414"/>
      <c r="G45" s="546"/>
      <c r="H45" s="541"/>
      <c r="I45" s="541"/>
      <c r="J45" s="541"/>
      <c r="K45" s="541"/>
      <c r="L45" s="541"/>
      <c r="M45" s="541"/>
      <c r="N45" s="541"/>
      <c r="O45" s="541"/>
      <c r="P45" s="541"/>
      <c r="Q45" s="541"/>
      <c r="R45" s="541"/>
      <c r="S45" s="541"/>
      <c r="T45" s="541"/>
      <c r="U45" s="541"/>
      <c r="V45" s="541"/>
      <c r="W45" s="541"/>
      <c r="X45" s="541"/>
      <c r="Y45" s="541"/>
      <c r="Z45" s="541"/>
      <c r="AA45" s="541"/>
      <c r="AB45" s="541"/>
      <c r="AC45" s="541"/>
      <c r="AD45" s="541"/>
      <c r="AE45" s="541"/>
      <c r="AF45" s="541"/>
      <c r="AG45" s="541"/>
      <c r="AH45" s="541"/>
      <c r="AI45" s="541"/>
      <c r="AJ45" s="541"/>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c r="DP45" s="541"/>
      <c r="DQ45" s="541"/>
      <c r="DR45" s="541"/>
      <c r="DS45" s="541"/>
      <c r="DT45" s="541"/>
      <c r="DU45" s="541"/>
      <c r="DV45" s="541"/>
      <c r="DW45" s="541"/>
      <c r="DX45" s="541"/>
      <c r="DY45" s="541"/>
      <c r="DZ45" s="541"/>
      <c r="EA45" s="541"/>
      <c r="EB45" s="541"/>
      <c r="EC45" s="541"/>
      <c r="ED45" s="541"/>
      <c r="EE45" s="541"/>
      <c r="EF45" s="541"/>
      <c r="EG45" s="541"/>
      <c r="EH45" s="541"/>
      <c r="EI45" s="541"/>
      <c r="EJ45" s="541"/>
      <c r="EK45" s="541"/>
      <c r="EL45" s="541"/>
      <c r="EM45" s="541"/>
      <c r="EN45" s="541"/>
      <c r="EO45" s="541"/>
      <c r="EP45" s="541"/>
      <c r="EQ45" s="541"/>
      <c r="ER45" s="541"/>
      <c r="ES45" s="541"/>
      <c r="ET45" s="541"/>
      <c r="EU45" s="541"/>
      <c r="EV45" s="541"/>
      <c r="EW45" s="541"/>
      <c r="EX45" s="541"/>
      <c r="EY45" s="541"/>
      <c r="EZ45" s="541"/>
      <c r="FA45" s="541"/>
      <c r="FB45" s="541"/>
      <c r="FC45" s="541"/>
      <c r="FD45" s="541"/>
      <c r="FE45" s="541"/>
      <c r="FF45" s="541"/>
      <c r="FG45" s="541"/>
      <c r="FH45" s="541"/>
      <c r="FI45" s="541"/>
      <c r="FJ45" s="541"/>
      <c r="FK45" s="541"/>
      <c r="FL45" s="541"/>
      <c r="FM45" s="541"/>
      <c r="FN45" s="541"/>
      <c r="FO45" s="541"/>
      <c r="FP45" s="541"/>
      <c r="FQ45" s="541"/>
      <c r="FR45" s="541"/>
      <c r="FS45" s="541"/>
      <c r="FT45" s="541"/>
      <c r="FU45" s="541"/>
      <c r="FV45" s="541"/>
      <c r="FW45" s="541"/>
      <c r="FX45" s="541"/>
      <c r="FY45" s="541"/>
      <c r="FZ45" s="541"/>
      <c r="GA45" s="541"/>
      <c r="GB45" s="541"/>
      <c r="GC45" s="541"/>
      <c r="GD45" s="541"/>
      <c r="GE45" s="541"/>
      <c r="GF45" s="541"/>
      <c r="GG45" s="541"/>
      <c r="GH45" s="541"/>
      <c r="GI45" s="541"/>
      <c r="GJ45" s="541"/>
      <c r="GK45" s="541"/>
      <c r="GL45" s="541"/>
      <c r="GM45" s="541"/>
      <c r="GN45" s="541"/>
      <c r="GO45" s="541"/>
      <c r="GP45" s="541"/>
      <c r="GQ45" s="541"/>
      <c r="GR45" s="541"/>
      <c r="GS45" s="541"/>
      <c r="GT45" s="541"/>
      <c r="GU45" s="541"/>
      <c r="GV45" s="541"/>
      <c r="GW45" s="541"/>
      <c r="GX45" s="541"/>
      <c r="GY45" s="541"/>
      <c r="GZ45" s="541"/>
      <c r="HA45" s="541"/>
      <c r="HB45" s="541"/>
      <c r="HC45" s="541"/>
      <c r="HD45" s="541"/>
      <c r="HE45" s="541"/>
      <c r="HF45" s="541"/>
      <c r="HG45" s="541"/>
      <c r="HH45" s="541"/>
      <c r="HI45" s="541"/>
      <c r="HJ45" s="541"/>
      <c r="HK45" s="541"/>
      <c r="HL45" s="541"/>
      <c r="HM45" s="541"/>
      <c r="HN45" s="541"/>
      <c r="HO45" s="541"/>
      <c r="HP45" s="541"/>
      <c r="HQ45" s="541"/>
      <c r="HR45" s="541"/>
      <c r="HS45" s="541"/>
      <c r="HT45" s="541"/>
      <c r="HU45" s="541"/>
      <c r="HV45" s="541"/>
      <c r="HW45" s="541"/>
      <c r="HX45" s="541"/>
      <c r="HY45" s="541"/>
      <c r="HZ45" s="541"/>
      <c r="IA45" s="541"/>
      <c r="IB45" s="541"/>
      <c r="IC45" s="541"/>
      <c r="ID45" s="541"/>
      <c r="IE45" s="541"/>
      <c r="IF45" s="541"/>
      <c r="IG45" s="541"/>
      <c r="IH45" s="541"/>
      <c r="II45" s="541"/>
      <c r="IJ45" s="541"/>
      <c r="IK45" s="541"/>
      <c r="IL45" s="541"/>
      <c r="IM45" s="541"/>
      <c r="IN45" s="541"/>
      <c r="IO45" s="541"/>
      <c r="IP45" s="541"/>
      <c r="IQ45" s="541"/>
      <c r="IR45" s="541"/>
      <c r="IS45" s="541"/>
    </row>
    <row r="46" spans="1:253" s="542" customFormat="1">
      <c r="A46" s="215" t="s">
        <v>155</v>
      </c>
      <c r="B46" s="416">
        <f>'Sources and Uses Budget'!$C45</f>
        <v>3274051</v>
      </c>
      <c r="C46" s="416">
        <f>'Sources and Uses Budget'!$C45</f>
        <v>3274051</v>
      </c>
      <c r="D46" s="420">
        <f t="shared" si="0"/>
        <v>0</v>
      </c>
      <c r="E46" s="418"/>
      <c r="F46" s="417"/>
      <c r="G46" s="546"/>
      <c r="H46" s="541"/>
      <c r="I46" s="541"/>
      <c r="J46" s="541"/>
      <c r="K46" s="541"/>
      <c r="L46" s="541"/>
      <c r="M46" s="541"/>
      <c r="N46" s="541"/>
      <c r="O46" s="541"/>
      <c r="P46" s="541"/>
      <c r="Q46" s="541"/>
      <c r="R46" s="541"/>
      <c r="S46" s="541"/>
      <c r="T46" s="541"/>
      <c r="U46" s="541"/>
      <c r="V46" s="541"/>
      <c r="W46" s="541"/>
      <c r="X46" s="541"/>
      <c r="Y46" s="541"/>
      <c r="Z46" s="541"/>
      <c r="AA46" s="541"/>
      <c r="AB46" s="541"/>
      <c r="AC46" s="541"/>
      <c r="AD46" s="541"/>
      <c r="AE46" s="541"/>
      <c r="AF46" s="541"/>
      <c r="AG46" s="541"/>
      <c r="AH46" s="541"/>
      <c r="AI46" s="541"/>
      <c r="AJ46" s="541"/>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41"/>
      <c r="BZ46" s="541"/>
      <c r="CA46" s="541"/>
      <c r="CB46" s="541"/>
      <c r="CC46" s="541"/>
      <c r="CD46" s="541"/>
      <c r="CE46" s="541"/>
      <c r="CF46" s="541"/>
      <c r="CG46" s="541"/>
      <c r="CH46" s="541"/>
      <c r="CI46" s="541"/>
      <c r="CJ46" s="541"/>
      <c r="CK46" s="541"/>
      <c r="CL46" s="541"/>
      <c r="CM46" s="541"/>
      <c r="CN46" s="541"/>
      <c r="CO46" s="541"/>
      <c r="CP46" s="541"/>
      <c r="CQ46" s="541"/>
      <c r="CR46" s="541"/>
      <c r="CS46" s="541"/>
      <c r="CT46" s="541"/>
      <c r="CU46" s="541"/>
      <c r="CV46" s="541"/>
      <c r="CW46" s="541"/>
      <c r="CX46" s="541"/>
      <c r="CY46" s="541"/>
      <c r="CZ46" s="541"/>
      <c r="DA46" s="541"/>
      <c r="DB46" s="541"/>
      <c r="DC46" s="541"/>
      <c r="DD46" s="541"/>
      <c r="DE46" s="541"/>
      <c r="DF46" s="541"/>
      <c r="DG46" s="541"/>
      <c r="DH46" s="541"/>
      <c r="DI46" s="541"/>
      <c r="DJ46" s="541"/>
      <c r="DK46" s="541"/>
      <c r="DL46" s="541"/>
      <c r="DM46" s="541"/>
      <c r="DN46" s="541"/>
      <c r="DO46" s="541"/>
      <c r="DP46" s="541"/>
      <c r="DQ46" s="541"/>
      <c r="DR46" s="541"/>
      <c r="DS46" s="541"/>
      <c r="DT46" s="541"/>
      <c r="DU46" s="541"/>
      <c r="DV46" s="541"/>
      <c r="DW46" s="541"/>
      <c r="DX46" s="541"/>
      <c r="DY46" s="541"/>
      <c r="DZ46" s="541"/>
      <c r="EA46" s="541"/>
      <c r="EB46" s="541"/>
      <c r="EC46" s="541"/>
      <c r="ED46" s="541"/>
      <c r="EE46" s="541"/>
      <c r="EF46" s="541"/>
      <c r="EG46" s="541"/>
      <c r="EH46" s="541"/>
      <c r="EI46" s="541"/>
      <c r="EJ46" s="541"/>
      <c r="EK46" s="541"/>
      <c r="EL46" s="541"/>
      <c r="EM46" s="541"/>
      <c r="EN46" s="541"/>
      <c r="EO46" s="541"/>
      <c r="EP46" s="541"/>
      <c r="EQ46" s="541"/>
      <c r="ER46" s="541"/>
      <c r="ES46" s="541"/>
      <c r="ET46" s="541"/>
      <c r="EU46" s="541"/>
      <c r="EV46" s="541"/>
      <c r="EW46" s="541"/>
      <c r="EX46" s="541"/>
      <c r="EY46" s="541"/>
      <c r="EZ46" s="541"/>
      <c r="FA46" s="541"/>
      <c r="FB46" s="541"/>
      <c r="FC46" s="541"/>
      <c r="FD46" s="541"/>
      <c r="FE46" s="541"/>
      <c r="FF46" s="541"/>
      <c r="FG46" s="541"/>
      <c r="FH46" s="541"/>
      <c r="FI46" s="541"/>
      <c r="FJ46" s="541"/>
      <c r="FK46" s="541"/>
      <c r="FL46" s="541"/>
      <c r="FM46" s="541"/>
      <c r="FN46" s="541"/>
      <c r="FO46" s="541"/>
      <c r="FP46" s="541"/>
      <c r="FQ46" s="541"/>
      <c r="FR46" s="541"/>
      <c r="FS46" s="541"/>
      <c r="FT46" s="541"/>
      <c r="FU46" s="541"/>
      <c r="FV46" s="541"/>
      <c r="FW46" s="541"/>
      <c r="FX46" s="541"/>
      <c r="FY46" s="541"/>
      <c r="FZ46" s="541"/>
      <c r="GA46" s="541"/>
      <c r="GB46" s="541"/>
      <c r="GC46" s="541"/>
      <c r="GD46" s="541"/>
      <c r="GE46" s="541"/>
      <c r="GF46" s="541"/>
      <c r="GG46" s="541"/>
      <c r="GH46" s="541"/>
      <c r="GI46" s="541"/>
      <c r="GJ46" s="541"/>
      <c r="GK46" s="541"/>
      <c r="GL46" s="541"/>
      <c r="GM46" s="541"/>
      <c r="GN46" s="541"/>
      <c r="GO46" s="541"/>
      <c r="GP46" s="541"/>
      <c r="GQ46" s="541"/>
      <c r="GR46" s="541"/>
      <c r="GS46" s="541"/>
      <c r="GT46" s="541"/>
      <c r="GU46" s="541"/>
      <c r="GV46" s="541"/>
      <c r="GW46" s="541"/>
      <c r="GX46" s="541"/>
      <c r="GY46" s="541"/>
      <c r="GZ46" s="541"/>
      <c r="HA46" s="541"/>
      <c r="HB46" s="541"/>
      <c r="HC46" s="541"/>
      <c r="HD46" s="541"/>
      <c r="HE46" s="541"/>
      <c r="HF46" s="541"/>
      <c r="HG46" s="541"/>
      <c r="HH46" s="541"/>
      <c r="HI46" s="541"/>
      <c r="HJ46" s="541"/>
      <c r="HK46" s="541"/>
      <c r="HL46" s="541"/>
      <c r="HM46" s="541"/>
      <c r="HN46" s="541"/>
      <c r="HO46" s="541"/>
      <c r="HP46" s="541"/>
      <c r="HQ46" s="541"/>
      <c r="HR46" s="541"/>
      <c r="HS46" s="541"/>
      <c r="HT46" s="541"/>
      <c r="HU46" s="541"/>
      <c r="HV46" s="541"/>
      <c r="HW46" s="541"/>
      <c r="HX46" s="541"/>
      <c r="HY46" s="541"/>
      <c r="HZ46" s="541"/>
      <c r="IA46" s="541"/>
      <c r="IB46" s="541"/>
      <c r="IC46" s="541"/>
      <c r="ID46" s="541"/>
      <c r="IE46" s="541"/>
      <c r="IF46" s="541"/>
      <c r="IG46" s="541"/>
      <c r="IH46" s="541"/>
      <c r="II46" s="541"/>
      <c r="IJ46" s="541"/>
      <c r="IK46" s="541"/>
      <c r="IL46" s="541"/>
      <c r="IM46" s="541"/>
      <c r="IN46" s="541"/>
      <c r="IO46" s="541"/>
      <c r="IP46" s="541"/>
      <c r="IQ46" s="541"/>
      <c r="IR46" s="541"/>
      <c r="IS46" s="541"/>
    </row>
    <row r="47" spans="1:253" s="542" customFormat="1">
      <c r="A47" s="215" t="s">
        <v>156</v>
      </c>
      <c r="B47" s="416">
        <f>'Sources and Uses Budget'!$C46</f>
        <v>487289</v>
      </c>
      <c r="C47" s="416">
        <f>'Sources and Uses Budget'!$C46</f>
        <v>487289</v>
      </c>
      <c r="D47" s="420">
        <f t="shared" si="0"/>
        <v>0</v>
      </c>
      <c r="E47" s="418"/>
      <c r="F47" s="417"/>
      <c r="G47" s="546"/>
      <c r="H47" s="541"/>
      <c r="I47" s="541"/>
      <c r="J47" s="541"/>
      <c r="K47" s="541"/>
      <c r="L47" s="541"/>
      <c r="M47" s="541"/>
      <c r="N47" s="541"/>
      <c r="O47" s="541"/>
      <c r="P47" s="541"/>
      <c r="Q47" s="541"/>
      <c r="R47" s="541"/>
      <c r="S47" s="541"/>
      <c r="T47" s="541"/>
      <c r="U47" s="541"/>
      <c r="V47" s="541"/>
      <c r="W47" s="541"/>
      <c r="X47" s="541"/>
      <c r="Y47" s="541"/>
      <c r="Z47" s="541"/>
      <c r="AA47" s="541"/>
      <c r="AB47" s="541"/>
      <c r="AC47" s="541"/>
      <c r="AD47" s="541"/>
      <c r="AE47" s="541"/>
      <c r="AF47" s="541"/>
      <c r="AG47" s="541"/>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c r="DP47" s="541"/>
      <c r="DQ47" s="541"/>
      <c r="DR47" s="541"/>
      <c r="DS47" s="541"/>
      <c r="DT47" s="541"/>
      <c r="DU47" s="541"/>
      <c r="DV47" s="541"/>
      <c r="DW47" s="541"/>
      <c r="DX47" s="541"/>
      <c r="DY47" s="541"/>
      <c r="DZ47" s="541"/>
      <c r="EA47" s="541"/>
      <c r="EB47" s="541"/>
      <c r="EC47" s="541"/>
      <c r="ED47" s="541"/>
      <c r="EE47" s="541"/>
      <c r="EF47" s="541"/>
      <c r="EG47" s="541"/>
      <c r="EH47" s="541"/>
      <c r="EI47" s="541"/>
      <c r="EJ47" s="541"/>
      <c r="EK47" s="541"/>
      <c r="EL47" s="541"/>
      <c r="EM47" s="541"/>
      <c r="EN47" s="541"/>
      <c r="EO47" s="541"/>
      <c r="EP47" s="541"/>
      <c r="EQ47" s="541"/>
      <c r="ER47" s="541"/>
      <c r="ES47" s="541"/>
      <c r="ET47" s="541"/>
      <c r="EU47" s="541"/>
      <c r="EV47" s="541"/>
      <c r="EW47" s="541"/>
      <c r="EX47" s="541"/>
      <c r="EY47" s="541"/>
      <c r="EZ47" s="541"/>
      <c r="FA47" s="541"/>
      <c r="FB47" s="541"/>
      <c r="FC47" s="541"/>
      <c r="FD47" s="541"/>
      <c r="FE47" s="541"/>
      <c r="FF47" s="541"/>
      <c r="FG47" s="541"/>
      <c r="FH47" s="541"/>
      <c r="FI47" s="541"/>
      <c r="FJ47" s="541"/>
      <c r="FK47" s="541"/>
      <c r="FL47" s="541"/>
      <c r="FM47" s="541"/>
      <c r="FN47" s="541"/>
      <c r="FO47" s="541"/>
      <c r="FP47" s="541"/>
      <c r="FQ47" s="541"/>
      <c r="FR47" s="541"/>
      <c r="FS47" s="541"/>
      <c r="FT47" s="541"/>
      <c r="FU47" s="541"/>
      <c r="FV47" s="541"/>
      <c r="FW47" s="541"/>
      <c r="FX47" s="541"/>
      <c r="FY47" s="541"/>
      <c r="FZ47" s="541"/>
      <c r="GA47" s="541"/>
      <c r="GB47" s="541"/>
      <c r="GC47" s="541"/>
      <c r="GD47" s="541"/>
      <c r="GE47" s="541"/>
      <c r="GF47" s="541"/>
      <c r="GG47" s="541"/>
      <c r="GH47" s="541"/>
      <c r="GI47" s="541"/>
      <c r="GJ47" s="541"/>
      <c r="GK47" s="541"/>
      <c r="GL47" s="541"/>
      <c r="GM47" s="541"/>
      <c r="GN47" s="541"/>
      <c r="GO47" s="541"/>
      <c r="GP47" s="541"/>
      <c r="GQ47" s="541"/>
      <c r="GR47" s="541"/>
      <c r="GS47" s="541"/>
      <c r="GT47" s="541"/>
      <c r="GU47" s="541"/>
      <c r="GV47" s="541"/>
      <c r="GW47" s="541"/>
      <c r="GX47" s="541"/>
      <c r="GY47" s="541"/>
      <c r="GZ47" s="541"/>
      <c r="HA47" s="541"/>
      <c r="HB47" s="541"/>
      <c r="HC47" s="541"/>
      <c r="HD47" s="541"/>
      <c r="HE47" s="541"/>
      <c r="HF47" s="541"/>
      <c r="HG47" s="541"/>
      <c r="HH47" s="541"/>
      <c r="HI47" s="541"/>
      <c r="HJ47" s="541"/>
      <c r="HK47" s="541"/>
      <c r="HL47" s="541"/>
      <c r="HM47" s="541"/>
      <c r="HN47" s="541"/>
      <c r="HO47" s="541"/>
      <c r="HP47" s="541"/>
      <c r="HQ47" s="541"/>
      <c r="HR47" s="541"/>
      <c r="HS47" s="541"/>
      <c r="HT47" s="541"/>
      <c r="HU47" s="541"/>
      <c r="HV47" s="541"/>
      <c r="HW47" s="541"/>
      <c r="HX47" s="541"/>
      <c r="HY47" s="541"/>
      <c r="HZ47" s="541"/>
      <c r="IA47" s="541"/>
      <c r="IB47" s="541"/>
      <c r="IC47" s="541"/>
      <c r="ID47" s="541"/>
      <c r="IE47" s="541"/>
      <c r="IF47" s="541"/>
      <c r="IG47" s="541"/>
      <c r="IH47" s="541"/>
      <c r="II47" s="541"/>
      <c r="IJ47" s="541"/>
      <c r="IK47" s="541"/>
      <c r="IL47" s="541"/>
      <c r="IM47" s="541"/>
      <c r="IN47" s="541"/>
      <c r="IO47" s="541"/>
      <c r="IP47" s="541"/>
      <c r="IQ47" s="541"/>
      <c r="IR47" s="541"/>
      <c r="IS47" s="541"/>
    </row>
    <row r="48" spans="1:253" s="542" customFormat="1" ht="12" customHeight="1">
      <c r="A48" s="297" t="s">
        <v>157</v>
      </c>
      <c r="B48" s="416">
        <f>'Sources and Uses Budget'!$C47</f>
        <v>0</v>
      </c>
      <c r="C48" s="416">
        <f>'Sources and Uses Budget'!$C47</f>
        <v>0</v>
      </c>
      <c r="D48" s="420">
        <f t="shared" si="0"/>
        <v>0</v>
      </c>
      <c r="E48" s="418"/>
      <c r="F48" s="417"/>
      <c r="G48" s="546"/>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541"/>
      <c r="CF48" s="541"/>
      <c r="CG48" s="541"/>
      <c r="CH48" s="541"/>
      <c r="CI48" s="541"/>
      <c r="CJ48" s="541"/>
      <c r="CK48" s="541"/>
      <c r="CL48" s="541"/>
      <c r="CM48" s="541"/>
      <c r="CN48" s="541"/>
      <c r="CO48" s="541"/>
      <c r="CP48" s="541"/>
      <c r="CQ48" s="541"/>
      <c r="CR48" s="541"/>
      <c r="CS48" s="541"/>
      <c r="CT48" s="541"/>
      <c r="CU48" s="541"/>
      <c r="CV48" s="541"/>
      <c r="CW48" s="541"/>
      <c r="CX48" s="541"/>
      <c r="CY48" s="541"/>
      <c r="CZ48" s="541"/>
      <c r="DA48" s="541"/>
      <c r="DB48" s="541"/>
      <c r="DC48" s="541"/>
      <c r="DD48" s="541"/>
      <c r="DE48" s="541"/>
      <c r="DF48" s="541"/>
      <c r="DG48" s="541"/>
      <c r="DH48" s="541"/>
      <c r="DI48" s="541"/>
      <c r="DJ48" s="541"/>
      <c r="DK48" s="541"/>
      <c r="DL48" s="541"/>
      <c r="DM48" s="541"/>
      <c r="DN48" s="541"/>
      <c r="DO48" s="541"/>
      <c r="DP48" s="541"/>
      <c r="DQ48" s="541"/>
      <c r="DR48" s="541"/>
      <c r="DS48" s="541"/>
      <c r="DT48" s="541"/>
      <c r="DU48" s="541"/>
      <c r="DV48" s="541"/>
      <c r="DW48" s="541"/>
      <c r="DX48" s="541"/>
      <c r="DY48" s="541"/>
      <c r="DZ48" s="541"/>
      <c r="EA48" s="541"/>
      <c r="EB48" s="541"/>
      <c r="EC48" s="541"/>
      <c r="ED48" s="541"/>
      <c r="EE48" s="541"/>
      <c r="EF48" s="541"/>
      <c r="EG48" s="541"/>
      <c r="EH48" s="541"/>
      <c r="EI48" s="541"/>
      <c r="EJ48" s="541"/>
      <c r="EK48" s="541"/>
      <c r="EL48" s="541"/>
      <c r="EM48" s="541"/>
      <c r="EN48" s="541"/>
      <c r="EO48" s="541"/>
      <c r="EP48" s="541"/>
      <c r="EQ48" s="541"/>
      <c r="ER48" s="541"/>
      <c r="ES48" s="541"/>
      <c r="ET48" s="541"/>
      <c r="EU48" s="541"/>
      <c r="EV48" s="541"/>
      <c r="EW48" s="541"/>
      <c r="EX48" s="541"/>
      <c r="EY48" s="541"/>
      <c r="EZ48" s="541"/>
      <c r="FA48" s="541"/>
      <c r="FB48" s="541"/>
      <c r="FC48" s="541"/>
      <c r="FD48" s="541"/>
      <c r="FE48" s="541"/>
      <c r="FF48" s="541"/>
      <c r="FG48" s="541"/>
      <c r="FH48" s="541"/>
      <c r="FI48" s="541"/>
      <c r="FJ48" s="541"/>
      <c r="FK48" s="541"/>
      <c r="FL48" s="541"/>
      <c r="FM48" s="541"/>
      <c r="FN48" s="541"/>
      <c r="FO48" s="541"/>
      <c r="FP48" s="541"/>
      <c r="FQ48" s="541"/>
      <c r="FR48" s="541"/>
      <c r="FS48" s="541"/>
      <c r="FT48" s="541"/>
      <c r="FU48" s="541"/>
      <c r="FV48" s="541"/>
      <c r="FW48" s="541"/>
      <c r="FX48" s="541"/>
      <c r="FY48" s="541"/>
      <c r="FZ48" s="541"/>
      <c r="GA48" s="541"/>
      <c r="GB48" s="541"/>
      <c r="GC48" s="541"/>
      <c r="GD48" s="541"/>
      <c r="GE48" s="541"/>
      <c r="GF48" s="541"/>
      <c r="GG48" s="541"/>
      <c r="GH48" s="541"/>
      <c r="GI48" s="541"/>
      <c r="GJ48" s="541"/>
      <c r="GK48" s="541"/>
      <c r="GL48" s="541"/>
      <c r="GM48" s="541"/>
      <c r="GN48" s="541"/>
      <c r="GO48" s="541"/>
      <c r="GP48" s="541"/>
      <c r="GQ48" s="541"/>
      <c r="GR48" s="541"/>
      <c r="GS48" s="541"/>
      <c r="GT48" s="541"/>
      <c r="GU48" s="541"/>
      <c r="GV48" s="541"/>
      <c r="GW48" s="541"/>
      <c r="GX48" s="541"/>
      <c r="GY48" s="541"/>
      <c r="GZ48" s="541"/>
      <c r="HA48" s="541"/>
      <c r="HB48" s="541"/>
      <c r="HC48" s="541"/>
      <c r="HD48" s="541"/>
      <c r="HE48" s="541"/>
      <c r="HF48" s="541"/>
      <c r="HG48" s="541"/>
      <c r="HH48" s="541"/>
      <c r="HI48" s="541"/>
      <c r="HJ48" s="541"/>
      <c r="HK48" s="541"/>
      <c r="HL48" s="541"/>
      <c r="HM48" s="541"/>
      <c r="HN48" s="541"/>
      <c r="HO48" s="541"/>
      <c r="HP48" s="541"/>
      <c r="HQ48" s="541"/>
      <c r="HR48" s="541"/>
      <c r="HS48" s="541"/>
      <c r="HT48" s="541"/>
      <c r="HU48" s="541"/>
      <c r="HV48" s="541"/>
      <c r="HW48" s="541"/>
      <c r="HX48" s="541"/>
      <c r="HY48" s="541"/>
      <c r="HZ48" s="541"/>
      <c r="IA48" s="541"/>
      <c r="IB48" s="541"/>
      <c r="IC48" s="541"/>
      <c r="ID48" s="541"/>
      <c r="IE48" s="541"/>
      <c r="IF48" s="541"/>
      <c r="IG48" s="541"/>
      <c r="IH48" s="541"/>
      <c r="II48" s="541"/>
      <c r="IJ48" s="541"/>
      <c r="IK48" s="541"/>
      <c r="IL48" s="541"/>
      <c r="IM48" s="541"/>
      <c r="IN48" s="541"/>
      <c r="IO48" s="541"/>
      <c r="IP48" s="541"/>
      <c r="IQ48" s="541"/>
      <c r="IR48" s="541"/>
      <c r="IS48" s="541"/>
    </row>
    <row r="49" spans="1:253" s="542" customFormat="1">
      <c r="A49" s="215" t="s">
        <v>158</v>
      </c>
      <c r="B49" s="416">
        <f>'Sources and Uses Budget'!$C48</f>
        <v>0</v>
      </c>
      <c r="C49" s="416">
        <f>'Sources and Uses Budget'!$C48</f>
        <v>0</v>
      </c>
      <c r="D49" s="420">
        <f t="shared" si="0"/>
        <v>0</v>
      </c>
      <c r="E49" s="418"/>
      <c r="F49" s="417"/>
      <c r="G49" s="546"/>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1"/>
      <c r="CA49" s="541"/>
      <c r="CB49" s="541"/>
      <c r="CC49" s="541"/>
      <c r="CD49" s="541"/>
      <c r="CE49" s="541"/>
      <c r="CF49" s="541"/>
      <c r="CG49" s="541"/>
      <c r="CH49" s="541"/>
      <c r="CI49" s="541"/>
      <c r="CJ49" s="541"/>
      <c r="CK49" s="541"/>
      <c r="CL49" s="541"/>
      <c r="CM49" s="541"/>
      <c r="CN49" s="541"/>
      <c r="CO49" s="541"/>
      <c r="CP49" s="541"/>
      <c r="CQ49" s="541"/>
      <c r="CR49" s="541"/>
      <c r="CS49" s="541"/>
      <c r="CT49" s="541"/>
      <c r="CU49" s="541"/>
      <c r="CV49" s="541"/>
      <c r="CW49" s="541"/>
      <c r="CX49" s="541"/>
      <c r="CY49" s="541"/>
      <c r="CZ49" s="541"/>
      <c r="DA49" s="541"/>
      <c r="DB49" s="541"/>
      <c r="DC49" s="541"/>
      <c r="DD49" s="541"/>
      <c r="DE49" s="541"/>
      <c r="DF49" s="541"/>
      <c r="DG49" s="541"/>
      <c r="DH49" s="541"/>
      <c r="DI49" s="541"/>
      <c r="DJ49" s="541"/>
      <c r="DK49" s="541"/>
      <c r="DL49" s="541"/>
      <c r="DM49" s="541"/>
      <c r="DN49" s="541"/>
      <c r="DO49" s="541"/>
      <c r="DP49" s="541"/>
      <c r="DQ49" s="541"/>
      <c r="DR49" s="541"/>
      <c r="DS49" s="541"/>
      <c r="DT49" s="541"/>
      <c r="DU49" s="541"/>
      <c r="DV49" s="541"/>
      <c r="DW49" s="541"/>
      <c r="DX49" s="541"/>
      <c r="DY49" s="541"/>
      <c r="DZ49" s="541"/>
      <c r="EA49" s="541"/>
      <c r="EB49" s="541"/>
      <c r="EC49" s="541"/>
      <c r="ED49" s="541"/>
      <c r="EE49" s="541"/>
      <c r="EF49" s="541"/>
      <c r="EG49" s="541"/>
      <c r="EH49" s="541"/>
      <c r="EI49" s="541"/>
      <c r="EJ49" s="541"/>
      <c r="EK49" s="541"/>
      <c r="EL49" s="541"/>
      <c r="EM49" s="541"/>
      <c r="EN49" s="541"/>
      <c r="EO49" s="541"/>
      <c r="EP49" s="541"/>
      <c r="EQ49" s="541"/>
      <c r="ER49" s="541"/>
      <c r="ES49" s="541"/>
      <c r="ET49" s="541"/>
      <c r="EU49" s="541"/>
      <c r="EV49" s="541"/>
      <c r="EW49" s="541"/>
      <c r="EX49" s="541"/>
      <c r="EY49" s="541"/>
      <c r="EZ49" s="541"/>
      <c r="FA49" s="541"/>
      <c r="FB49" s="541"/>
      <c r="FC49" s="541"/>
      <c r="FD49" s="541"/>
      <c r="FE49" s="541"/>
      <c r="FF49" s="541"/>
      <c r="FG49" s="541"/>
      <c r="FH49" s="541"/>
      <c r="FI49" s="541"/>
      <c r="FJ49" s="541"/>
      <c r="FK49" s="541"/>
      <c r="FL49" s="541"/>
      <c r="FM49" s="541"/>
      <c r="FN49" s="541"/>
      <c r="FO49" s="541"/>
      <c r="FP49" s="541"/>
      <c r="FQ49" s="541"/>
      <c r="FR49" s="541"/>
      <c r="FS49" s="541"/>
      <c r="FT49" s="541"/>
      <c r="FU49" s="541"/>
      <c r="FV49" s="541"/>
      <c r="FW49" s="541"/>
      <c r="FX49" s="541"/>
      <c r="FY49" s="541"/>
      <c r="FZ49" s="541"/>
      <c r="GA49" s="541"/>
      <c r="GB49" s="541"/>
      <c r="GC49" s="541"/>
      <c r="GD49" s="541"/>
      <c r="GE49" s="541"/>
      <c r="GF49" s="541"/>
      <c r="GG49" s="541"/>
      <c r="GH49" s="541"/>
      <c r="GI49" s="541"/>
      <c r="GJ49" s="541"/>
      <c r="GK49" s="541"/>
      <c r="GL49" s="541"/>
      <c r="GM49" s="541"/>
      <c r="GN49" s="541"/>
      <c r="GO49" s="541"/>
      <c r="GP49" s="541"/>
      <c r="GQ49" s="541"/>
      <c r="GR49" s="541"/>
      <c r="GS49" s="541"/>
      <c r="GT49" s="541"/>
      <c r="GU49" s="541"/>
      <c r="GV49" s="541"/>
      <c r="GW49" s="541"/>
      <c r="GX49" s="541"/>
      <c r="GY49" s="541"/>
      <c r="GZ49" s="541"/>
      <c r="HA49" s="541"/>
      <c r="HB49" s="541"/>
      <c r="HC49" s="541"/>
      <c r="HD49" s="541"/>
      <c r="HE49" s="541"/>
      <c r="HF49" s="541"/>
      <c r="HG49" s="541"/>
      <c r="HH49" s="541"/>
      <c r="HI49" s="541"/>
      <c r="HJ49" s="541"/>
      <c r="HK49" s="541"/>
      <c r="HL49" s="541"/>
      <c r="HM49" s="541"/>
      <c r="HN49" s="541"/>
      <c r="HO49" s="541"/>
      <c r="HP49" s="541"/>
      <c r="HQ49" s="541"/>
      <c r="HR49" s="541"/>
      <c r="HS49" s="541"/>
      <c r="HT49" s="541"/>
      <c r="HU49" s="541"/>
      <c r="HV49" s="541"/>
      <c r="HW49" s="541"/>
      <c r="HX49" s="541"/>
      <c r="HY49" s="541"/>
      <c r="HZ49" s="541"/>
      <c r="IA49" s="541"/>
      <c r="IB49" s="541"/>
      <c r="IC49" s="541"/>
      <c r="ID49" s="541"/>
      <c r="IE49" s="541"/>
      <c r="IF49" s="541"/>
      <c r="IG49" s="541"/>
      <c r="IH49" s="541"/>
      <c r="II49" s="541"/>
      <c r="IJ49" s="541"/>
      <c r="IK49" s="541"/>
      <c r="IL49" s="541"/>
      <c r="IM49" s="541"/>
      <c r="IN49" s="541"/>
      <c r="IO49" s="541"/>
      <c r="IP49" s="541"/>
      <c r="IQ49" s="541"/>
      <c r="IR49" s="541"/>
      <c r="IS49" s="541"/>
    </row>
    <row r="50" spans="1:253" s="542" customFormat="1">
      <c r="A50" s="215" t="s">
        <v>60</v>
      </c>
      <c r="B50" s="416">
        <f>'Sources and Uses Budget'!$C49</f>
        <v>207285</v>
      </c>
      <c r="C50" s="416">
        <f>'Sources and Uses Budget'!$C49</f>
        <v>207285</v>
      </c>
      <c r="D50" s="420">
        <f t="shared" si="0"/>
        <v>0</v>
      </c>
      <c r="E50" s="418"/>
      <c r="F50" s="417"/>
      <c r="G50" s="546"/>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c r="BY50" s="541"/>
      <c r="BZ50" s="541"/>
      <c r="CA50" s="541"/>
      <c r="CB50" s="541"/>
      <c r="CC50" s="541"/>
      <c r="CD50" s="541"/>
      <c r="CE50" s="541"/>
      <c r="CF50" s="541"/>
      <c r="CG50" s="541"/>
      <c r="CH50" s="541"/>
      <c r="CI50" s="541"/>
      <c r="CJ50" s="541"/>
      <c r="CK50" s="541"/>
      <c r="CL50" s="541"/>
      <c r="CM50" s="541"/>
      <c r="CN50" s="541"/>
      <c r="CO50" s="541"/>
      <c r="CP50" s="541"/>
      <c r="CQ50" s="541"/>
      <c r="CR50" s="541"/>
      <c r="CS50" s="541"/>
      <c r="CT50" s="541"/>
      <c r="CU50" s="541"/>
      <c r="CV50" s="541"/>
      <c r="CW50" s="541"/>
      <c r="CX50" s="541"/>
      <c r="CY50" s="541"/>
      <c r="CZ50" s="541"/>
      <c r="DA50" s="541"/>
      <c r="DB50" s="541"/>
      <c r="DC50" s="541"/>
      <c r="DD50" s="541"/>
      <c r="DE50" s="541"/>
      <c r="DF50" s="541"/>
      <c r="DG50" s="541"/>
      <c r="DH50" s="541"/>
      <c r="DI50" s="541"/>
      <c r="DJ50" s="541"/>
      <c r="DK50" s="541"/>
      <c r="DL50" s="541"/>
      <c r="DM50" s="541"/>
      <c r="DN50" s="541"/>
      <c r="DO50" s="541"/>
      <c r="DP50" s="541"/>
      <c r="DQ50" s="541"/>
      <c r="DR50" s="541"/>
      <c r="DS50" s="541"/>
      <c r="DT50" s="541"/>
      <c r="DU50" s="541"/>
      <c r="DV50" s="541"/>
      <c r="DW50" s="541"/>
      <c r="DX50" s="541"/>
      <c r="DY50" s="541"/>
      <c r="DZ50" s="541"/>
      <c r="EA50" s="541"/>
      <c r="EB50" s="541"/>
      <c r="EC50" s="541"/>
      <c r="ED50" s="541"/>
      <c r="EE50" s="541"/>
      <c r="EF50" s="541"/>
      <c r="EG50" s="541"/>
      <c r="EH50" s="541"/>
      <c r="EI50" s="541"/>
      <c r="EJ50" s="541"/>
      <c r="EK50" s="541"/>
      <c r="EL50" s="541"/>
      <c r="EM50" s="541"/>
      <c r="EN50" s="541"/>
      <c r="EO50" s="541"/>
      <c r="EP50" s="541"/>
      <c r="EQ50" s="541"/>
      <c r="ER50" s="541"/>
      <c r="ES50" s="541"/>
      <c r="ET50" s="541"/>
      <c r="EU50" s="541"/>
      <c r="EV50" s="541"/>
      <c r="EW50" s="541"/>
      <c r="EX50" s="541"/>
      <c r="EY50" s="541"/>
      <c r="EZ50" s="541"/>
      <c r="FA50" s="541"/>
      <c r="FB50" s="541"/>
      <c r="FC50" s="541"/>
      <c r="FD50" s="541"/>
      <c r="FE50" s="541"/>
      <c r="FF50" s="541"/>
      <c r="FG50" s="541"/>
      <c r="FH50" s="541"/>
      <c r="FI50" s="541"/>
      <c r="FJ50" s="541"/>
      <c r="FK50" s="541"/>
      <c r="FL50" s="541"/>
      <c r="FM50" s="541"/>
      <c r="FN50" s="541"/>
      <c r="FO50" s="541"/>
      <c r="FP50" s="541"/>
      <c r="FQ50" s="541"/>
      <c r="FR50" s="541"/>
      <c r="FS50" s="541"/>
      <c r="FT50" s="541"/>
      <c r="FU50" s="541"/>
      <c r="FV50" s="541"/>
      <c r="FW50" s="541"/>
      <c r="FX50" s="541"/>
      <c r="FY50" s="541"/>
      <c r="FZ50" s="541"/>
      <c r="GA50" s="541"/>
      <c r="GB50" s="541"/>
      <c r="GC50" s="541"/>
      <c r="GD50" s="541"/>
      <c r="GE50" s="541"/>
      <c r="GF50" s="541"/>
      <c r="GG50" s="541"/>
      <c r="GH50" s="541"/>
      <c r="GI50" s="541"/>
      <c r="GJ50" s="541"/>
      <c r="GK50" s="541"/>
      <c r="GL50" s="541"/>
      <c r="GM50" s="541"/>
      <c r="GN50" s="541"/>
      <c r="GO50" s="541"/>
      <c r="GP50" s="541"/>
      <c r="GQ50" s="541"/>
      <c r="GR50" s="541"/>
      <c r="GS50" s="541"/>
      <c r="GT50" s="541"/>
      <c r="GU50" s="541"/>
      <c r="GV50" s="541"/>
      <c r="GW50" s="541"/>
      <c r="GX50" s="541"/>
      <c r="GY50" s="541"/>
      <c r="GZ50" s="541"/>
      <c r="HA50" s="541"/>
      <c r="HB50" s="541"/>
      <c r="HC50" s="541"/>
      <c r="HD50" s="541"/>
      <c r="HE50" s="541"/>
      <c r="HF50" s="541"/>
      <c r="HG50" s="541"/>
      <c r="HH50" s="541"/>
      <c r="HI50" s="541"/>
      <c r="HJ50" s="541"/>
      <c r="HK50" s="541"/>
      <c r="HL50" s="541"/>
      <c r="HM50" s="541"/>
      <c r="HN50" s="541"/>
      <c r="HO50" s="541"/>
      <c r="HP50" s="541"/>
      <c r="HQ50" s="541"/>
      <c r="HR50" s="541"/>
      <c r="HS50" s="541"/>
      <c r="HT50" s="541"/>
      <c r="HU50" s="541"/>
      <c r="HV50" s="541"/>
      <c r="HW50" s="541"/>
      <c r="HX50" s="541"/>
      <c r="HY50" s="541"/>
      <c r="HZ50" s="541"/>
      <c r="IA50" s="541"/>
      <c r="IB50" s="541"/>
      <c r="IC50" s="541"/>
      <c r="ID50" s="541"/>
      <c r="IE50" s="541"/>
      <c r="IF50" s="541"/>
      <c r="IG50" s="541"/>
      <c r="IH50" s="541"/>
      <c r="II50" s="541"/>
      <c r="IJ50" s="541"/>
      <c r="IK50" s="541"/>
      <c r="IL50" s="541"/>
      <c r="IM50" s="541"/>
      <c r="IN50" s="541"/>
      <c r="IO50" s="541"/>
      <c r="IP50" s="541"/>
      <c r="IQ50" s="541"/>
      <c r="IR50" s="541"/>
      <c r="IS50" s="541"/>
    </row>
    <row r="51" spans="1:253" s="542" customFormat="1">
      <c r="A51" s="215" t="s">
        <v>161</v>
      </c>
      <c r="B51" s="416">
        <f>'Sources and Uses Budget'!$C50</f>
        <v>30000</v>
      </c>
      <c r="C51" s="416">
        <f>'Sources and Uses Budget'!$C50</f>
        <v>30000</v>
      </c>
      <c r="D51" s="420">
        <f t="shared" si="0"/>
        <v>0</v>
      </c>
      <c r="E51" s="418"/>
      <c r="F51" s="417"/>
      <c r="G51" s="546"/>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c r="BY51" s="541"/>
      <c r="BZ51" s="541"/>
      <c r="CA51" s="541"/>
      <c r="CB51" s="541"/>
      <c r="CC51" s="541"/>
      <c r="CD51" s="541"/>
      <c r="CE51" s="541"/>
      <c r="CF51" s="541"/>
      <c r="CG51" s="541"/>
      <c r="CH51" s="541"/>
      <c r="CI51" s="541"/>
      <c r="CJ51" s="541"/>
      <c r="CK51" s="541"/>
      <c r="CL51" s="541"/>
      <c r="CM51" s="541"/>
      <c r="CN51" s="541"/>
      <c r="CO51" s="541"/>
      <c r="CP51" s="541"/>
      <c r="CQ51" s="541"/>
      <c r="CR51" s="541"/>
      <c r="CS51" s="541"/>
      <c r="CT51" s="541"/>
      <c r="CU51" s="541"/>
      <c r="CV51" s="541"/>
      <c r="CW51" s="541"/>
      <c r="CX51" s="541"/>
      <c r="CY51" s="541"/>
      <c r="CZ51" s="541"/>
      <c r="DA51" s="541"/>
      <c r="DB51" s="541"/>
      <c r="DC51" s="541"/>
      <c r="DD51" s="541"/>
      <c r="DE51" s="541"/>
      <c r="DF51" s="541"/>
      <c r="DG51" s="541"/>
      <c r="DH51" s="541"/>
      <c r="DI51" s="541"/>
      <c r="DJ51" s="541"/>
      <c r="DK51" s="541"/>
      <c r="DL51" s="541"/>
      <c r="DM51" s="541"/>
      <c r="DN51" s="541"/>
      <c r="DO51" s="541"/>
      <c r="DP51" s="541"/>
      <c r="DQ51" s="541"/>
      <c r="DR51" s="541"/>
      <c r="DS51" s="541"/>
      <c r="DT51" s="541"/>
      <c r="DU51" s="541"/>
      <c r="DV51" s="541"/>
      <c r="DW51" s="541"/>
      <c r="DX51" s="541"/>
      <c r="DY51" s="541"/>
      <c r="DZ51" s="541"/>
      <c r="EA51" s="541"/>
      <c r="EB51" s="541"/>
      <c r="EC51" s="541"/>
      <c r="ED51" s="541"/>
      <c r="EE51" s="541"/>
      <c r="EF51" s="541"/>
      <c r="EG51" s="541"/>
      <c r="EH51" s="541"/>
      <c r="EI51" s="541"/>
      <c r="EJ51" s="541"/>
      <c r="EK51" s="541"/>
      <c r="EL51" s="541"/>
      <c r="EM51" s="541"/>
      <c r="EN51" s="541"/>
      <c r="EO51" s="541"/>
      <c r="EP51" s="541"/>
      <c r="EQ51" s="541"/>
      <c r="ER51" s="541"/>
      <c r="ES51" s="541"/>
      <c r="ET51" s="541"/>
      <c r="EU51" s="541"/>
      <c r="EV51" s="541"/>
      <c r="EW51" s="541"/>
      <c r="EX51" s="541"/>
      <c r="EY51" s="541"/>
      <c r="EZ51" s="541"/>
      <c r="FA51" s="541"/>
      <c r="FB51" s="541"/>
      <c r="FC51" s="541"/>
      <c r="FD51" s="541"/>
      <c r="FE51" s="541"/>
      <c r="FF51" s="541"/>
      <c r="FG51" s="541"/>
      <c r="FH51" s="541"/>
      <c r="FI51" s="541"/>
      <c r="FJ51" s="541"/>
      <c r="FK51" s="541"/>
      <c r="FL51" s="541"/>
      <c r="FM51" s="541"/>
      <c r="FN51" s="541"/>
      <c r="FO51" s="541"/>
      <c r="FP51" s="541"/>
      <c r="FQ51" s="541"/>
      <c r="FR51" s="541"/>
      <c r="FS51" s="541"/>
      <c r="FT51" s="541"/>
      <c r="FU51" s="541"/>
      <c r="FV51" s="541"/>
      <c r="FW51" s="541"/>
      <c r="FX51" s="541"/>
      <c r="FY51" s="541"/>
      <c r="FZ51" s="541"/>
      <c r="GA51" s="541"/>
      <c r="GB51" s="541"/>
      <c r="GC51" s="541"/>
      <c r="GD51" s="541"/>
      <c r="GE51" s="541"/>
      <c r="GF51" s="541"/>
      <c r="GG51" s="541"/>
      <c r="GH51" s="541"/>
      <c r="GI51" s="541"/>
      <c r="GJ51" s="541"/>
      <c r="GK51" s="541"/>
      <c r="GL51" s="541"/>
      <c r="GM51" s="541"/>
      <c r="GN51" s="541"/>
      <c r="GO51" s="541"/>
      <c r="GP51" s="541"/>
      <c r="GQ51" s="541"/>
      <c r="GR51" s="541"/>
      <c r="GS51" s="541"/>
      <c r="GT51" s="541"/>
      <c r="GU51" s="541"/>
      <c r="GV51" s="541"/>
      <c r="GW51" s="541"/>
      <c r="GX51" s="541"/>
      <c r="GY51" s="541"/>
      <c r="GZ51" s="541"/>
      <c r="HA51" s="541"/>
      <c r="HB51" s="541"/>
      <c r="HC51" s="541"/>
      <c r="HD51" s="541"/>
      <c r="HE51" s="541"/>
      <c r="HF51" s="541"/>
      <c r="HG51" s="541"/>
      <c r="HH51" s="541"/>
      <c r="HI51" s="541"/>
      <c r="HJ51" s="541"/>
      <c r="HK51" s="541"/>
      <c r="HL51" s="541"/>
      <c r="HM51" s="541"/>
      <c r="HN51" s="541"/>
      <c r="HO51" s="541"/>
      <c r="HP51" s="541"/>
      <c r="HQ51" s="541"/>
      <c r="HR51" s="541"/>
      <c r="HS51" s="541"/>
      <c r="HT51" s="541"/>
      <c r="HU51" s="541"/>
      <c r="HV51" s="541"/>
      <c r="HW51" s="541"/>
      <c r="HX51" s="541"/>
      <c r="HY51" s="541"/>
      <c r="HZ51" s="541"/>
      <c r="IA51" s="541"/>
      <c r="IB51" s="541"/>
      <c r="IC51" s="541"/>
      <c r="ID51" s="541"/>
      <c r="IE51" s="541"/>
      <c r="IF51" s="541"/>
      <c r="IG51" s="541"/>
      <c r="IH51" s="541"/>
      <c r="II51" s="541"/>
      <c r="IJ51" s="541"/>
      <c r="IK51" s="541"/>
      <c r="IL51" s="541"/>
      <c r="IM51" s="541"/>
      <c r="IN51" s="541"/>
      <c r="IO51" s="541"/>
      <c r="IP51" s="541"/>
      <c r="IQ51" s="541"/>
      <c r="IR51" s="541"/>
      <c r="IS51" s="541"/>
    </row>
    <row r="52" spans="1:253" s="542" customFormat="1">
      <c r="A52" s="435" t="s">
        <v>159</v>
      </c>
      <c r="B52" s="416">
        <f>'Sources and Uses Budget'!$C51</f>
        <v>84844</v>
      </c>
      <c r="C52" s="416">
        <f>'Sources and Uses Budget'!$C51</f>
        <v>84844</v>
      </c>
      <c r="D52" s="420">
        <f t="shared" si="0"/>
        <v>0</v>
      </c>
      <c r="E52" s="418"/>
      <c r="F52" s="417"/>
      <c r="G52" s="546"/>
      <c r="H52" s="541"/>
      <c r="I52" s="541"/>
      <c r="J52" s="541"/>
      <c r="K52" s="541"/>
      <c r="L52" s="541"/>
      <c r="M52" s="541"/>
      <c r="N52" s="541"/>
      <c r="O52" s="541"/>
      <c r="P52" s="541"/>
      <c r="Q52" s="541"/>
      <c r="R52" s="541"/>
      <c r="S52" s="541"/>
      <c r="T52" s="541"/>
      <c r="U52" s="541"/>
      <c r="V52" s="541"/>
      <c r="W52" s="541"/>
      <c r="X52" s="541"/>
      <c r="Y52" s="541"/>
      <c r="Z52" s="541"/>
      <c r="AA52" s="541"/>
      <c r="AB52" s="541"/>
      <c r="AC52" s="541"/>
      <c r="AD52" s="541"/>
      <c r="AE52" s="541"/>
      <c r="AF52" s="541"/>
      <c r="AG52" s="541"/>
      <c r="AH52" s="541"/>
      <c r="AI52" s="541"/>
      <c r="AJ52" s="541"/>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541"/>
      <c r="BO52" s="541"/>
      <c r="BP52" s="541"/>
      <c r="BQ52" s="541"/>
      <c r="BR52" s="541"/>
      <c r="BS52" s="541"/>
      <c r="BT52" s="541"/>
      <c r="BU52" s="541"/>
      <c r="BV52" s="541"/>
      <c r="BW52" s="541"/>
      <c r="BX52" s="541"/>
      <c r="BY52" s="541"/>
      <c r="BZ52" s="541"/>
      <c r="CA52" s="541"/>
      <c r="CB52" s="541"/>
      <c r="CC52" s="541"/>
      <c r="CD52" s="541"/>
      <c r="CE52" s="541"/>
      <c r="CF52" s="541"/>
      <c r="CG52" s="541"/>
      <c r="CH52" s="541"/>
      <c r="CI52" s="541"/>
      <c r="CJ52" s="541"/>
      <c r="CK52" s="541"/>
      <c r="CL52" s="541"/>
      <c r="CM52" s="541"/>
      <c r="CN52" s="541"/>
      <c r="CO52" s="541"/>
      <c r="CP52" s="541"/>
      <c r="CQ52" s="541"/>
      <c r="CR52" s="541"/>
      <c r="CS52" s="541"/>
      <c r="CT52" s="541"/>
      <c r="CU52" s="541"/>
      <c r="CV52" s="541"/>
      <c r="CW52" s="541"/>
      <c r="CX52" s="541"/>
      <c r="CY52" s="541"/>
      <c r="CZ52" s="541"/>
      <c r="DA52" s="541"/>
      <c r="DB52" s="541"/>
      <c r="DC52" s="541"/>
      <c r="DD52" s="541"/>
      <c r="DE52" s="541"/>
      <c r="DF52" s="541"/>
      <c r="DG52" s="541"/>
      <c r="DH52" s="541"/>
      <c r="DI52" s="541"/>
      <c r="DJ52" s="541"/>
      <c r="DK52" s="541"/>
      <c r="DL52" s="541"/>
      <c r="DM52" s="541"/>
      <c r="DN52" s="541"/>
      <c r="DO52" s="541"/>
      <c r="DP52" s="541"/>
      <c r="DQ52" s="541"/>
      <c r="DR52" s="541"/>
      <c r="DS52" s="541"/>
      <c r="DT52" s="541"/>
      <c r="DU52" s="541"/>
      <c r="DV52" s="541"/>
      <c r="DW52" s="541"/>
      <c r="DX52" s="541"/>
      <c r="DY52" s="541"/>
      <c r="DZ52" s="541"/>
      <c r="EA52" s="541"/>
      <c r="EB52" s="541"/>
      <c r="EC52" s="541"/>
      <c r="ED52" s="541"/>
      <c r="EE52" s="541"/>
      <c r="EF52" s="541"/>
      <c r="EG52" s="541"/>
      <c r="EH52" s="541"/>
      <c r="EI52" s="541"/>
      <c r="EJ52" s="541"/>
      <c r="EK52" s="541"/>
      <c r="EL52" s="541"/>
      <c r="EM52" s="541"/>
      <c r="EN52" s="541"/>
      <c r="EO52" s="541"/>
      <c r="EP52" s="541"/>
      <c r="EQ52" s="541"/>
      <c r="ER52" s="541"/>
      <c r="ES52" s="541"/>
      <c r="ET52" s="541"/>
      <c r="EU52" s="541"/>
      <c r="EV52" s="541"/>
      <c r="EW52" s="541"/>
      <c r="EX52" s="541"/>
      <c r="EY52" s="541"/>
      <c r="EZ52" s="541"/>
      <c r="FA52" s="541"/>
      <c r="FB52" s="541"/>
      <c r="FC52" s="541"/>
      <c r="FD52" s="541"/>
      <c r="FE52" s="541"/>
      <c r="FF52" s="541"/>
      <c r="FG52" s="541"/>
      <c r="FH52" s="541"/>
      <c r="FI52" s="541"/>
      <c r="FJ52" s="541"/>
      <c r="FK52" s="541"/>
      <c r="FL52" s="541"/>
      <c r="FM52" s="541"/>
      <c r="FN52" s="541"/>
      <c r="FO52" s="541"/>
      <c r="FP52" s="541"/>
      <c r="FQ52" s="541"/>
      <c r="FR52" s="541"/>
      <c r="FS52" s="541"/>
      <c r="FT52" s="541"/>
      <c r="FU52" s="541"/>
      <c r="FV52" s="541"/>
      <c r="FW52" s="541"/>
      <c r="FX52" s="541"/>
      <c r="FY52" s="541"/>
      <c r="FZ52" s="541"/>
      <c r="GA52" s="541"/>
      <c r="GB52" s="541"/>
      <c r="GC52" s="541"/>
      <c r="GD52" s="541"/>
      <c r="GE52" s="541"/>
      <c r="GF52" s="541"/>
      <c r="GG52" s="541"/>
      <c r="GH52" s="541"/>
      <c r="GI52" s="541"/>
      <c r="GJ52" s="541"/>
      <c r="GK52" s="541"/>
      <c r="GL52" s="541"/>
      <c r="GM52" s="541"/>
      <c r="GN52" s="541"/>
      <c r="GO52" s="541"/>
      <c r="GP52" s="541"/>
      <c r="GQ52" s="541"/>
      <c r="GR52" s="541"/>
      <c r="GS52" s="541"/>
      <c r="GT52" s="541"/>
      <c r="GU52" s="541"/>
      <c r="GV52" s="541"/>
      <c r="GW52" s="541"/>
      <c r="GX52" s="541"/>
      <c r="GY52" s="541"/>
      <c r="GZ52" s="541"/>
      <c r="HA52" s="541"/>
      <c r="HB52" s="541"/>
      <c r="HC52" s="541"/>
      <c r="HD52" s="541"/>
      <c r="HE52" s="541"/>
      <c r="HF52" s="541"/>
      <c r="HG52" s="541"/>
      <c r="HH52" s="541"/>
      <c r="HI52" s="541"/>
      <c r="HJ52" s="541"/>
      <c r="HK52" s="541"/>
      <c r="HL52" s="541"/>
      <c r="HM52" s="541"/>
      <c r="HN52" s="541"/>
      <c r="HO52" s="541"/>
      <c r="HP52" s="541"/>
      <c r="HQ52" s="541"/>
      <c r="HR52" s="541"/>
      <c r="HS52" s="541"/>
      <c r="HT52" s="541"/>
      <c r="HU52" s="541"/>
      <c r="HV52" s="541"/>
      <c r="HW52" s="541"/>
      <c r="HX52" s="541"/>
      <c r="HY52" s="541"/>
      <c r="HZ52" s="541"/>
      <c r="IA52" s="541"/>
      <c r="IB52" s="541"/>
      <c r="IC52" s="541"/>
      <c r="ID52" s="541"/>
      <c r="IE52" s="541"/>
      <c r="IF52" s="541"/>
      <c r="IG52" s="541"/>
      <c r="IH52" s="541"/>
      <c r="II52" s="541"/>
      <c r="IJ52" s="541"/>
      <c r="IK52" s="541"/>
      <c r="IL52" s="541"/>
      <c r="IM52" s="541"/>
      <c r="IN52" s="541"/>
      <c r="IO52" s="541"/>
      <c r="IP52" s="541"/>
      <c r="IQ52" s="541"/>
      <c r="IR52" s="541"/>
      <c r="IS52" s="541"/>
    </row>
    <row r="53" spans="1:253" s="542" customFormat="1">
      <c r="A53" s="215" t="s">
        <v>160</v>
      </c>
      <c r="B53" s="416">
        <f>'Sources and Uses Budget'!$C52</f>
        <v>290228</v>
      </c>
      <c r="C53" s="416">
        <f>'Sources and Uses Budget'!$C52</f>
        <v>290228</v>
      </c>
      <c r="D53" s="420">
        <f t="shared" si="0"/>
        <v>0</v>
      </c>
      <c r="E53" s="418"/>
      <c r="F53" s="417"/>
      <c r="G53" s="546"/>
      <c r="H53" s="541"/>
      <c r="I53" s="541"/>
      <c r="J53" s="541"/>
      <c r="K53" s="541"/>
      <c r="L53" s="541"/>
      <c r="M53" s="541"/>
      <c r="N53" s="541"/>
      <c r="O53" s="541"/>
      <c r="P53" s="541"/>
      <c r="Q53" s="541"/>
      <c r="R53" s="541"/>
      <c r="S53" s="541"/>
      <c r="T53" s="541"/>
      <c r="U53" s="541"/>
      <c r="V53" s="541"/>
      <c r="W53" s="541"/>
      <c r="X53" s="541"/>
      <c r="Y53" s="541"/>
      <c r="Z53" s="541"/>
      <c r="AA53" s="541"/>
      <c r="AB53" s="541"/>
      <c r="AC53" s="541"/>
      <c r="AD53" s="541"/>
      <c r="AE53" s="541"/>
      <c r="AF53" s="541"/>
      <c r="AG53" s="541"/>
      <c r="AH53" s="541"/>
      <c r="AI53" s="541"/>
      <c r="AJ53" s="541"/>
      <c r="AK53" s="541"/>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1"/>
      <c r="CJ53" s="541"/>
      <c r="CK53" s="541"/>
      <c r="CL53" s="541"/>
      <c r="CM53" s="541"/>
      <c r="CN53" s="541"/>
      <c r="CO53" s="541"/>
      <c r="CP53" s="541"/>
      <c r="CQ53" s="541"/>
      <c r="CR53" s="541"/>
      <c r="CS53" s="541"/>
      <c r="CT53" s="541"/>
      <c r="CU53" s="541"/>
      <c r="CV53" s="541"/>
      <c r="CW53" s="541"/>
      <c r="CX53" s="541"/>
      <c r="CY53" s="541"/>
      <c r="CZ53" s="541"/>
      <c r="DA53" s="541"/>
      <c r="DB53" s="541"/>
      <c r="DC53" s="541"/>
      <c r="DD53" s="541"/>
      <c r="DE53" s="541"/>
      <c r="DF53" s="541"/>
      <c r="DG53" s="541"/>
      <c r="DH53" s="541"/>
      <c r="DI53" s="541"/>
      <c r="DJ53" s="541"/>
      <c r="DK53" s="541"/>
      <c r="DL53" s="541"/>
      <c r="DM53" s="541"/>
      <c r="DN53" s="541"/>
      <c r="DO53" s="541"/>
      <c r="DP53" s="541"/>
      <c r="DQ53" s="541"/>
      <c r="DR53" s="541"/>
      <c r="DS53" s="541"/>
      <c r="DT53" s="541"/>
      <c r="DU53" s="541"/>
      <c r="DV53" s="541"/>
      <c r="DW53" s="541"/>
      <c r="DX53" s="541"/>
      <c r="DY53" s="541"/>
      <c r="DZ53" s="541"/>
      <c r="EA53" s="541"/>
      <c r="EB53" s="541"/>
      <c r="EC53" s="541"/>
      <c r="ED53" s="541"/>
      <c r="EE53" s="541"/>
      <c r="EF53" s="541"/>
      <c r="EG53" s="541"/>
      <c r="EH53" s="541"/>
      <c r="EI53" s="541"/>
      <c r="EJ53" s="541"/>
      <c r="EK53" s="541"/>
      <c r="EL53" s="541"/>
      <c r="EM53" s="541"/>
      <c r="EN53" s="541"/>
      <c r="EO53" s="541"/>
      <c r="EP53" s="541"/>
      <c r="EQ53" s="541"/>
      <c r="ER53" s="541"/>
      <c r="ES53" s="541"/>
      <c r="ET53" s="541"/>
      <c r="EU53" s="541"/>
      <c r="EV53" s="541"/>
      <c r="EW53" s="541"/>
      <c r="EX53" s="541"/>
      <c r="EY53" s="541"/>
      <c r="EZ53" s="541"/>
      <c r="FA53" s="541"/>
      <c r="FB53" s="541"/>
      <c r="FC53" s="541"/>
      <c r="FD53" s="541"/>
      <c r="FE53" s="541"/>
      <c r="FF53" s="541"/>
      <c r="FG53" s="541"/>
      <c r="FH53" s="541"/>
      <c r="FI53" s="541"/>
      <c r="FJ53" s="541"/>
      <c r="FK53" s="541"/>
      <c r="FL53" s="541"/>
      <c r="FM53" s="541"/>
      <c r="FN53" s="541"/>
      <c r="FO53" s="541"/>
      <c r="FP53" s="541"/>
      <c r="FQ53" s="541"/>
      <c r="FR53" s="541"/>
      <c r="FS53" s="541"/>
      <c r="FT53" s="541"/>
      <c r="FU53" s="541"/>
      <c r="FV53" s="541"/>
      <c r="FW53" s="541"/>
      <c r="FX53" s="541"/>
      <c r="FY53" s="541"/>
      <c r="FZ53" s="541"/>
      <c r="GA53" s="541"/>
      <c r="GB53" s="541"/>
      <c r="GC53" s="541"/>
      <c r="GD53" s="541"/>
      <c r="GE53" s="541"/>
      <c r="GF53" s="541"/>
      <c r="GG53" s="541"/>
      <c r="GH53" s="541"/>
      <c r="GI53" s="541"/>
      <c r="GJ53" s="541"/>
      <c r="GK53" s="541"/>
      <c r="GL53" s="541"/>
      <c r="GM53" s="541"/>
      <c r="GN53" s="541"/>
      <c r="GO53" s="541"/>
      <c r="GP53" s="541"/>
      <c r="GQ53" s="541"/>
      <c r="GR53" s="541"/>
      <c r="GS53" s="541"/>
      <c r="GT53" s="541"/>
      <c r="GU53" s="541"/>
      <c r="GV53" s="541"/>
      <c r="GW53" s="541"/>
      <c r="GX53" s="541"/>
      <c r="GY53" s="541"/>
      <c r="GZ53" s="541"/>
      <c r="HA53" s="541"/>
      <c r="HB53" s="541"/>
      <c r="HC53" s="541"/>
      <c r="HD53" s="541"/>
      <c r="HE53" s="541"/>
      <c r="HF53" s="541"/>
      <c r="HG53" s="541"/>
      <c r="HH53" s="541"/>
      <c r="HI53" s="541"/>
      <c r="HJ53" s="541"/>
      <c r="HK53" s="541"/>
      <c r="HL53" s="541"/>
      <c r="HM53" s="541"/>
      <c r="HN53" s="541"/>
      <c r="HO53" s="541"/>
      <c r="HP53" s="541"/>
      <c r="HQ53" s="541"/>
      <c r="HR53" s="541"/>
      <c r="HS53" s="541"/>
      <c r="HT53" s="541"/>
      <c r="HU53" s="541"/>
      <c r="HV53" s="541"/>
      <c r="HW53" s="541"/>
      <c r="HX53" s="541"/>
      <c r="HY53" s="541"/>
      <c r="HZ53" s="541"/>
      <c r="IA53" s="541"/>
      <c r="IB53" s="541"/>
      <c r="IC53" s="541"/>
      <c r="ID53" s="541"/>
      <c r="IE53" s="541"/>
      <c r="IF53" s="541"/>
      <c r="IG53" s="541"/>
      <c r="IH53" s="541"/>
      <c r="II53" s="541"/>
      <c r="IJ53" s="541"/>
      <c r="IK53" s="541"/>
      <c r="IL53" s="541"/>
      <c r="IM53" s="541"/>
      <c r="IN53" s="541"/>
      <c r="IO53" s="541"/>
      <c r="IP53" s="541"/>
      <c r="IQ53" s="541"/>
      <c r="IR53" s="541"/>
      <c r="IS53" s="541"/>
    </row>
    <row r="54" spans="1:253" s="542" customFormat="1">
      <c r="A54" s="226" t="str">
        <f>'Sources and Uses Budget'!A53</f>
        <v>Accrued/Deferred Interest</v>
      </c>
      <c r="B54" s="416">
        <f>'Sources and Uses Budget'!$C53</f>
        <v>500622</v>
      </c>
      <c r="C54" s="416">
        <f>'Sources and Uses Budget'!$C53</f>
        <v>500622</v>
      </c>
      <c r="D54" s="420">
        <f t="shared" si="0"/>
        <v>0</v>
      </c>
      <c r="E54" s="418"/>
      <c r="F54" s="417"/>
      <c r="G54" s="546"/>
      <c r="H54" s="541"/>
      <c r="I54" s="541"/>
      <c r="J54" s="541"/>
      <c r="K54" s="541"/>
      <c r="L54" s="541"/>
      <c r="M54" s="541"/>
      <c r="N54" s="541"/>
      <c r="O54" s="541"/>
      <c r="P54" s="541"/>
      <c r="Q54" s="541"/>
      <c r="R54" s="541"/>
      <c r="S54" s="541"/>
      <c r="T54" s="541"/>
      <c r="U54" s="541"/>
      <c r="V54" s="541"/>
      <c r="W54" s="541"/>
      <c r="X54" s="541"/>
      <c r="Y54" s="541"/>
      <c r="Z54" s="541"/>
      <c r="AA54" s="541"/>
      <c r="AB54" s="541"/>
      <c r="AC54" s="541"/>
      <c r="AD54" s="541"/>
      <c r="AE54" s="541"/>
      <c r="AF54" s="541"/>
      <c r="AG54" s="541"/>
      <c r="AH54" s="541"/>
      <c r="AI54" s="541"/>
      <c r="AJ54" s="541"/>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541"/>
      <c r="BO54" s="541"/>
      <c r="BP54" s="541"/>
      <c r="BQ54" s="541"/>
      <c r="BR54" s="541"/>
      <c r="BS54" s="541"/>
      <c r="BT54" s="541"/>
      <c r="BU54" s="541"/>
      <c r="BV54" s="541"/>
      <c r="BW54" s="541"/>
      <c r="BX54" s="541"/>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541"/>
      <c r="CV54" s="541"/>
      <c r="CW54" s="541"/>
      <c r="CX54" s="541"/>
      <c r="CY54" s="541"/>
      <c r="CZ54" s="541"/>
      <c r="DA54" s="541"/>
      <c r="DB54" s="541"/>
      <c r="DC54" s="541"/>
      <c r="DD54" s="541"/>
      <c r="DE54" s="541"/>
      <c r="DF54" s="541"/>
      <c r="DG54" s="541"/>
      <c r="DH54" s="541"/>
      <c r="DI54" s="541"/>
      <c r="DJ54" s="541"/>
      <c r="DK54" s="541"/>
      <c r="DL54" s="541"/>
      <c r="DM54" s="541"/>
      <c r="DN54" s="541"/>
      <c r="DO54" s="541"/>
      <c r="DP54" s="541"/>
      <c r="DQ54" s="541"/>
      <c r="DR54" s="541"/>
      <c r="DS54" s="541"/>
      <c r="DT54" s="541"/>
      <c r="DU54" s="541"/>
      <c r="DV54" s="541"/>
      <c r="DW54" s="541"/>
      <c r="DX54" s="541"/>
      <c r="DY54" s="541"/>
      <c r="DZ54" s="541"/>
      <c r="EA54" s="541"/>
      <c r="EB54" s="541"/>
      <c r="EC54" s="541"/>
      <c r="ED54" s="541"/>
      <c r="EE54" s="541"/>
      <c r="EF54" s="541"/>
      <c r="EG54" s="541"/>
      <c r="EH54" s="541"/>
      <c r="EI54" s="541"/>
      <c r="EJ54" s="541"/>
      <c r="EK54" s="541"/>
      <c r="EL54" s="541"/>
      <c r="EM54" s="541"/>
      <c r="EN54" s="541"/>
      <c r="EO54" s="541"/>
      <c r="EP54" s="541"/>
      <c r="EQ54" s="541"/>
      <c r="ER54" s="541"/>
      <c r="ES54" s="541"/>
      <c r="ET54" s="541"/>
      <c r="EU54" s="541"/>
      <c r="EV54" s="541"/>
      <c r="EW54" s="541"/>
      <c r="EX54" s="541"/>
      <c r="EY54" s="541"/>
      <c r="EZ54" s="541"/>
      <c r="FA54" s="541"/>
      <c r="FB54" s="541"/>
      <c r="FC54" s="541"/>
      <c r="FD54" s="541"/>
      <c r="FE54" s="541"/>
      <c r="FF54" s="541"/>
      <c r="FG54" s="541"/>
      <c r="FH54" s="541"/>
      <c r="FI54" s="541"/>
      <c r="FJ54" s="541"/>
      <c r="FK54" s="541"/>
      <c r="FL54" s="541"/>
      <c r="FM54" s="541"/>
      <c r="FN54" s="541"/>
      <c r="FO54" s="541"/>
      <c r="FP54" s="541"/>
      <c r="FQ54" s="541"/>
      <c r="FR54" s="541"/>
      <c r="FS54" s="541"/>
      <c r="FT54" s="541"/>
      <c r="FU54" s="541"/>
      <c r="FV54" s="541"/>
      <c r="FW54" s="541"/>
      <c r="FX54" s="541"/>
      <c r="FY54" s="541"/>
      <c r="FZ54" s="541"/>
      <c r="GA54" s="541"/>
      <c r="GB54" s="541"/>
      <c r="GC54" s="541"/>
      <c r="GD54" s="541"/>
      <c r="GE54" s="541"/>
      <c r="GF54" s="541"/>
      <c r="GG54" s="541"/>
      <c r="GH54" s="541"/>
      <c r="GI54" s="541"/>
      <c r="GJ54" s="541"/>
      <c r="GK54" s="541"/>
      <c r="GL54" s="541"/>
      <c r="GM54" s="541"/>
      <c r="GN54" s="541"/>
      <c r="GO54" s="541"/>
      <c r="GP54" s="541"/>
      <c r="GQ54" s="541"/>
      <c r="GR54" s="541"/>
      <c r="GS54" s="541"/>
      <c r="GT54" s="541"/>
      <c r="GU54" s="541"/>
      <c r="GV54" s="541"/>
      <c r="GW54" s="541"/>
      <c r="GX54" s="541"/>
      <c r="GY54" s="541"/>
      <c r="GZ54" s="541"/>
      <c r="HA54" s="541"/>
      <c r="HB54" s="541"/>
      <c r="HC54" s="541"/>
      <c r="HD54" s="541"/>
      <c r="HE54" s="541"/>
      <c r="HF54" s="541"/>
      <c r="HG54" s="541"/>
      <c r="HH54" s="541"/>
      <c r="HI54" s="541"/>
      <c r="HJ54" s="541"/>
      <c r="HK54" s="541"/>
      <c r="HL54" s="541"/>
      <c r="HM54" s="541"/>
      <c r="HN54" s="541"/>
      <c r="HO54" s="541"/>
      <c r="HP54" s="541"/>
      <c r="HQ54" s="541"/>
      <c r="HR54" s="541"/>
      <c r="HS54" s="541"/>
      <c r="HT54" s="541"/>
      <c r="HU54" s="541"/>
      <c r="HV54" s="541"/>
      <c r="HW54" s="541"/>
      <c r="HX54" s="541"/>
      <c r="HY54" s="541"/>
      <c r="HZ54" s="541"/>
      <c r="IA54" s="541"/>
      <c r="IB54" s="541"/>
      <c r="IC54" s="541"/>
      <c r="ID54" s="541"/>
      <c r="IE54" s="541"/>
      <c r="IF54" s="541"/>
      <c r="IG54" s="541"/>
      <c r="IH54" s="541"/>
      <c r="II54" s="541"/>
      <c r="IJ54" s="541"/>
      <c r="IK54" s="541"/>
      <c r="IL54" s="541"/>
      <c r="IM54" s="541"/>
      <c r="IN54" s="541"/>
      <c r="IO54" s="541"/>
      <c r="IP54" s="541"/>
      <c r="IQ54" s="541"/>
      <c r="IR54" s="541"/>
      <c r="IS54" s="541"/>
    </row>
    <row r="55" spans="1:253" s="544" customFormat="1">
      <c r="A55" s="421" t="s">
        <v>162</v>
      </c>
      <c r="B55" s="423">
        <f>SUM(B46:B54)</f>
        <v>4874319</v>
      </c>
      <c r="C55" s="423">
        <f>SUM(C46:C54)</f>
        <v>4874319</v>
      </c>
      <c r="D55" s="420">
        <f t="shared" si="0"/>
        <v>0</v>
      </c>
      <c r="E55" s="418"/>
      <c r="F55" s="417"/>
      <c r="G55" s="547"/>
      <c r="H55" s="543"/>
      <c r="I55" s="543"/>
      <c r="J55" s="543"/>
      <c r="K55" s="543"/>
      <c r="L55" s="543"/>
      <c r="M55" s="543"/>
      <c r="N55" s="543"/>
      <c r="O55" s="543"/>
      <c r="P55" s="543"/>
      <c r="Q55" s="543"/>
      <c r="R55" s="543"/>
      <c r="S55" s="543"/>
      <c r="T55" s="543"/>
      <c r="U55" s="543"/>
      <c r="V55" s="543"/>
      <c r="W55" s="543"/>
      <c r="X55" s="543"/>
      <c r="Y55" s="543"/>
      <c r="Z55" s="543"/>
      <c r="AA55" s="543"/>
      <c r="AB55" s="543"/>
      <c r="AC55" s="543"/>
      <c r="AD55" s="543"/>
      <c r="AE55" s="543"/>
      <c r="AF55" s="543"/>
      <c r="AG55" s="543"/>
      <c r="AH55" s="543"/>
      <c r="AI55" s="543"/>
      <c r="AJ55" s="543"/>
      <c r="AK55" s="543"/>
      <c r="AL55" s="543"/>
      <c r="AM55" s="543"/>
      <c r="AN55" s="543"/>
      <c r="AO55" s="543"/>
      <c r="AP55" s="543"/>
      <c r="AQ55" s="543"/>
      <c r="AR55" s="543"/>
      <c r="AS55" s="543"/>
      <c r="AT55" s="543"/>
      <c r="AU55" s="543"/>
      <c r="AV55" s="543"/>
      <c r="AW55" s="543"/>
      <c r="AX55" s="543"/>
      <c r="AY55" s="543"/>
      <c r="AZ55" s="543"/>
      <c r="BA55" s="543"/>
      <c r="BB55" s="543"/>
      <c r="BC55" s="543"/>
      <c r="BD55" s="543"/>
      <c r="BE55" s="543"/>
      <c r="BF55" s="543"/>
      <c r="BG55" s="543"/>
      <c r="BH55" s="543"/>
      <c r="BI55" s="543"/>
      <c r="BJ55" s="543"/>
      <c r="BK55" s="543"/>
      <c r="BL55" s="543"/>
      <c r="BM55" s="543"/>
      <c r="BN55" s="543"/>
      <c r="BO55" s="543"/>
      <c r="BP55" s="543"/>
      <c r="BQ55" s="543"/>
      <c r="BR55" s="543"/>
      <c r="BS55" s="543"/>
      <c r="BT55" s="543"/>
      <c r="BU55" s="543"/>
      <c r="BV55" s="543"/>
      <c r="BW55" s="543"/>
      <c r="BX55" s="543"/>
      <c r="BY55" s="543"/>
      <c r="BZ55" s="543"/>
      <c r="CA55" s="543"/>
      <c r="CB55" s="543"/>
      <c r="CC55" s="543"/>
      <c r="CD55" s="543"/>
      <c r="CE55" s="543"/>
      <c r="CF55" s="543"/>
      <c r="CG55" s="543"/>
      <c r="CH55" s="543"/>
      <c r="CI55" s="543"/>
      <c r="CJ55" s="543"/>
      <c r="CK55" s="543"/>
      <c r="CL55" s="543"/>
      <c r="CM55" s="543"/>
      <c r="CN55" s="543"/>
      <c r="CO55" s="543"/>
      <c r="CP55" s="543"/>
      <c r="CQ55" s="543"/>
      <c r="CR55" s="543"/>
      <c r="CS55" s="543"/>
      <c r="CT55" s="543"/>
      <c r="CU55" s="543"/>
      <c r="CV55" s="543"/>
      <c r="CW55" s="543"/>
      <c r="CX55" s="543"/>
      <c r="CY55" s="543"/>
      <c r="CZ55" s="543"/>
      <c r="DA55" s="543"/>
      <c r="DB55" s="543"/>
      <c r="DC55" s="543"/>
      <c r="DD55" s="543"/>
      <c r="DE55" s="543"/>
      <c r="DF55" s="543"/>
      <c r="DG55" s="543"/>
      <c r="DH55" s="543"/>
      <c r="DI55" s="543"/>
      <c r="DJ55" s="543"/>
      <c r="DK55" s="543"/>
      <c r="DL55" s="543"/>
      <c r="DM55" s="543"/>
      <c r="DN55" s="543"/>
      <c r="DO55" s="543"/>
      <c r="DP55" s="543"/>
      <c r="DQ55" s="543"/>
      <c r="DR55" s="543"/>
      <c r="DS55" s="543"/>
      <c r="DT55" s="543"/>
      <c r="DU55" s="543"/>
      <c r="DV55" s="543"/>
      <c r="DW55" s="543"/>
      <c r="DX55" s="543"/>
      <c r="DY55" s="543"/>
      <c r="DZ55" s="543"/>
      <c r="EA55" s="543"/>
      <c r="EB55" s="543"/>
      <c r="EC55" s="543"/>
      <c r="ED55" s="543"/>
      <c r="EE55" s="543"/>
      <c r="EF55" s="543"/>
      <c r="EG55" s="543"/>
      <c r="EH55" s="543"/>
      <c r="EI55" s="543"/>
      <c r="EJ55" s="543"/>
      <c r="EK55" s="543"/>
      <c r="EL55" s="543"/>
      <c r="EM55" s="543"/>
      <c r="EN55" s="543"/>
      <c r="EO55" s="543"/>
      <c r="EP55" s="543"/>
      <c r="EQ55" s="543"/>
      <c r="ER55" s="543"/>
      <c r="ES55" s="543"/>
      <c r="ET55" s="543"/>
      <c r="EU55" s="543"/>
      <c r="EV55" s="543"/>
      <c r="EW55" s="543"/>
      <c r="EX55" s="543"/>
      <c r="EY55" s="543"/>
      <c r="EZ55" s="543"/>
      <c r="FA55" s="543"/>
      <c r="FB55" s="543"/>
      <c r="FC55" s="543"/>
      <c r="FD55" s="543"/>
      <c r="FE55" s="543"/>
      <c r="FF55" s="543"/>
      <c r="FG55" s="543"/>
      <c r="FH55" s="543"/>
      <c r="FI55" s="543"/>
      <c r="FJ55" s="543"/>
      <c r="FK55" s="543"/>
      <c r="FL55" s="543"/>
      <c r="FM55" s="543"/>
      <c r="FN55" s="543"/>
      <c r="FO55" s="543"/>
      <c r="FP55" s="543"/>
      <c r="FQ55" s="543"/>
      <c r="FR55" s="543"/>
      <c r="FS55" s="543"/>
      <c r="FT55" s="543"/>
      <c r="FU55" s="543"/>
      <c r="FV55" s="543"/>
      <c r="FW55" s="543"/>
      <c r="FX55" s="543"/>
      <c r="FY55" s="543"/>
      <c r="FZ55" s="543"/>
      <c r="GA55" s="543"/>
      <c r="GB55" s="543"/>
      <c r="GC55" s="543"/>
      <c r="GD55" s="543"/>
      <c r="GE55" s="543"/>
      <c r="GF55" s="543"/>
      <c r="GG55" s="543"/>
      <c r="GH55" s="543"/>
      <c r="GI55" s="543"/>
      <c r="GJ55" s="543"/>
      <c r="GK55" s="543"/>
      <c r="GL55" s="543"/>
      <c r="GM55" s="543"/>
      <c r="GN55" s="543"/>
      <c r="GO55" s="543"/>
      <c r="GP55" s="543"/>
      <c r="GQ55" s="543"/>
      <c r="GR55" s="543"/>
      <c r="GS55" s="543"/>
      <c r="GT55" s="543"/>
      <c r="GU55" s="543"/>
      <c r="GV55" s="543"/>
      <c r="GW55" s="543"/>
      <c r="GX55" s="543"/>
      <c r="GY55" s="543"/>
      <c r="GZ55" s="543"/>
      <c r="HA55" s="543"/>
      <c r="HB55" s="543"/>
      <c r="HC55" s="543"/>
      <c r="HD55" s="543"/>
      <c r="HE55" s="543"/>
      <c r="HF55" s="543"/>
      <c r="HG55" s="543"/>
      <c r="HH55" s="543"/>
      <c r="HI55" s="543"/>
      <c r="HJ55" s="543"/>
      <c r="HK55" s="543"/>
      <c r="HL55" s="543"/>
      <c r="HM55" s="543"/>
      <c r="HN55" s="543"/>
      <c r="HO55" s="543"/>
      <c r="HP55" s="543"/>
      <c r="HQ55" s="543"/>
      <c r="HR55" s="543"/>
      <c r="HS55" s="543"/>
      <c r="HT55" s="543"/>
      <c r="HU55" s="543"/>
      <c r="HV55" s="543"/>
      <c r="HW55" s="543"/>
      <c r="HX55" s="543"/>
      <c r="HY55" s="543"/>
      <c r="HZ55" s="543"/>
      <c r="IA55" s="543"/>
      <c r="IB55" s="543"/>
      <c r="IC55" s="543"/>
      <c r="ID55" s="543"/>
      <c r="IE55" s="543"/>
      <c r="IF55" s="543"/>
      <c r="IG55" s="543"/>
      <c r="IH55" s="543"/>
      <c r="II55" s="543"/>
      <c r="IJ55" s="543"/>
      <c r="IK55" s="543"/>
      <c r="IL55" s="543"/>
      <c r="IM55" s="543"/>
      <c r="IN55" s="543"/>
      <c r="IO55" s="543"/>
      <c r="IP55" s="543"/>
      <c r="IQ55" s="543"/>
      <c r="IR55" s="543"/>
      <c r="IS55" s="543"/>
    </row>
    <row r="56" spans="1:253" s="542" customFormat="1">
      <c r="A56" s="414" t="s">
        <v>439</v>
      </c>
      <c r="B56" s="414"/>
      <c r="C56" s="414"/>
      <c r="D56" s="414"/>
      <c r="E56" s="434"/>
      <c r="F56" s="414"/>
      <c r="G56" s="546"/>
      <c r="H56" s="541"/>
      <c r="I56" s="541"/>
      <c r="J56" s="541"/>
      <c r="K56" s="541"/>
      <c r="L56" s="541"/>
      <c r="M56" s="541"/>
      <c r="N56" s="541"/>
      <c r="O56" s="541"/>
      <c r="P56" s="541"/>
      <c r="Q56" s="541"/>
      <c r="R56" s="541"/>
      <c r="S56" s="541"/>
      <c r="T56" s="541"/>
      <c r="U56" s="541"/>
      <c r="V56" s="541"/>
      <c r="W56" s="541"/>
      <c r="X56" s="541"/>
      <c r="Y56" s="541"/>
      <c r="Z56" s="541"/>
      <c r="AA56" s="541"/>
      <c r="AB56" s="541"/>
      <c r="AC56" s="541"/>
      <c r="AD56" s="541"/>
      <c r="AE56" s="541"/>
      <c r="AF56" s="541"/>
      <c r="AG56" s="541"/>
      <c r="AH56" s="541"/>
      <c r="AI56" s="541"/>
      <c r="AJ56" s="541"/>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1"/>
      <c r="CA56" s="541"/>
      <c r="CB56" s="541"/>
      <c r="CC56" s="541"/>
      <c r="CD56" s="541"/>
      <c r="CE56" s="541"/>
      <c r="CF56" s="541"/>
      <c r="CG56" s="541"/>
      <c r="CH56" s="541"/>
      <c r="CI56" s="541"/>
      <c r="CJ56" s="541"/>
      <c r="CK56" s="541"/>
      <c r="CL56" s="541"/>
      <c r="CM56" s="541"/>
      <c r="CN56" s="541"/>
      <c r="CO56" s="541"/>
      <c r="CP56" s="541"/>
      <c r="CQ56" s="541"/>
      <c r="CR56" s="541"/>
      <c r="CS56" s="541"/>
      <c r="CT56" s="541"/>
      <c r="CU56" s="541"/>
      <c r="CV56" s="541"/>
      <c r="CW56" s="541"/>
      <c r="CX56" s="541"/>
      <c r="CY56" s="541"/>
      <c r="CZ56" s="541"/>
      <c r="DA56" s="541"/>
      <c r="DB56" s="541"/>
      <c r="DC56" s="541"/>
      <c r="DD56" s="541"/>
      <c r="DE56" s="541"/>
      <c r="DF56" s="541"/>
      <c r="DG56" s="541"/>
      <c r="DH56" s="541"/>
      <c r="DI56" s="541"/>
      <c r="DJ56" s="541"/>
      <c r="DK56" s="541"/>
      <c r="DL56" s="541"/>
      <c r="DM56" s="541"/>
      <c r="DN56" s="541"/>
      <c r="DO56" s="541"/>
      <c r="DP56" s="541"/>
      <c r="DQ56" s="541"/>
      <c r="DR56" s="541"/>
      <c r="DS56" s="541"/>
      <c r="DT56" s="541"/>
      <c r="DU56" s="541"/>
      <c r="DV56" s="541"/>
      <c r="DW56" s="541"/>
      <c r="DX56" s="541"/>
      <c r="DY56" s="541"/>
      <c r="DZ56" s="541"/>
      <c r="EA56" s="541"/>
      <c r="EB56" s="541"/>
      <c r="EC56" s="541"/>
      <c r="ED56" s="541"/>
      <c r="EE56" s="541"/>
      <c r="EF56" s="541"/>
      <c r="EG56" s="541"/>
      <c r="EH56" s="541"/>
      <c r="EI56" s="541"/>
      <c r="EJ56" s="541"/>
      <c r="EK56" s="541"/>
      <c r="EL56" s="541"/>
      <c r="EM56" s="541"/>
      <c r="EN56" s="541"/>
      <c r="EO56" s="541"/>
      <c r="EP56" s="541"/>
      <c r="EQ56" s="541"/>
      <c r="ER56" s="541"/>
      <c r="ES56" s="541"/>
      <c r="ET56" s="541"/>
      <c r="EU56" s="541"/>
      <c r="EV56" s="541"/>
      <c r="EW56" s="541"/>
      <c r="EX56" s="541"/>
      <c r="EY56" s="541"/>
      <c r="EZ56" s="541"/>
      <c r="FA56" s="541"/>
      <c r="FB56" s="541"/>
      <c r="FC56" s="541"/>
      <c r="FD56" s="541"/>
      <c r="FE56" s="541"/>
      <c r="FF56" s="541"/>
      <c r="FG56" s="541"/>
      <c r="FH56" s="541"/>
      <c r="FI56" s="541"/>
      <c r="FJ56" s="541"/>
      <c r="FK56" s="541"/>
      <c r="FL56" s="541"/>
      <c r="FM56" s="541"/>
      <c r="FN56" s="541"/>
      <c r="FO56" s="541"/>
      <c r="FP56" s="541"/>
      <c r="FQ56" s="541"/>
      <c r="FR56" s="541"/>
      <c r="FS56" s="541"/>
      <c r="FT56" s="541"/>
      <c r="FU56" s="541"/>
      <c r="FV56" s="541"/>
      <c r="FW56" s="541"/>
      <c r="FX56" s="541"/>
      <c r="FY56" s="541"/>
      <c r="FZ56" s="541"/>
      <c r="GA56" s="541"/>
      <c r="GB56" s="541"/>
      <c r="GC56" s="541"/>
      <c r="GD56" s="541"/>
      <c r="GE56" s="541"/>
      <c r="GF56" s="541"/>
      <c r="GG56" s="541"/>
      <c r="GH56" s="541"/>
      <c r="GI56" s="541"/>
      <c r="GJ56" s="541"/>
      <c r="GK56" s="541"/>
      <c r="GL56" s="541"/>
      <c r="GM56" s="541"/>
      <c r="GN56" s="541"/>
      <c r="GO56" s="541"/>
      <c r="GP56" s="541"/>
      <c r="GQ56" s="541"/>
      <c r="GR56" s="541"/>
      <c r="GS56" s="541"/>
      <c r="GT56" s="541"/>
      <c r="GU56" s="541"/>
      <c r="GV56" s="541"/>
      <c r="GW56" s="541"/>
      <c r="GX56" s="541"/>
      <c r="GY56" s="541"/>
      <c r="GZ56" s="541"/>
      <c r="HA56" s="541"/>
      <c r="HB56" s="541"/>
      <c r="HC56" s="541"/>
      <c r="HD56" s="541"/>
      <c r="HE56" s="541"/>
      <c r="HF56" s="541"/>
      <c r="HG56" s="541"/>
      <c r="HH56" s="541"/>
      <c r="HI56" s="541"/>
      <c r="HJ56" s="541"/>
      <c r="HK56" s="541"/>
      <c r="HL56" s="541"/>
      <c r="HM56" s="541"/>
      <c r="HN56" s="541"/>
      <c r="HO56" s="541"/>
      <c r="HP56" s="541"/>
      <c r="HQ56" s="541"/>
      <c r="HR56" s="541"/>
      <c r="HS56" s="541"/>
      <c r="HT56" s="541"/>
      <c r="HU56" s="541"/>
      <c r="HV56" s="541"/>
      <c r="HW56" s="541"/>
      <c r="HX56" s="541"/>
      <c r="HY56" s="541"/>
      <c r="HZ56" s="541"/>
      <c r="IA56" s="541"/>
      <c r="IB56" s="541"/>
      <c r="IC56" s="541"/>
      <c r="ID56" s="541"/>
      <c r="IE56" s="541"/>
      <c r="IF56" s="541"/>
      <c r="IG56" s="541"/>
      <c r="IH56" s="541"/>
      <c r="II56" s="541"/>
      <c r="IJ56" s="541"/>
      <c r="IK56" s="541"/>
      <c r="IL56" s="541"/>
      <c r="IM56" s="541"/>
      <c r="IN56" s="541"/>
      <c r="IO56" s="541"/>
      <c r="IP56" s="541"/>
      <c r="IQ56" s="541"/>
      <c r="IR56" s="541"/>
      <c r="IS56" s="541"/>
    </row>
    <row r="57" spans="1:253" s="542" customFormat="1">
      <c r="A57" s="419" t="s">
        <v>163</v>
      </c>
      <c r="B57" s="416">
        <f>'Sources and Uses Budget'!$C56</f>
        <v>106740</v>
      </c>
      <c r="C57" s="416">
        <f>'Sources and Uses Budget'!$C56</f>
        <v>106740</v>
      </c>
      <c r="D57" s="420">
        <f t="shared" si="0"/>
        <v>0</v>
      </c>
      <c r="E57" s="418"/>
      <c r="F57" s="417"/>
      <c r="G57" s="546"/>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c r="CT57" s="541"/>
      <c r="CU57" s="541"/>
      <c r="CV57" s="541"/>
      <c r="CW57" s="541"/>
      <c r="CX57" s="541"/>
      <c r="CY57" s="541"/>
      <c r="CZ57" s="541"/>
      <c r="DA57" s="541"/>
      <c r="DB57" s="541"/>
      <c r="DC57" s="541"/>
      <c r="DD57" s="541"/>
      <c r="DE57" s="541"/>
      <c r="DF57" s="541"/>
      <c r="DG57" s="541"/>
      <c r="DH57" s="541"/>
      <c r="DI57" s="541"/>
      <c r="DJ57" s="541"/>
      <c r="DK57" s="541"/>
      <c r="DL57" s="541"/>
      <c r="DM57" s="541"/>
      <c r="DN57" s="541"/>
      <c r="DO57" s="541"/>
      <c r="DP57" s="541"/>
      <c r="DQ57" s="541"/>
      <c r="DR57" s="541"/>
      <c r="DS57" s="541"/>
      <c r="DT57" s="541"/>
      <c r="DU57" s="541"/>
      <c r="DV57" s="541"/>
      <c r="DW57" s="541"/>
      <c r="DX57" s="541"/>
      <c r="DY57" s="541"/>
      <c r="DZ57" s="541"/>
      <c r="EA57" s="541"/>
      <c r="EB57" s="541"/>
      <c r="EC57" s="541"/>
      <c r="ED57" s="541"/>
      <c r="EE57" s="541"/>
      <c r="EF57" s="541"/>
      <c r="EG57" s="541"/>
      <c r="EH57" s="541"/>
      <c r="EI57" s="541"/>
      <c r="EJ57" s="541"/>
      <c r="EK57" s="541"/>
      <c r="EL57" s="541"/>
      <c r="EM57" s="541"/>
      <c r="EN57" s="541"/>
      <c r="EO57" s="541"/>
      <c r="EP57" s="541"/>
      <c r="EQ57" s="541"/>
      <c r="ER57" s="541"/>
      <c r="ES57" s="541"/>
      <c r="ET57" s="541"/>
      <c r="EU57" s="541"/>
      <c r="EV57" s="541"/>
      <c r="EW57" s="541"/>
      <c r="EX57" s="541"/>
      <c r="EY57" s="541"/>
      <c r="EZ57" s="541"/>
      <c r="FA57" s="541"/>
      <c r="FB57" s="541"/>
      <c r="FC57" s="541"/>
      <c r="FD57" s="541"/>
      <c r="FE57" s="541"/>
      <c r="FF57" s="541"/>
      <c r="FG57" s="541"/>
      <c r="FH57" s="541"/>
      <c r="FI57" s="541"/>
      <c r="FJ57" s="541"/>
      <c r="FK57" s="541"/>
      <c r="FL57" s="541"/>
      <c r="FM57" s="541"/>
      <c r="FN57" s="541"/>
      <c r="FO57" s="541"/>
      <c r="FP57" s="541"/>
      <c r="FQ57" s="541"/>
      <c r="FR57" s="541"/>
      <c r="FS57" s="541"/>
      <c r="FT57" s="541"/>
      <c r="FU57" s="541"/>
      <c r="FV57" s="541"/>
      <c r="FW57" s="541"/>
      <c r="FX57" s="541"/>
      <c r="FY57" s="541"/>
      <c r="FZ57" s="541"/>
      <c r="GA57" s="541"/>
      <c r="GB57" s="541"/>
      <c r="GC57" s="541"/>
      <c r="GD57" s="541"/>
      <c r="GE57" s="541"/>
      <c r="GF57" s="541"/>
      <c r="GG57" s="541"/>
      <c r="GH57" s="541"/>
      <c r="GI57" s="541"/>
      <c r="GJ57" s="541"/>
      <c r="GK57" s="541"/>
      <c r="GL57" s="541"/>
      <c r="GM57" s="541"/>
      <c r="GN57" s="541"/>
      <c r="GO57" s="541"/>
      <c r="GP57" s="541"/>
      <c r="GQ57" s="541"/>
      <c r="GR57" s="541"/>
      <c r="GS57" s="541"/>
      <c r="GT57" s="541"/>
      <c r="GU57" s="541"/>
      <c r="GV57" s="541"/>
      <c r="GW57" s="541"/>
      <c r="GX57" s="541"/>
      <c r="GY57" s="541"/>
      <c r="GZ57" s="541"/>
      <c r="HA57" s="541"/>
      <c r="HB57" s="541"/>
      <c r="HC57" s="541"/>
      <c r="HD57" s="541"/>
      <c r="HE57" s="541"/>
      <c r="HF57" s="541"/>
      <c r="HG57" s="541"/>
      <c r="HH57" s="541"/>
      <c r="HI57" s="541"/>
      <c r="HJ57" s="541"/>
      <c r="HK57" s="541"/>
      <c r="HL57" s="541"/>
      <c r="HM57" s="541"/>
      <c r="HN57" s="541"/>
      <c r="HO57" s="541"/>
      <c r="HP57" s="541"/>
      <c r="HQ57" s="541"/>
      <c r="HR57" s="541"/>
      <c r="HS57" s="541"/>
      <c r="HT57" s="541"/>
      <c r="HU57" s="541"/>
      <c r="HV57" s="541"/>
      <c r="HW57" s="541"/>
      <c r="HX57" s="541"/>
      <c r="HY57" s="541"/>
      <c r="HZ57" s="541"/>
      <c r="IA57" s="541"/>
      <c r="IB57" s="541"/>
      <c r="IC57" s="541"/>
      <c r="ID57" s="541"/>
      <c r="IE57" s="541"/>
      <c r="IF57" s="541"/>
      <c r="IG57" s="541"/>
      <c r="IH57" s="541"/>
      <c r="II57" s="541"/>
      <c r="IJ57" s="541"/>
      <c r="IK57" s="541"/>
      <c r="IL57" s="541"/>
      <c r="IM57" s="541"/>
      <c r="IN57" s="541"/>
      <c r="IO57" s="541"/>
      <c r="IP57" s="541"/>
      <c r="IQ57" s="541"/>
      <c r="IR57" s="541"/>
      <c r="IS57" s="541"/>
    </row>
    <row r="58" spans="1:253" s="542" customFormat="1" ht="12" customHeight="1">
      <c r="A58" s="419" t="s">
        <v>157</v>
      </c>
      <c r="B58" s="416">
        <f>'Sources and Uses Budget'!$C57</f>
        <v>0</v>
      </c>
      <c r="C58" s="416">
        <f>'Sources and Uses Budget'!$C57</f>
        <v>0</v>
      </c>
      <c r="D58" s="420">
        <f t="shared" si="0"/>
        <v>0</v>
      </c>
      <c r="E58" s="418"/>
      <c r="F58" s="417"/>
      <c r="G58" s="546"/>
      <c r="H58" s="541"/>
      <c r="I58" s="541"/>
      <c r="J58" s="541"/>
      <c r="K58" s="541"/>
      <c r="L58" s="541"/>
      <c r="M58" s="541"/>
      <c r="N58" s="541"/>
      <c r="O58" s="541"/>
      <c r="P58" s="541"/>
      <c r="Q58" s="541"/>
      <c r="R58" s="541"/>
      <c r="S58" s="541"/>
      <c r="T58" s="541"/>
      <c r="U58" s="541"/>
      <c r="V58" s="541"/>
      <c r="W58" s="541"/>
      <c r="X58" s="541"/>
      <c r="Y58" s="541"/>
      <c r="Z58" s="541"/>
      <c r="AA58" s="541"/>
      <c r="AB58" s="541"/>
      <c r="AC58" s="541"/>
      <c r="AD58" s="541"/>
      <c r="AE58" s="541"/>
      <c r="AF58" s="541"/>
      <c r="AG58" s="541"/>
      <c r="AH58" s="541"/>
      <c r="AI58" s="541"/>
      <c r="AJ58" s="541"/>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541"/>
      <c r="BO58" s="541"/>
      <c r="BP58" s="541"/>
      <c r="BQ58" s="541"/>
      <c r="BR58" s="541"/>
      <c r="BS58" s="541"/>
      <c r="BT58" s="541"/>
      <c r="BU58" s="541"/>
      <c r="BV58" s="541"/>
      <c r="BW58" s="541"/>
      <c r="BX58" s="541"/>
      <c r="BY58" s="541"/>
      <c r="BZ58" s="541"/>
      <c r="CA58" s="541"/>
      <c r="CB58" s="541"/>
      <c r="CC58" s="541"/>
      <c r="CD58" s="541"/>
      <c r="CE58" s="541"/>
      <c r="CF58" s="541"/>
      <c r="CG58" s="541"/>
      <c r="CH58" s="541"/>
      <c r="CI58" s="541"/>
      <c r="CJ58" s="541"/>
      <c r="CK58" s="541"/>
      <c r="CL58" s="541"/>
      <c r="CM58" s="541"/>
      <c r="CN58" s="541"/>
      <c r="CO58" s="541"/>
      <c r="CP58" s="541"/>
      <c r="CQ58" s="541"/>
      <c r="CR58" s="541"/>
      <c r="CS58" s="541"/>
      <c r="CT58" s="541"/>
      <c r="CU58" s="541"/>
      <c r="CV58" s="541"/>
      <c r="CW58" s="541"/>
      <c r="CX58" s="541"/>
      <c r="CY58" s="541"/>
      <c r="CZ58" s="541"/>
      <c r="DA58" s="541"/>
      <c r="DB58" s="541"/>
      <c r="DC58" s="541"/>
      <c r="DD58" s="541"/>
      <c r="DE58" s="541"/>
      <c r="DF58" s="541"/>
      <c r="DG58" s="541"/>
      <c r="DH58" s="541"/>
      <c r="DI58" s="541"/>
      <c r="DJ58" s="541"/>
      <c r="DK58" s="541"/>
      <c r="DL58" s="541"/>
      <c r="DM58" s="541"/>
      <c r="DN58" s="541"/>
      <c r="DO58" s="541"/>
      <c r="DP58" s="541"/>
      <c r="DQ58" s="541"/>
      <c r="DR58" s="541"/>
      <c r="DS58" s="541"/>
      <c r="DT58" s="541"/>
      <c r="DU58" s="541"/>
      <c r="DV58" s="541"/>
      <c r="DW58" s="541"/>
      <c r="DX58" s="541"/>
      <c r="DY58" s="541"/>
      <c r="DZ58" s="541"/>
      <c r="EA58" s="541"/>
      <c r="EB58" s="541"/>
      <c r="EC58" s="541"/>
      <c r="ED58" s="541"/>
      <c r="EE58" s="541"/>
      <c r="EF58" s="541"/>
      <c r="EG58" s="541"/>
      <c r="EH58" s="541"/>
      <c r="EI58" s="541"/>
      <c r="EJ58" s="541"/>
      <c r="EK58" s="541"/>
      <c r="EL58" s="541"/>
      <c r="EM58" s="541"/>
      <c r="EN58" s="541"/>
      <c r="EO58" s="541"/>
      <c r="EP58" s="541"/>
      <c r="EQ58" s="541"/>
      <c r="ER58" s="541"/>
      <c r="ES58" s="541"/>
      <c r="ET58" s="541"/>
      <c r="EU58" s="541"/>
      <c r="EV58" s="541"/>
      <c r="EW58" s="541"/>
      <c r="EX58" s="541"/>
      <c r="EY58" s="541"/>
      <c r="EZ58" s="541"/>
      <c r="FA58" s="541"/>
      <c r="FB58" s="541"/>
      <c r="FC58" s="541"/>
      <c r="FD58" s="541"/>
      <c r="FE58" s="541"/>
      <c r="FF58" s="541"/>
      <c r="FG58" s="541"/>
      <c r="FH58" s="541"/>
      <c r="FI58" s="541"/>
      <c r="FJ58" s="541"/>
      <c r="FK58" s="541"/>
      <c r="FL58" s="541"/>
      <c r="FM58" s="541"/>
      <c r="FN58" s="541"/>
      <c r="FO58" s="541"/>
      <c r="FP58" s="541"/>
      <c r="FQ58" s="541"/>
      <c r="FR58" s="541"/>
      <c r="FS58" s="541"/>
      <c r="FT58" s="541"/>
      <c r="FU58" s="541"/>
      <c r="FV58" s="541"/>
      <c r="FW58" s="541"/>
      <c r="FX58" s="541"/>
      <c r="FY58" s="541"/>
      <c r="FZ58" s="541"/>
      <c r="GA58" s="541"/>
      <c r="GB58" s="541"/>
      <c r="GC58" s="541"/>
      <c r="GD58" s="541"/>
      <c r="GE58" s="541"/>
      <c r="GF58" s="541"/>
      <c r="GG58" s="541"/>
      <c r="GH58" s="541"/>
      <c r="GI58" s="541"/>
      <c r="GJ58" s="541"/>
      <c r="GK58" s="541"/>
      <c r="GL58" s="541"/>
      <c r="GM58" s="541"/>
      <c r="GN58" s="541"/>
      <c r="GO58" s="541"/>
      <c r="GP58" s="541"/>
      <c r="GQ58" s="541"/>
      <c r="GR58" s="541"/>
      <c r="GS58" s="541"/>
      <c r="GT58" s="541"/>
      <c r="GU58" s="541"/>
      <c r="GV58" s="541"/>
      <c r="GW58" s="541"/>
      <c r="GX58" s="541"/>
      <c r="GY58" s="541"/>
      <c r="GZ58" s="541"/>
      <c r="HA58" s="541"/>
      <c r="HB58" s="541"/>
      <c r="HC58" s="541"/>
      <c r="HD58" s="541"/>
      <c r="HE58" s="541"/>
      <c r="HF58" s="541"/>
      <c r="HG58" s="541"/>
      <c r="HH58" s="541"/>
      <c r="HI58" s="541"/>
      <c r="HJ58" s="541"/>
      <c r="HK58" s="541"/>
      <c r="HL58" s="541"/>
      <c r="HM58" s="541"/>
      <c r="HN58" s="541"/>
      <c r="HO58" s="541"/>
      <c r="HP58" s="541"/>
      <c r="HQ58" s="541"/>
      <c r="HR58" s="541"/>
      <c r="HS58" s="541"/>
      <c r="HT58" s="541"/>
      <c r="HU58" s="541"/>
      <c r="HV58" s="541"/>
      <c r="HW58" s="541"/>
      <c r="HX58" s="541"/>
      <c r="HY58" s="541"/>
      <c r="HZ58" s="541"/>
      <c r="IA58" s="541"/>
      <c r="IB58" s="541"/>
      <c r="IC58" s="541"/>
      <c r="ID58" s="541"/>
      <c r="IE58" s="541"/>
      <c r="IF58" s="541"/>
      <c r="IG58" s="541"/>
      <c r="IH58" s="541"/>
      <c r="II58" s="541"/>
      <c r="IJ58" s="541"/>
      <c r="IK58" s="541"/>
      <c r="IL58" s="541"/>
      <c r="IM58" s="541"/>
      <c r="IN58" s="541"/>
      <c r="IO58" s="541"/>
      <c r="IP58" s="541"/>
      <c r="IQ58" s="541"/>
      <c r="IR58" s="541"/>
      <c r="IS58" s="541"/>
    </row>
    <row r="59" spans="1:253" s="542" customFormat="1">
      <c r="A59" s="419" t="s">
        <v>161</v>
      </c>
      <c r="B59" s="416">
        <f>'Sources and Uses Budget'!$C58</f>
        <v>25000</v>
      </c>
      <c r="C59" s="416">
        <f>'Sources and Uses Budget'!$C58</f>
        <v>25000</v>
      </c>
      <c r="D59" s="420">
        <f t="shared" si="0"/>
        <v>0</v>
      </c>
      <c r="E59" s="418"/>
      <c r="F59" s="417"/>
      <c r="G59" s="546"/>
      <c r="H59" s="541"/>
      <c r="I59" s="541"/>
      <c r="J59" s="541"/>
      <c r="K59" s="541"/>
      <c r="L59" s="541"/>
      <c r="M59" s="541"/>
      <c r="N59" s="541"/>
      <c r="O59" s="541"/>
      <c r="P59" s="541"/>
      <c r="Q59" s="541"/>
      <c r="R59" s="541"/>
      <c r="S59" s="541"/>
      <c r="T59" s="541"/>
      <c r="U59" s="541"/>
      <c r="V59" s="541"/>
      <c r="W59" s="541"/>
      <c r="X59" s="541"/>
      <c r="Y59" s="541"/>
      <c r="Z59" s="541"/>
      <c r="AA59" s="541"/>
      <c r="AB59" s="541"/>
      <c r="AC59" s="541"/>
      <c r="AD59" s="541"/>
      <c r="AE59" s="541"/>
      <c r="AF59" s="541"/>
      <c r="AG59" s="541"/>
      <c r="AH59" s="541"/>
      <c r="AI59" s="541"/>
      <c r="AJ59" s="541"/>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541"/>
      <c r="BO59" s="541"/>
      <c r="BP59" s="541"/>
      <c r="BQ59" s="541"/>
      <c r="BR59" s="541"/>
      <c r="BS59" s="541"/>
      <c r="BT59" s="541"/>
      <c r="BU59" s="541"/>
      <c r="BV59" s="541"/>
      <c r="BW59" s="541"/>
      <c r="BX59" s="541"/>
      <c r="BY59" s="541"/>
      <c r="BZ59" s="541"/>
      <c r="CA59" s="541"/>
      <c r="CB59" s="541"/>
      <c r="CC59" s="541"/>
      <c r="CD59" s="541"/>
      <c r="CE59" s="541"/>
      <c r="CF59" s="541"/>
      <c r="CG59" s="541"/>
      <c r="CH59" s="541"/>
      <c r="CI59" s="541"/>
      <c r="CJ59" s="541"/>
      <c r="CK59" s="541"/>
      <c r="CL59" s="541"/>
      <c r="CM59" s="541"/>
      <c r="CN59" s="541"/>
      <c r="CO59" s="541"/>
      <c r="CP59" s="541"/>
      <c r="CQ59" s="541"/>
      <c r="CR59" s="541"/>
      <c r="CS59" s="541"/>
      <c r="CT59" s="541"/>
      <c r="CU59" s="541"/>
      <c r="CV59" s="541"/>
      <c r="CW59" s="541"/>
      <c r="CX59" s="541"/>
      <c r="CY59" s="541"/>
      <c r="CZ59" s="541"/>
      <c r="DA59" s="541"/>
      <c r="DB59" s="541"/>
      <c r="DC59" s="541"/>
      <c r="DD59" s="541"/>
      <c r="DE59" s="541"/>
      <c r="DF59" s="541"/>
      <c r="DG59" s="541"/>
      <c r="DH59" s="541"/>
      <c r="DI59" s="541"/>
      <c r="DJ59" s="541"/>
      <c r="DK59" s="541"/>
      <c r="DL59" s="541"/>
      <c r="DM59" s="541"/>
      <c r="DN59" s="541"/>
      <c r="DO59" s="541"/>
      <c r="DP59" s="541"/>
      <c r="DQ59" s="541"/>
      <c r="DR59" s="541"/>
      <c r="DS59" s="541"/>
      <c r="DT59" s="541"/>
      <c r="DU59" s="541"/>
      <c r="DV59" s="541"/>
      <c r="DW59" s="541"/>
      <c r="DX59" s="541"/>
      <c r="DY59" s="541"/>
      <c r="DZ59" s="541"/>
      <c r="EA59" s="541"/>
      <c r="EB59" s="541"/>
      <c r="EC59" s="541"/>
      <c r="ED59" s="541"/>
      <c r="EE59" s="541"/>
      <c r="EF59" s="541"/>
      <c r="EG59" s="541"/>
      <c r="EH59" s="541"/>
      <c r="EI59" s="541"/>
      <c r="EJ59" s="541"/>
      <c r="EK59" s="541"/>
      <c r="EL59" s="541"/>
      <c r="EM59" s="541"/>
      <c r="EN59" s="541"/>
      <c r="EO59" s="541"/>
      <c r="EP59" s="541"/>
      <c r="EQ59" s="541"/>
      <c r="ER59" s="541"/>
      <c r="ES59" s="541"/>
      <c r="ET59" s="541"/>
      <c r="EU59" s="541"/>
      <c r="EV59" s="541"/>
      <c r="EW59" s="541"/>
      <c r="EX59" s="541"/>
      <c r="EY59" s="541"/>
      <c r="EZ59" s="541"/>
      <c r="FA59" s="541"/>
      <c r="FB59" s="541"/>
      <c r="FC59" s="541"/>
      <c r="FD59" s="541"/>
      <c r="FE59" s="541"/>
      <c r="FF59" s="541"/>
      <c r="FG59" s="541"/>
      <c r="FH59" s="541"/>
      <c r="FI59" s="541"/>
      <c r="FJ59" s="541"/>
      <c r="FK59" s="541"/>
      <c r="FL59" s="541"/>
      <c r="FM59" s="541"/>
      <c r="FN59" s="541"/>
      <c r="FO59" s="541"/>
      <c r="FP59" s="541"/>
      <c r="FQ59" s="541"/>
      <c r="FR59" s="541"/>
      <c r="FS59" s="541"/>
      <c r="FT59" s="541"/>
      <c r="FU59" s="541"/>
      <c r="FV59" s="541"/>
      <c r="FW59" s="541"/>
      <c r="FX59" s="541"/>
      <c r="FY59" s="541"/>
      <c r="FZ59" s="541"/>
      <c r="GA59" s="541"/>
      <c r="GB59" s="541"/>
      <c r="GC59" s="541"/>
      <c r="GD59" s="541"/>
      <c r="GE59" s="541"/>
      <c r="GF59" s="541"/>
      <c r="GG59" s="541"/>
      <c r="GH59" s="541"/>
      <c r="GI59" s="541"/>
      <c r="GJ59" s="541"/>
      <c r="GK59" s="541"/>
      <c r="GL59" s="541"/>
      <c r="GM59" s="541"/>
      <c r="GN59" s="541"/>
      <c r="GO59" s="541"/>
      <c r="GP59" s="541"/>
      <c r="GQ59" s="541"/>
      <c r="GR59" s="541"/>
      <c r="GS59" s="541"/>
      <c r="GT59" s="541"/>
      <c r="GU59" s="541"/>
      <c r="GV59" s="541"/>
      <c r="GW59" s="541"/>
      <c r="GX59" s="541"/>
      <c r="GY59" s="541"/>
      <c r="GZ59" s="541"/>
      <c r="HA59" s="541"/>
      <c r="HB59" s="541"/>
      <c r="HC59" s="541"/>
      <c r="HD59" s="541"/>
      <c r="HE59" s="541"/>
      <c r="HF59" s="541"/>
      <c r="HG59" s="541"/>
      <c r="HH59" s="541"/>
      <c r="HI59" s="541"/>
      <c r="HJ59" s="541"/>
      <c r="HK59" s="541"/>
      <c r="HL59" s="541"/>
      <c r="HM59" s="541"/>
      <c r="HN59" s="541"/>
      <c r="HO59" s="541"/>
      <c r="HP59" s="541"/>
      <c r="HQ59" s="541"/>
      <c r="HR59" s="541"/>
      <c r="HS59" s="541"/>
      <c r="HT59" s="541"/>
      <c r="HU59" s="541"/>
      <c r="HV59" s="541"/>
      <c r="HW59" s="541"/>
      <c r="HX59" s="541"/>
      <c r="HY59" s="541"/>
      <c r="HZ59" s="541"/>
      <c r="IA59" s="541"/>
      <c r="IB59" s="541"/>
      <c r="IC59" s="541"/>
      <c r="ID59" s="541"/>
      <c r="IE59" s="541"/>
      <c r="IF59" s="541"/>
      <c r="IG59" s="541"/>
      <c r="IH59" s="541"/>
      <c r="II59" s="541"/>
      <c r="IJ59" s="541"/>
      <c r="IK59" s="541"/>
      <c r="IL59" s="541"/>
      <c r="IM59" s="541"/>
      <c r="IN59" s="541"/>
      <c r="IO59" s="541"/>
      <c r="IP59" s="541"/>
      <c r="IQ59" s="541"/>
      <c r="IR59" s="541"/>
      <c r="IS59" s="541"/>
    </row>
    <row r="60" spans="1:253" s="542" customFormat="1">
      <c r="A60" s="419" t="s">
        <v>159</v>
      </c>
      <c r="B60" s="416">
        <f>'Sources and Uses Budget'!$C59</f>
        <v>0</v>
      </c>
      <c r="C60" s="416">
        <f>'Sources and Uses Budget'!$C59</f>
        <v>0</v>
      </c>
      <c r="D60" s="420">
        <f t="shared" si="0"/>
        <v>0</v>
      </c>
      <c r="E60" s="418"/>
      <c r="F60" s="417"/>
      <c r="G60" s="546"/>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1"/>
      <c r="EK60" s="541"/>
      <c r="EL60" s="541"/>
      <c r="EM60" s="541"/>
      <c r="EN60" s="541"/>
      <c r="EO60" s="541"/>
      <c r="EP60" s="541"/>
      <c r="EQ60" s="541"/>
      <c r="ER60" s="541"/>
      <c r="ES60" s="541"/>
      <c r="ET60" s="541"/>
      <c r="EU60" s="541"/>
      <c r="EV60" s="541"/>
      <c r="EW60" s="541"/>
      <c r="EX60" s="541"/>
      <c r="EY60" s="541"/>
      <c r="EZ60" s="541"/>
      <c r="FA60" s="541"/>
      <c r="FB60" s="541"/>
      <c r="FC60" s="541"/>
      <c r="FD60" s="541"/>
      <c r="FE60" s="541"/>
      <c r="FF60" s="541"/>
      <c r="FG60" s="541"/>
      <c r="FH60" s="541"/>
      <c r="FI60" s="541"/>
      <c r="FJ60" s="541"/>
      <c r="FK60" s="541"/>
      <c r="FL60" s="541"/>
      <c r="FM60" s="541"/>
      <c r="FN60" s="541"/>
      <c r="FO60" s="541"/>
      <c r="FP60" s="541"/>
      <c r="FQ60" s="541"/>
      <c r="FR60" s="541"/>
      <c r="FS60" s="541"/>
      <c r="FT60" s="541"/>
      <c r="FU60" s="541"/>
      <c r="FV60" s="541"/>
      <c r="FW60" s="541"/>
      <c r="FX60" s="541"/>
      <c r="FY60" s="541"/>
      <c r="FZ60" s="541"/>
      <c r="GA60" s="541"/>
      <c r="GB60" s="541"/>
      <c r="GC60" s="541"/>
      <c r="GD60" s="541"/>
      <c r="GE60" s="541"/>
      <c r="GF60" s="541"/>
      <c r="GG60" s="541"/>
      <c r="GH60" s="541"/>
      <c r="GI60" s="541"/>
      <c r="GJ60" s="541"/>
      <c r="GK60" s="541"/>
      <c r="GL60" s="541"/>
      <c r="GM60" s="541"/>
      <c r="GN60" s="541"/>
      <c r="GO60" s="541"/>
      <c r="GP60" s="541"/>
      <c r="GQ60" s="541"/>
      <c r="GR60" s="541"/>
      <c r="GS60" s="541"/>
      <c r="GT60" s="541"/>
      <c r="GU60" s="541"/>
      <c r="GV60" s="541"/>
      <c r="GW60" s="541"/>
      <c r="GX60" s="541"/>
      <c r="GY60" s="541"/>
      <c r="GZ60" s="541"/>
      <c r="HA60" s="541"/>
      <c r="HB60" s="541"/>
      <c r="HC60" s="541"/>
      <c r="HD60" s="541"/>
      <c r="HE60" s="541"/>
      <c r="HF60" s="541"/>
      <c r="HG60" s="541"/>
      <c r="HH60" s="541"/>
      <c r="HI60" s="541"/>
      <c r="HJ60" s="541"/>
      <c r="HK60" s="541"/>
      <c r="HL60" s="541"/>
      <c r="HM60" s="541"/>
      <c r="HN60" s="541"/>
      <c r="HO60" s="541"/>
      <c r="HP60" s="541"/>
      <c r="HQ60" s="541"/>
      <c r="HR60" s="541"/>
      <c r="HS60" s="541"/>
      <c r="HT60" s="541"/>
      <c r="HU60" s="541"/>
      <c r="HV60" s="541"/>
      <c r="HW60" s="541"/>
      <c r="HX60" s="541"/>
      <c r="HY60" s="541"/>
      <c r="HZ60" s="541"/>
      <c r="IA60" s="541"/>
      <c r="IB60" s="541"/>
      <c r="IC60" s="541"/>
      <c r="ID60" s="541"/>
      <c r="IE60" s="541"/>
      <c r="IF60" s="541"/>
      <c r="IG60" s="541"/>
      <c r="IH60" s="541"/>
      <c r="II60" s="541"/>
      <c r="IJ60" s="541"/>
      <c r="IK60" s="541"/>
      <c r="IL60" s="541"/>
      <c r="IM60" s="541"/>
      <c r="IN60" s="541"/>
      <c r="IO60" s="541"/>
      <c r="IP60" s="541"/>
      <c r="IQ60" s="541"/>
      <c r="IR60" s="541"/>
      <c r="IS60" s="541"/>
    </row>
    <row r="61" spans="1:253" s="542" customFormat="1">
      <c r="A61" s="419" t="s">
        <v>160</v>
      </c>
      <c r="B61" s="416">
        <f>'Sources and Uses Budget'!$C60</f>
        <v>0</v>
      </c>
      <c r="C61" s="416">
        <f>'Sources and Uses Budget'!$C60</f>
        <v>0</v>
      </c>
      <c r="D61" s="420">
        <f t="shared" si="0"/>
        <v>0</v>
      </c>
      <c r="E61" s="418"/>
      <c r="F61" s="417"/>
      <c r="G61" s="546"/>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541"/>
      <c r="BO61" s="541"/>
      <c r="BP61" s="541"/>
      <c r="BQ61" s="541"/>
      <c r="BR61" s="541"/>
      <c r="BS61" s="541"/>
      <c r="BT61" s="541"/>
      <c r="BU61" s="541"/>
      <c r="BV61" s="541"/>
      <c r="BW61" s="541"/>
      <c r="BX61" s="541"/>
      <c r="BY61" s="541"/>
      <c r="BZ61" s="541"/>
      <c r="CA61" s="541"/>
      <c r="CB61" s="541"/>
      <c r="CC61" s="541"/>
      <c r="CD61" s="541"/>
      <c r="CE61" s="541"/>
      <c r="CF61" s="541"/>
      <c r="CG61" s="541"/>
      <c r="CH61" s="541"/>
      <c r="CI61" s="541"/>
      <c r="CJ61" s="541"/>
      <c r="CK61" s="541"/>
      <c r="CL61" s="541"/>
      <c r="CM61" s="541"/>
      <c r="CN61" s="541"/>
      <c r="CO61" s="541"/>
      <c r="CP61" s="541"/>
      <c r="CQ61" s="541"/>
      <c r="CR61" s="541"/>
      <c r="CS61" s="541"/>
      <c r="CT61" s="541"/>
      <c r="CU61" s="541"/>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c r="EC61" s="541"/>
      <c r="ED61" s="541"/>
      <c r="EE61" s="541"/>
      <c r="EF61" s="541"/>
      <c r="EG61" s="541"/>
      <c r="EH61" s="541"/>
      <c r="EI61" s="541"/>
      <c r="EJ61" s="541"/>
      <c r="EK61" s="541"/>
      <c r="EL61" s="541"/>
      <c r="EM61" s="541"/>
      <c r="EN61" s="541"/>
      <c r="EO61" s="541"/>
      <c r="EP61" s="541"/>
      <c r="EQ61" s="541"/>
      <c r="ER61" s="541"/>
      <c r="ES61" s="541"/>
      <c r="ET61" s="541"/>
      <c r="EU61" s="541"/>
      <c r="EV61" s="541"/>
      <c r="EW61" s="541"/>
      <c r="EX61" s="541"/>
      <c r="EY61" s="541"/>
      <c r="EZ61" s="541"/>
      <c r="FA61" s="541"/>
      <c r="FB61" s="541"/>
      <c r="FC61" s="541"/>
      <c r="FD61" s="541"/>
      <c r="FE61" s="541"/>
      <c r="FF61" s="541"/>
      <c r="FG61" s="541"/>
      <c r="FH61" s="541"/>
      <c r="FI61" s="541"/>
      <c r="FJ61" s="541"/>
      <c r="FK61" s="541"/>
      <c r="FL61" s="541"/>
      <c r="FM61" s="541"/>
      <c r="FN61" s="541"/>
      <c r="FO61" s="541"/>
      <c r="FP61" s="541"/>
      <c r="FQ61" s="541"/>
      <c r="FR61" s="541"/>
      <c r="FS61" s="541"/>
      <c r="FT61" s="541"/>
      <c r="FU61" s="541"/>
      <c r="FV61" s="541"/>
      <c r="FW61" s="541"/>
      <c r="FX61" s="541"/>
      <c r="FY61" s="541"/>
      <c r="FZ61" s="541"/>
      <c r="GA61" s="541"/>
      <c r="GB61" s="541"/>
      <c r="GC61" s="541"/>
      <c r="GD61" s="541"/>
      <c r="GE61" s="541"/>
      <c r="GF61" s="541"/>
      <c r="GG61" s="541"/>
      <c r="GH61" s="541"/>
      <c r="GI61" s="541"/>
      <c r="GJ61" s="541"/>
      <c r="GK61" s="541"/>
      <c r="GL61" s="541"/>
      <c r="GM61" s="541"/>
      <c r="GN61" s="541"/>
      <c r="GO61" s="541"/>
      <c r="GP61" s="541"/>
      <c r="GQ61" s="541"/>
      <c r="GR61" s="541"/>
      <c r="GS61" s="541"/>
      <c r="GT61" s="541"/>
      <c r="GU61" s="541"/>
      <c r="GV61" s="541"/>
      <c r="GW61" s="541"/>
      <c r="GX61" s="541"/>
      <c r="GY61" s="541"/>
      <c r="GZ61" s="541"/>
      <c r="HA61" s="541"/>
      <c r="HB61" s="541"/>
      <c r="HC61" s="541"/>
      <c r="HD61" s="541"/>
      <c r="HE61" s="541"/>
      <c r="HF61" s="541"/>
      <c r="HG61" s="541"/>
      <c r="HH61" s="541"/>
      <c r="HI61" s="541"/>
      <c r="HJ61" s="541"/>
      <c r="HK61" s="541"/>
      <c r="HL61" s="541"/>
      <c r="HM61" s="541"/>
      <c r="HN61" s="541"/>
      <c r="HO61" s="541"/>
      <c r="HP61" s="541"/>
      <c r="HQ61" s="541"/>
      <c r="HR61" s="541"/>
      <c r="HS61" s="541"/>
      <c r="HT61" s="541"/>
      <c r="HU61" s="541"/>
      <c r="HV61" s="541"/>
      <c r="HW61" s="541"/>
      <c r="HX61" s="541"/>
      <c r="HY61" s="541"/>
      <c r="HZ61" s="541"/>
      <c r="IA61" s="541"/>
      <c r="IB61" s="541"/>
      <c r="IC61" s="541"/>
      <c r="ID61" s="541"/>
      <c r="IE61" s="541"/>
      <c r="IF61" s="541"/>
      <c r="IG61" s="541"/>
      <c r="IH61" s="541"/>
      <c r="II61" s="541"/>
      <c r="IJ61" s="541"/>
      <c r="IK61" s="541"/>
      <c r="IL61" s="541"/>
      <c r="IM61" s="541"/>
      <c r="IN61" s="541"/>
      <c r="IO61" s="541"/>
      <c r="IP61" s="541"/>
      <c r="IQ61" s="541"/>
      <c r="IR61" s="541"/>
      <c r="IS61" s="541"/>
    </row>
    <row r="62" spans="1:253" s="542" customFormat="1">
      <c r="A62" s="1800" t="str">
        <f>'Sources and Uses Budget'!A61</f>
        <v>Perm Legal/Exp - Lender/Borrower</v>
      </c>
      <c r="B62" s="416">
        <f>'Sources and Uses Budget'!$C61</f>
        <v>85000</v>
      </c>
      <c r="C62" s="416">
        <f>'Sources and Uses Budget'!$C61</f>
        <v>85000</v>
      </c>
      <c r="D62" s="420">
        <f t="shared" si="0"/>
        <v>0</v>
      </c>
      <c r="E62" s="418"/>
      <c r="F62" s="417"/>
      <c r="G62" s="546"/>
      <c r="H62" s="541"/>
      <c r="I62" s="541"/>
      <c r="J62" s="541"/>
      <c r="K62" s="541"/>
      <c r="L62" s="541"/>
      <c r="M62" s="541"/>
      <c r="N62" s="541"/>
      <c r="O62" s="541"/>
      <c r="P62" s="541"/>
      <c r="Q62" s="541"/>
      <c r="R62" s="541"/>
      <c r="S62" s="541"/>
      <c r="T62" s="541"/>
      <c r="U62" s="541"/>
      <c r="V62" s="541"/>
      <c r="W62" s="541"/>
      <c r="X62" s="541"/>
      <c r="Y62" s="541"/>
      <c r="Z62" s="541"/>
      <c r="AA62" s="541"/>
      <c r="AB62" s="541"/>
      <c r="AC62" s="541"/>
      <c r="AD62" s="541"/>
      <c r="AE62" s="541"/>
      <c r="AF62" s="541"/>
      <c r="AG62" s="541"/>
      <c r="AH62" s="541"/>
      <c r="AI62" s="541"/>
      <c r="AJ62" s="541"/>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541"/>
      <c r="CF62" s="541"/>
      <c r="CG62" s="541"/>
      <c r="CH62" s="541"/>
      <c r="CI62" s="541"/>
      <c r="CJ62" s="541"/>
      <c r="CK62" s="541"/>
      <c r="CL62" s="541"/>
      <c r="CM62" s="541"/>
      <c r="CN62" s="541"/>
      <c r="CO62" s="541"/>
      <c r="CP62" s="541"/>
      <c r="CQ62" s="541"/>
      <c r="CR62" s="541"/>
      <c r="CS62" s="541"/>
      <c r="CT62" s="541"/>
      <c r="CU62" s="541"/>
      <c r="CV62" s="541"/>
      <c r="CW62" s="541"/>
      <c r="CX62" s="541"/>
      <c r="CY62" s="541"/>
      <c r="CZ62" s="541"/>
      <c r="DA62" s="541"/>
      <c r="DB62" s="541"/>
      <c r="DC62" s="541"/>
      <c r="DD62" s="541"/>
      <c r="DE62" s="541"/>
      <c r="DF62" s="541"/>
      <c r="DG62" s="541"/>
      <c r="DH62" s="541"/>
      <c r="DI62" s="541"/>
      <c r="DJ62" s="541"/>
      <c r="DK62" s="541"/>
      <c r="DL62" s="541"/>
      <c r="DM62" s="541"/>
      <c r="DN62" s="541"/>
      <c r="DO62" s="541"/>
      <c r="DP62" s="541"/>
      <c r="DQ62" s="541"/>
      <c r="DR62" s="541"/>
      <c r="DS62" s="541"/>
      <c r="DT62" s="541"/>
      <c r="DU62" s="541"/>
      <c r="DV62" s="541"/>
      <c r="DW62" s="541"/>
      <c r="DX62" s="541"/>
      <c r="DY62" s="541"/>
      <c r="DZ62" s="541"/>
      <c r="EA62" s="541"/>
      <c r="EB62" s="541"/>
      <c r="EC62" s="541"/>
      <c r="ED62" s="541"/>
      <c r="EE62" s="541"/>
      <c r="EF62" s="541"/>
      <c r="EG62" s="541"/>
      <c r="EH62" s="541"/>
      <c r="EI62" s="541"/>
      <c r="EJ62" s="541"/>
      <c r="EK62" s="541"/>
      <c r="EL62" s="541"/>
      <c r="EM62" s="541"/>
      <c r="EN62" s="541"/>
      <c r="EO62" s="541"/>
      <c r="EP62" s="541"/>
      <c r="EQ62" s="541"/>
      <c r="ER62" s="541"/>
      <c r="ES62" s="541"/>
      <c r="ET62" s="541"/>
      <c r="EU62" s="541"/>
      <c r="EV62" s="541"/>
      <c r="EW62" s="541"/>
      <c r="EX62" s="541"/>
      <c r="EY62" s="541"/>
      <c r="EZ62" s="541"/>
      <c r="FA62" s="541"/>
      <c r="FB62" s="541"/>
      <c r="FC62" s="541"/>
      <c r="FD62" s="541"/>
      <c r="FE62" s="541"/>
      <c r="FF62" s="541"/>
      <c r="FG62" s="541"/>
      <c r="FH62" s="541"/>
      <c r="FI62" s="541"/>
      <c r="FJ62" s="541"/>
      <c r="FK62" s="541"/>
      <c r="FL62" s="541"/>
      <c r="FM62" s="541"/>
      <c r="FN62" s="541"/>
      <c r="FO62" s="541"/>
      <c r="FP62" s="541"/>
      <c r="FQ62" s="541"/>
      <c r="FR62" s="541"/>
      <c r="FS62" s="541"/>
      <c r="FT62" s="541"/>
      <c r="FU62" s="541"/>
      <c r="FV62" s="541"/>
      <c r="FW62" s="541"/>
      <c r="FX62" s="541"/>
      <c r="FY62" s="541"/>
      <c r="FZ62" s="541"/>
      <c r="GA62" s="541"/>
      <c r="GB62" s="541"/>
      <c r="GC62" s="541"/>
      <c r="GD62" s="541"/>
      <c r="GE62" s="541"/>
      <c r="GF62" s="541"/>
      <c r="GG62" s="541"/>
      <c r="GH62" s="541"/>
      <c r="GI62" s="541"/>
      <c r="GJ62" s="541"/>
      <c r="GK62" s="541"/>
      <c r="GL62" s="541"/>
      <c r="GM62" s="541"/>
      <c r="GN62" s="541"/>
      <c r="GO62" s="541"/>
      <c r="GP62" s="541"/>
      <c r="GQ62" s="541"/>
      <c r="GR62" s="541"/>
      <c r="GS62" s="541"/>
      <c r="GT62" s="541"/>
      <c r="GU62" s="541"/>
      <c r="GV62" s="541"/>
      <c r="GW62" s="541"/>
      <c r="GX62" s="541"/>
      <c r="GY62" s="541"/>
      <c r="GZ62" s="541"/>
      <c r="HA62" s="541"/>
      <c r="HB62" s="541"/>
      <c r="HC62" s="541"/>
      <c r="HD62" s="541"/>
      <c r="HE62" s="541"/>
      <c r="HF62" s="541"/>
      <c r="HG62" s="541"/>
      <c r="HH62" s="541"/>
      <c r="HI62" s="541"/>
      <c r="HJ62" s="541"/>
      <c r="HK62" s="541"/>
      <c r="HL62" s="541"/>
      <c r="HM62" s="541"/>
      <c r="HN62" s="541"/>
      <c r="HO62" s="541"/>
      <c r="HP62" s="541"/>
      <c r="HQ62" s="541"/>
      <c r="HR62" s="541"/>
      <c r="HS62" s="541"/>
      <c r="HT62" s="541"/>
      <c r="HU62" s="541"/>
      <c r="HV62" s="541"/>
      <c r="HW62" s="541"/>
      <c r="HX62" s="541"/>
      <c r="HY62" s="541"/>
      <c r="HZ62" s="541"/>
      <c r="IA62" s="541"/>
      <c r="IB62" s="541"/>
      <c r="IC62" s="541"/>
      <c r="ID62" s="541"/>
      <c r="IE62" s="541"/>
      <c r="IF62" s="541"/>
      <c r="IG62" s="541"/>
      <c r="IH62" s="541"/>
      <c r="II62" s="541"/>
      <c r="IJ62" s="541"/>
      <c r="IK62" s="541"/>
      <c r="IL62" s="541"/>
      <c r="IM62" s="541"/>
      <c r="IN62" s="541"/>
      <c r="IO62" s="541"/>
      <c r="IP62" s="541"/>
      <c r="IQ62" s="541"/>
      <c r="IR62" s="541"/>
      <c r="IS62" s="541"/>
    </row>
    <row r="63" spans="1:253" s="542" customFormat="1" ht="13.8" customHeight="1">
      <c r="A63" s="421" t="s">
        <v>309</v>
      </c>
      <c r="B63" s="420">
        <f>SUM(B57:B62)</f>
        <v>216740</v>
      </c>
      <c r="C63" s="420">
        <f>SUM(C57:C62)</f>
        <v>216740</v>
      </c>
      <c r="D63" s="420">
        <f t="shared" si="0"/>
        <v>0</v>
      </c>
      <c r="E63" s="418"/>
      <c r="F63" s="417"/>
      <c r="G63" s="546"/>
      <c r="H63" s="541"/>
      <c r="I63" s="541"/>
      <c r="J63" s="541"/>
      <c r="K63" s="541"/>
      <c r="L63" s="541"/>
      <c r="M63" s="541"/>
      <c r="N63" s="541"/>
      <c r="O63" s="541"/>
      <c r="P63" s="541"/>
      <c r="Q63" s="541"/>
      <c r="R63" s="541"/>
      <c r="S63" s="541"/>
      <c r="T63" s="541"/>
      <c r="U63" s="541"/>
      <c r="V63" s="541"/>
      <c r="W63" s="541"/>
      <c r="X63" s="541"/>
      <c r="Y63" s="541"/>
      <c r="Z63" s="541"/>
      <c r="AA63" s="541"/>
      <c r="AB63" s="541"/>
      <c r="AC63" s="541"/>
      <c r="AD63" s="541"/>
      <c r="AE63" s="541"/>
      <c r="AF63" s="541"/>
      <c r="AG63" s="541"/>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541"/>
      <c r="BO63" s="541"/>
      <c r="BP63" s="541"/>
      <c r="BQ63" s="541"/>
      <c r="BR63" s="541"/>
      <c r="BS63" s="541"/>
      <c r="BT63" s="541"/>
      <c r="BU63" s="541"/>
      <c r="BV63" s="541"/>
      <c r="BW63" s="541"/>
      <c r="BX63" s="541"/>
      <c r="BY63" s="541"/>
      <c r="BZ63" s="541"/>
      <c r="CA63" s="541"/>
      <c r="CB63" s="541"/>
      <c r="CC63" s="541"/>
      <c r="CD63" s="541"/>
      <c r="CE63" s="541"/>
      <c r="CF63" s="541"/>
      <c r="CG63" s="541"/>
      <c r="CH63" s="541"/>
      <c r="CI63" s="541"/>
      <c r="CJ63" s="541"/>
      <c r="CK63" s="541"/>
      <c r="CL63" s="541"/>
      <c r="CM63" s="541"/>
      <c r="CN63" s="541"/>
      <c r="CO63" s="541"/>
      <c r="CP63" s="541"/>
      <c r="CQ63" s="541"/>
      <c r="CR63" s="541"/>
      <c r="CS63" s="541"/>
      <c r="CT63" s="541"/>
      <c r="CU63" s="541"/>
      <c r="CV63" s="541"/>
      <c r="CW63" s="541"/>
      <c r="CX63" s="541"/>
      <c r="CY63" s="541"/>
      <c r="CZ63" s="541"/>
      <c r="DA63" s="541"/>
      <c r="DB63" s="541"/>
      <c r="DC63" s="541"/>
      <c r="DD63" s="541"/>
      <c r="DE63" s="541"/>
      <c r="DF63" s="541"/>
      <c r="DG63" s="541"/>
      <c r="DH63" s="541"/>
      <c r="DI63" s="541"/>
      <c r="DJ63" s="541"/>
      <c r="DK63" s="541"/>
      <c r="DL63" s="541"/>
      <c r="DM63" s="541"/>
      <c r="DN63" s="541"/>
      <c r="DO63" s="541"/>
      <c r="DP63" s="541"/>
      <c r="DQ63" s="541"/>
      <c r="DR63" s="541"/>
      <c r="DS63" s="541"/>
      <c r="DT63" s="541"/>
      <c r="DU63" s="541"/>
      <c r="DV63" s="541"/>
      <c r="DW63" s="541"/>
      <c r="DX63" s="541"/>
      <c r="DY63" s="541"/>
      <c r="DZ63" s="541"/>
      <c r="EA63" s="541"/>
      <c r="EB63" s="541"/>
      <c r="EC63" s="541"/>
      <c r="ED63" s="541"/>
      <c r="EE63" s="541"/>
      <c r="EF63" s="541"/>
      <c r="EG63" s="541"/>
      <c r="EH63" s="541"/>
      <c r="EI63" s="541"/>
      <c r="EJ63" s="541"/>
      <c r="EK63" s="541"/>
      <c r="EL63" s="541"/>
      <c r="EM63" s="541"/>
      <c r="EN63" s="541"/>
      <c r="EO63" s="541"/>
      <c r="EP63" s="541"/>
      <c r="EQ63" s="541"/>
      <c r="ER63" s="541"/>
      <c r="ES63" s="541"/>
      <c r="ET63" s="541"/>
      <c r="EU63" s="541"/>
      <c r="EV63" s="541"/>
      <c r="EW63" s="541"/>
      <c r="EX63" s="541"/>
      <c r="EY63" s="541"/>
      <c r="EZ63" s="541"/>
      <c r="FA63" s="541"/>
      <c r="FB63" s="541"/>
      <c r="FC63" s="541"/>
      <c r="FD63" s="541"/>
      <c r="FE63" s="541"/>
      <c r="FF63" s="541"/>
      <c r="FG63" s="541"/>
      <c r="FH63" s="541"/>
      <c r="FI63" s="541"/>
      <c r="FJ63" s="541"/>
      <c r="FK63" s="541"/>
      <c r="FL63" s="541"/>
      <c r="FM63" s="541"/>
      <c r="FN63" s="541"/>
      <c r="FO63" s="541"/>
      <c r="FP63" s="541"/>
      <c r="FQ63" s="541"/>
      <c r="FR63" s="541"/>
      <c r="FS63" s="541"/>
      <c r="FT63" s="541"/>
      <c r="FU63" s="541"/>
      <c r="FV63" s="541"/>
      <c r="FW63" s="541"/>
      <c r="FX63" s="541"/>
      <c r="FY63" s="541"/>
      <c r="FZ63" s="541"/>
      <c r="GA63" s="541"/>
      <c r="GB63" s="541"/>
      <c r="GC63" s="541"/>
      <c r="GD63" s="541"/>
      <c r="GE63" s="541"/>
      <c r="GF63" s="541"/>
      <c r="GG63" s="541"/>
      <c r="GH63" s="541"/>
      <c r="GI63" s="541"/>
      <c r="GJ63" s="541"/>
      <c r="GK63" s="541"/>
      <c r="GL63" s="541"/>
      <c r="GM63" s="541"/>
      <c r="GN63" s="541"/>
      <c r="GO63" s="541"/>
      <c r="GP63" s="541"/>
      <c r="GQ63" s="541"/>
      <c r="GR63" s="541"/>
      <c r="GS63" s="541"/>
      <c r="GT63" s="541"/>
      <c r="GU63" s="541"/>
      <c r="GV63" s="541"/>
      <c r="GW63" s="541"/>
      <c r="GX63" s="541"/>
      <c r="GY63" s="541"/>
      <c r="GZ63" s="541"/>
      <c r="HA63" s="541"/>
      <c r="HB63" s="541"/>
      <c r="HC63" s="541"/>
      <c r="HD63" s="541"/>
      <c r="HE63" s="541"/>
      <c r="HF63" s="541"/>
      <c r="HG63" s="541"/>
      <c r="HH63" s="541"/>
      <c r="HI63" s="541"/>
      <c r="HJ63" s="541"/>
      <c r="HK63" s="541"/>
      <c r="HL63" s="541"/>
      <c r="HM63" s="541"/>
      <c r="HN63" s="541"/>
      <c r="HO63" s="541"/>
      <c r="HP63" s="541"/>
      <c r="HQ63" s="541"/>
      <c r="HR63" s="541"/>
      <c r="HS63" s="541"/>
      <c r="HT63" s="541"/>
      <c r="HU63" s="541"/>
      <c r="HV63" s="541"/>
      <c r="HW63" s="541"/>
      <c r="HX63" s="541"/>
      <c r="HY63" s="541"/>
      <c r="HZ63" s="541"/>
      <c r="IA63" s="541"/>
      <c r="IB63" s="541"/>
      <c r="IC63" s="541"/>
      <c r="ID63" s="541"/>
      <c r="IE63" s="541"/>
      <c r="IF63" s="541"/>
      <c r="IG63" s="541"/>
      <c r="IH63" s="541"/>
      <c r="II63" s="541"/>
      <c r="IJ63" s="541"/>
      <c r="IK63" s="541"/>
      <c r="IL63" s="541"/>
      <c r="IM63" s="541"/>
      <c r="IN63" s="541"/>
      <c r="IO63" s="541"/>
      <c r="IP63" s="541"/>
      <c r="IQ63" s="541"/>
      <c r="IR63" s="541"/>
      <c r="IS63" s="541"/>
    </row>
    <row r="64" spans="1:253" s="542" customFormat="1">
      <c r="A64" s="424" t="s">
        <v>310</v>
      </c>
      <c r="B64" s="420">
        <f>SUM(B9+B12+B14+B15+B17+B26+B28+B39+B43+B44+B55+B63)</f>
        <v>78311684</v>
      </c>
      <c r="C64" s="420">
        <f>SUM(C9+C12+C14+C15+C17+C26+C28+C39+C43+C44+C55+C63)</f>
        <v>78311684</v>
      </c>
      <c r="D64" s="420">
        <f t="shared" si="0"/>
        <v>0</v>
      </c>
      <c r="E64" s="418"/>
      <c r="F64" s="417"/>
      <c r="G64" s="546"/>
      <c r="H64" s="541"/>
      <c r="I64" s="541"/>
      <c r="J64" s="541"/>
      <c r="K64" s="541"/>
      <c r="L64" s="541"/>
      <c r="M64" s="541"/>
      <c r="N64" s="541"/>
      <c r="O64" s="541"/>
      <c r="P64" s="541"/>
      <c r="Q64" s="541"/>
      <c r="R64" s="541"/>
      <c r="S64" s="541"/>
      <c r="T64" s="541"/>
      <c r="U64" s="541"/>
      <c r="V64" s="541"/>
      <c r="W64" s="541"/>
      <c r="X64" s="541"/>
      <c r="Y64" s="541"/>
      <c r="Z64" s="541"/>
      <c r="AA64" s="541"/>
      <c r="AB64" s="541"/>
      <c r="AC64" s="541"/>
      <c r="AD64" s="541"/>
      <c r="AE64" s="541"/>
      <c r="AF64" s="541"/>
      <c r="AG64" s="541"/>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c r="CI64" s="541"/>
      <c r="CJ64" s="541"/>
      <c r="CK64" s="541"/>
      <c r="CL64" s="541"/>
      <c r="CM64" s="541"/>
      <c r="CN64" s="541"/>
      <c r="CO64" s="541"/>
      <c r="CP64" s="541"/>
      <c r="CQ64" s="541"/>
      <c r="CR64" s="541"/>
      <c r="CS64" s="541"/>
      <c r="CT64" s="541"/>
      <c r="CU64" s="541"/>
      <c r="CV64" s="541"/>
      <c r="CW64" s="541"/>
      <c r="CX64" s="541"/>
      <c r="CY64" s="541"/>
      <c r="CZ64" s="541"/>
      <c r="DA64" s="541"/>
      <c r="DB64" s="541"/>
      <c r="DC64" s="541"/>
      <c r="DD64" s="541"/>
      <c r="DE64" s="541"/>
      <c r="DF64" s="541"/>
      <c r="DG64" s="541"/>
      <c r="DH64" s="541"/>
      <c r="DI64" s="541"/>
      <c r="DJ64" s="541"/>
      <c r="DK64" s="541"/>
      <c r="DL64" s="541"/>
      <c r="DM64" s="541"/>
      <c r="DN64" s="541"/>
      <c r="DO64" s="541"/>
      <c r="DP64" s="541"/>
      <c r="DQ64" s="541"/>
      <c r="DR64" s="541"/>
      <c r="DS64" s="541"/>
      <c r="DT64" s="541"/>
      <c r="DU64" s="541"/>
      <c r="DV64" s="541"/>
      <c r="DW64" s="541"/>
      <c r="DX64" s="541"/>
      <c r="DY64" s="541"/>
      <c r="DZ64" s="541"/>
      <c r="EA64" s="541"/>
      <c r="EB64" s="541"/>
      <c r="EC64" s="541"/>
      <c r="ED64" s="541"/>
      <c r="EE64" s="541"/>
      <c r="EF64" s="541"/>
      <c r="EG64" s="541"/>
      <c r="EH64" s="541"/>
      <c r="EI64" s="541"/>
      <c r="EJ64" s="541"/>
      <c r="EK64" s="541"/>
      <c r="EL64" s="541"/>
      <c r="EM64" s="541"/>
      <c r="EN64" s="541"/>
      <c r="EO64" s="541"/>
      <c r="EP64" s="541"/>
      <c r="EQ64" s="541"/>
      <c r="ER64" s="541"/>
      <c r="ES64" s="541"/>
      <c r="ET64" s="541"/>
      <c r="EU64" s="541"/>
      <c r="EV64" s="541"/>
      <c r="EW64" s="541"/>
      <c r="EX64" s="541"/>
      <c r="EY64" s="541"/>
      <c r="EZ64" s="541"/>
      <c r="FA64" s="541"/>
      <c r="FB64" s="541"/>
      <c r="FC64" s="541"/>
      <c r="FD64" s="541"/>
      <c r="FE64" s="541"/>
      <c r="FF64" s="541"/>
      <c r="FG64" s="541"/>
      <c r="FH64" s="541"/>
      <c r="FI64" s="541"/>
      <c r="FJ64" s="541"/>
      <c r="FK64" s="541"/>
      <c r="FL64" s="541"/>
      <c r="FM64" s="541"/>
      <c r="FN64" s="541"/>
      <c r="FO64" s="541"/>
      <c r="FP64" s="541"/>
      <c r="FQ64" s="541"/>
      <c r="FR64" s="541"/>
      <c r="FS64" s="541"/>
      <c r="FT64" s="541"/>
      <c r="FU64" s="541"/>
      <c r="FV64" s="541"/>
      <c r="FW64" s="541"/>
      <c r="FX64" s="541"/>
      <c r="FY64" s="541"/>
      <c r="FZ64" s="541"/>
      <c r="GA64" s="541"/>
      <c r="GB64" s="541"/>
      <c r="GC64" s="541"/>
      <c r="GD64" s="541"/>
      <c r="GE64" s="541"/>
      <c r="GF64" s="541"/>
      <c r="GG64" s="541"/>
      <c r="GH64" s="541"/>
      <c r="GI64" s="541"/>
      <c r="GJ64" s="541"/>
      <c r="GK64" s="541"/>
      <c r="GL64" s="541"/>
      <c r="GM64" s="541"/>
      <c r="GN64" s="541"/>
      <c r="GO64" s="541"/>
      <c r="GP64" s="541"/>
      <c r="GQ64" s="541"/>
      <c r="GR64" s="541"/>
      <c r="GS64" s="541"/>
      <c r="GT64" s="541"/>
      <c r="GU64" s="541"/>
      <c r="GV64" s="541"/>
      <c r="GW64" s="541"/>
      <c r="GX64" s="541"/>
      <c r="GY64" s="541"/>
      <c r="GZ64" s="541"/>
      <c r="HA64" s="541"/>
      <c r="HB64" s="541"/>
      <c r="HC64" s="541"/>
      <c r="HD64" s="541"/>
      <c r="HE64" s="541"/>
      <c r="HF64" s="541"/>
      <c r="HG64" s="541"/>
      <c r="HH64" s="541"/>
      <c r="HI64" s="541"/>
      <c r="HJ64" s="541"/>
      <c r="HK64" s="541"/>
      <c r="HL64" s="541"/>
      <c r="HM64" s="541"/>
      <c r="HN64" s="541"/>
      <c r="HO64" s="541"/>
      <c r="HP64" s="541"/>
      <c r="HQ64" s="541"/>
      <c r="HR64" s="541"/>
      <c r="HS64" s="541"/>
      <c r="HT64" s="541"/>
      <c r="HU64" s="541"/>
      <c r="HV64" s="541"/>
      <c r="HW64" s="541"/>
      <c r="HX64" s="541"/>
      <c r="HY64" s="541"/>
      <c r="HZ64" s="541"/>
      <c r="IA64" s="541"/>
      <c r="IB64" s="541"/>
      <c r="IC64" s="541"/>
      <c r="ID64" s="541"/>
      <c r="IE64" s="541"/>
      <c r="IF64" s="541"/>
      <c r="IG64" s="541"/>
      <c r="IH64" s="541"/>
      <c r="II64" s="541"/>
      <c r="IJ64" s="541"/>
      <c r="IK64" s="541"/>
      <c r="IL64" s="541"/>
      <c r="IM64" s="541"/>
      <c r="IN64" s="541"/>
      <c r="IO64" s="541"/>
      <c r="IP64" s="541"/>
      <c r="IQ64" s="541"/>
      <c r="IR64" s="541"/>
      <c r="IS64" s="541"/>
    </row>
    <row r="65" spans="1:253" s="542" customFormat="1" ht="22.8">
      <c r="A65" s="211" t="s">
        <v>1996</v>
      </c>
      <c r="B65" s="414"/>
      <c r="C65" s="414"/>
      <c r="D65" s="414"/>
      <c r="E65" s="434"/>
      <c r="F65" s="414"/>
      <c r="G65" s="546"/>
      <c r="H65" s="541"/>
      <c r="I65" s="541"/>
      <c r="J65" s="541"/>
      <c r="K65" s="541"/>
      <c r="L65" s="541"/>
      <c r="M65" s="541"/>
      <c r="N65" s="541"/>
      <c r="O65" s="541"/>
      <c r="P65" s="541"/>
      <c r="Q65" s="541"/>
      <c r="R65" s="541"/>
      <c r="S65" s="541"/>
      <c r="T65" s="541"/>
      <c r="U65" s="541"/>
      <c r="V65" s="541"/>
      <c r="W65" s="541"/>
      <c r="X65" s="541"/>
      <c r="Y65" s="541"/>
      <c r="Z65" s="541"/>
      <c r="AA65" s="541"/>
      <c r="AB65" s="541"/>
      <c r="AC65" s="541"/>
      <c r="AD65" s="541"/>
      <c r="AE65" s="541"/>
      <c r="AF65" s="541"/>
      <c r="AG65" s="541"/>
      <c r="AH65" s="541"/>
      <c r="AI65" s="541"/>
      <c r="AJ65" s="541"/>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c r="DM65" s="541"/>
      <c r="DN65" s="541"/>
      <c r="DO65" s="541"/>
      <c r="DP65" s="541"/>
      <c r="DQ65" s="541"/>
      <c r="DR65" s="541"/>
      <c r="DS65" s="541"/>
      <c r="DT65" s="541"/>
      <c r="DU65" s="541"/>
      <c r="DV65" s="541"/>
      <c r="DW65" s="541"/>
      <c r="DX65" s="541"/>
      <c r="DY65" s="541"/>
      <c r="DZ65" s="541"/>
      <c r="EA65" s="541"/>
      <c r="EB65" s="541"/>
      <c r="EC65" s="541"/>
      <c r="ED65" s="541"/>
      <c r="EE65" s="541"/>
      <c r="EF65" s="541"/>
      <c r="EG65" s="541"/>
      <c r="EH65" s="541"/>
      <c r="EI65" s="541"/>
      <c r="EJ65" s="541"/>
      <c r="EK65" s="541"/>
      <c r="EL65" s="541"/>
      <c r="EM65" s="541"/>
      <c r="EN65" s="541"/>
      <c r="EO65" s="541"/>
      <c r="EP65" s="541"/>
      <c r="EQ65" s="541"/>
      <c r="ER65" s="541"/>
      <c r="ES65" s="541"/>
      <c r="ET65" s="541"/>
      <c r="EU65" s="541"/>
      <c r="EV65" s="541"/>
      <c r="EW65" s="541"/>
      <c r="EX65" s="541"/>
      <c r="EY65" s="541"/>
      <c r="EZ65" s="541"/>
      <c r="FA65" s="541"/>
      <c r="FB65" s="541"/>
      <c r="FC65" s="541"/>
      <c r="FD65" s="541"/>
      <c r="FE65" s="541"/>
      <c r="FF65" s="541"/>
      <c r="FG65" s="541"/>
      <c r="FH65" s="541"/>
      <c r="FI65" s="541"/>
      <c r="FJ65" s="541"/>
      <c r="FK65" s="541"/>
      <c r="FL65" s="541"/>
      <c r="FM65" s="541"/>
      <c r="FN65" s="541"/>
      <c r="FO65" s="541"/>
      <c r="FP65" s="541"/>
      <c r="FQ65" s="541"/>
      <c r="FR65" s="541"/>
      <c r="FS65" s="541"/>
      <c r="FT65" s="541"/>
      <c r="FU65" s="541"/>
      <c r="FV65" s="541"/>
      <c r="FW65" s="541"/>
      <c r="FX65" s="541"/>
      <c r="FY65" s="541"/>
      <c r="FZ65" s="541"/>
      <c r="GA65" s="541"/>
      <c r="GB65" s="541"/>
      <c r="GC65" s="541"/>
      <c r="GD65" s="541"/>
      <c r="GE65" s="541"/>
      <c r="GF65" s="541"/>
      <c r="GG65" s="541"/>
      <c r="GH65" s="541"/>
      <c r="GI65" s="541"/>
      <c r="GJ65" s="541"/>
      <c r="GK65" s="541"/>
      <c r="GL65" s="541"/>
      <c r="GM65" s="541"/>
      <c r="GN65" s="541"/>
      <c r="GO65" s="541"/>
      <c r="GP65" s="541"/>
      <c r="GQ65" s="541"/>
      <c r="GR65" s="541"/>
      <c r="GS65" s="541"/>
      <c r="GT65" s="541"/>
      <c r="GU65" s="541"/>
      <c r="GV65" s="541"/>
      <c r="GW65" s="541"/>
      <c r="GX65" s="541"/>
      <c r="GY65" s="541"/>
      <c r="GZ65" s="541"/>
      <c r="HA65" s="541"/>
      <c r="HB65" s="541"/>
      <c r="HC65" s="541"/>
      <c r="HD65" s="541"/>
      <c r="HE65" s="541"/>
      <c r="HF65" s="541"/>
      <c r="HG65" s="541"/>
      <c r="HH65" s="541"/>
      <c r="HI65" s="541"/>
      <c r="HJ65" s="541"/>
      <c r="HK65" s="541"/>
      <c r="HL65" s="541"/>
      <c r="HM65" s="541"/>
      <c r="HN65" s="541"/>
      <c r="HO65" s="541"/>
      <c r="HP65" s="541"/>
      <c r="HQ65" s="541"/>
      <c r="HR65" s="541"/>
      <c r="HS65" s="541"/>
      <c r="HT65" s="541"/>
      <c r="HU65" s="541"/>
      <c r="HV65" s="541"/>
      <c r="HW65" s="541"/>
      <c r="HX65" s="541"/>
      <c r="HY65" s="541"/>
      <c r="HZ65" s="541"/>
      <c r="IA65" s="541"/>
      <c r="IB65" s="541"/>
      <c r="IC65" s="541"/>
      <c r="ID65" s="541"/>
      <c r="IE65" s="541"/>
      <c r="IF65" s="541"/>
      <c r="IG65" s="541"/>
      <c r="IH65" s="541"/>
      <c r="II65" s="541"/>
      <c r="IJ65" s="541"/>
      <c r="IK65" s="541"/>
      <c r="IL65" s="541"/>
      <c r="IM65" s="541"/>
      <c r="IN65" s="541"/>
      <c r="IO65" s="541"/>
      <c r="IP65" s="541"/>
      <c r="IQ65" s="541"/>
      <c r="IR65" s="541"/>
      <c r="IS65" s="541"/>
    </row>
    <row r="66" spans="1:253" s="542" customFormat="1">
      <c r="A66" s="215" t="s">
        <v>176</v>
      </c>
      <c r="B66" s="416">
        <f>'Sources and Uses Budget'!$C65</f>
        <v>65000</v>
      </c>
      <c r="C66" s="416">
        <f>'Sources and Uses Budget'!$C65</f>
        <v>65000</v>
      </c>
      <c r="D66" s="420">
        <f t="shared" si="0"/>
        <v>0</v>
      </c>
      <c r="E66" s="418"/>
      <c r="F66" s="417"/>
      <c r="G66" s="546"/>
      <c r="H66" s="541"/>
      <c r="I66" s="541"/>
      <c r="J66" s="541"/>
      <c r="K66" s="541"/>
      <c r="L66" s="541"/>
      <c r="M66" s="541"/>
      <c r="N66" s="541"/>
      <c r="O66" s="541"/>
      <c r="P66" s="541"/>
      <c r="Q66" s="541"/>
      <c r="R66" s="541"/>
      <c r="S66" s="541"/>
      <c r="T66" s="541"/>
      <c r="U66" s="541"/>
      <c r="V66" s="541"/>
      <c r="W66" s="541"/>
      <c r="X66" s="541"/>
      <c r="Y66" s="541"/>
      <c r="Z66" s="541"/>
      <c r="AA66" s="541"/>
      <c r="AB66" s="541"/>
      <c r="AC66" s="541"/>
      <c r="AD66" s="541"/>
      <c r="AE66" s="541"/>
      <c r="AF66" s="541"/>
      <c r="AG66" s="541"/>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41"/>
      <c r="EC66" s="541"/>
      <c r="ED66" s="541"/>
      <c r="EE66" s="541"/>
      <c r="EF66" s="541"/>
      <c r="EG66" s="541"/>
      <c r="EH66" s="541"/>
      <c r="EI66" s="541"/>
      <c r="EJ66" s="541"/>
      <c r="EK66" s="541"/>
      <c r="EL66" s="541"/>
      <c r="EM66" s="541"/>
      <c r="EN66" s="541"/>
      <c r="EO66" s="541"/>
      <c r="EP66" s="541"/>
      <c r="EQ66" s="541"/>
      <c r="ER66" s="541"/>
      <c r="ES66" s="541"/>
      <c r="ET66" s="541"/>
      <c r="EU66" s="541"/>
      <c r="EV66" s="541"/>
      <c r="EW66" s="541"/>
      <c r="EX66" s="541"/>
      <c r="EY66" s="541"/>
      <c r="EZ66" s="541"/>
      <c r="FA66" s="541"/>
      <c r="FB66" s="541"/>
      <c r="FC66" s="541"/>
      <c r="FD66" s="541"/>
      <c r="FE66" s="541"/>
      <c r="FF66" s="541"/>
      <c r="FG66" s="541"/>
      <c r="FH66" s="541"/>
      <c r="FI66" s="541"/>
      <c r="FJ66" s="541"/>
      <c r="FK66" s="541"/>
      <c r="FL66" s="541"/>
      <c r="FM66" s="541"/>
      <c r="FN66" s="541"/>
      <c r="FO66" s="541"/>
      <c r="FP66" s="541"/>
      <c r="FQ66" s="541"/>
      <c r="FR66" s="541"/>
      <c r="FS66" s="541"/>
      <c r="FT66" s="541"/>
      <c r="FU66" s="541"/>
      <c r="FV66" s="541"/>
      <c r="FW66" s="541"/>
      <c r="FX66" s="541"/>
      <c r="FY66" s="541"/>
      <c r="FZ66" s="541"/>
      <c r="GA66" s="541"/>
      <c r="GB66" s="541"/>
      <c r="GC66" s="541"/>
      <c r="GD66" s="541"/>
      <c r="GE66" s="541"/>
      <c r="GF66" s="541"/>
      <c r="GG66" s="541"/>
      <c r="GH66" s="541"/>
      <c r="GI66" s="541"/>
      <c r="GJ66" s="541"/>
      <c r="GK66" s="541"/>
      <c r="GL66" s="541"/>
      <c r="GM66" s="541"/>
      <c r="GN66" s="541"/>
      <c r="GO66" s="541"/>
      <c r="GP66" s="541"/>
      <c r="GQ66" s="541"/>
      <c r="GR66" s="541"/>
      <c r="GS66" s="541"/>
      <c r="GT66" s="541"/>
      <c r="GU66" s="541"/>
      <c r="GV66" s="541"/>
      <c r="GW66" s="541"/>
      <c r="GX66" s="541"/>
      <c r="GY66" s="541"/>
      <c r="GZ66" s="541"/>
      <c r="HA66" s="541"/>
      <c r="HB66" s="541"/>
      <c r="HC66" s="541"/>
      <c r="HD66" s="541"/>
      <c r="HE66" s="541"/>
      <c r="HF66" s="541"/>
      <c r="HG66" s="541"/>
      <c r="HH66" s="541"/>
      <c r="HI66" s="541"/>
      <c r="HJ66" s="541"/>
      <c r="HK66" s="541"/>
      <c r="HL66" s="541"/>
      <c r="HM66" s="541"/>
      <c r="HN66" s="541"/>
      <c r="HO66" s="541"/>
      <c r="HP66" s="541"/>
      <c r="HQ66" s="541"/>
      <c r="HR66" s="541"/>
      <c r="HS66" s="541"/>
      <c r="HT66" s="541"/>
      <c r="HU66" s="541"/>
      <c r="HV66" s="541"/>
      <c r="HW66" s="541"/>
      <c r="HX66" s="541"/>
      <c r="HY66" s="541"/>
      <c r="HZ66" s="541"/>
      <c r="IA66" s="541"/>
      <c r="IB66" s="541"/>
      <c r="IC66" s="541"/>
      <c r="ID66" s="541"/>
      <c r="IE66" s="541"/>
      <c r="IF66" s="541"/>
      <c r="IG66" s="541"/>
      <c r="IH66" s="541"/>
      <c r="II66" s="541"/>
      <c r="IJ66" s="541"/>
      <c r="IK66" s="541"/>
      <c r="IL66" s="541"/>
      <c r="IM66" s="541"/>
      <c r="IN66" s="541"/>
      <c r="IO66" s="541"/>
      <c r="IP66" s="541"/>
      <c r="IQ66" s="541"/>
      <c r="IR66" s="541"/>
      <c r="IS66" s="541"/>
    </row>
    <row r="67" spans="1:253" s="542" customFormat="1" ht="22.8">
      <c r="A67" s="435" t="s">
        <v>1993</v>
      </c>
      <c r="B67" s="416">
        <f>'Sources and Uses Budget'!$C66</f>
        <v>0</v>
      </c>
      <c r="C67" s="416">
        <f>'Sources and Uses Budget'!$C66</f>
        <v>0</v>
      </c>
      <c r="D67" s="420"/>
      <c r="E67" s="418"/>
      <c r="F67" s="417"/>
      <c r="G67" s="546"/>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541"/>
      <c r="AI67" s="541"/>
      <c r="AJ67" s="541"/>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c r="CT67" s="541"/>
      <c r="CU67" s="541"/>
      <c r="CV67" s="541"/>
      <c r="CW67" s="541"/>
      <c r="CX67" s="541"/>
      <c r="CY67" s="541"/>
      <c r="CZ67" s="541"/>
      <c r="DA67" s="541"/>
      <c r="DB67" s="541"/>
      <c r="DC67" s="541"/>
      <c r="DD67" s="541"/>
      <c r="DE67" s="541"/>
      <c r="DF67" s="541"/>
      <c r="DG67" s="541"/>
      <c r="DH67" s="541"/>
      <c r="DI67" s="541"/>
      <c r="DJ67" s="541"/>
      <c r="DK67" s="541"/>
      <c r="DL67" s="541"/>
      <c r="DM67" s="541"/>
      <c r="DN67" s="541"/>
      <c r="DO67" s="541"/>
      <c r="DP67" s="541"/>
      <c r="DQ67" s="541"/>
      <c r="DR67" s="541"/>
      <c r="DS67" s="541"/>
      <c r="DT67" s="541"/>
      <c r="DU67" s="541"/>
      <c r="DV67" s="541"/>
      <c r="DW67" s="541"/>
      <c r="DX67" s="541"/>
      <c r="DY67" s="541"/>
      <c r="DZ67" s="541"/>
      <c r="EA67" s="541"/>
      <c r="EB67" s="541"/>
      <c r="EC67" s="541"/>
      <c r="ED67" s="541"/>
      <c r="EE67" s="541"/>
      <c r="EF67" s="541"/>
      <c r="EG67" s="541"/>
      <c r="EH67" s="541"/>
      <c r="EI67" s="541"/>
      <c r="EJ67" s="541"/>
      <c r="EK67" s="541"/>
      <c r="EL67" s="541"/>
      <c r="EM67" s="541"/>
      <c r="EN67" s="541"/>
      <c r="EO67" s="541"/>
      <c r="EP67" s="541"/>
      <c r="EQ67" s="541"/>
      <c r="ER67" s="541"/>
      <c r="ES67" s="541"/>
      <c r="ET67" s="541"/>
      <c r="EU67" s="541"/>
      <c r="EV67" s="541"/>
      <c r="EW67" s="541"/>
      <c r="EX67" s="541"/>
      <c r="EY67" s="541"/>
      <c r="EZ67" s="541"/>
      <c r="FA67" s="541"/>
      <c r="FB67" s="541"/>
      <c r="FC67" s="541"/>
      <c r="FD67" s="541"/>
      <c r="FE67" s="541"/>
      <c r="FF67" s="541"/>
      <c r="FG67" s="541"/>
      <c r="FH67" s="541"/>
      <c r="FI67" s="541"/>
      <c r="FJ67" s="541"/>
      <c r="FK67" s="541"/>
      <c r="FL67" s="541"/>
      <c r="FM67" s="541"/>
      <c r="FN67" s="541"/>
      <c r="FO67" s="541"/>
      <c r="FP67" s="541"/>
      <c r="FQ67" s="541"/>
      <c r="FR67" s="541"/>
      <c r="FS67" s="541"/>
      <c r="FT67" s="541"/>
      <c r="FU67" s="541"/>
      <c r="FV67" s="541"/>
      <c r="FW67" s="541"/>
      <c r="FX67" s="541"/>
      <c r="FY67" s="541"/>
      <c r="FZ67" s="541"/>
      <c r="GA67" s="541"/>
      <c r="GB67" s="541"/>
      <c r="GC67" s="541"/>
      <c r="GD67" s="541"/>
      <c r="GE67" s="541"/>
      <c r="GF67" s="541"/>
      <c r="GG67" s="541"/>
      <c r="GH67" s="541"/>
      <c r="GI67" s="541"/>
      <c r="GJ67" s="541"/>
      <c r="GK67" s="541"/>
      <c r="GL67" s="541"/>
      <c r="GM67" s="541"/>
      <c r="GN67" s="541"/>
      <c r="GO67" s="541"/>
      <c r="GP67" s="541"/>
      <c r="GQ67" s="541"/>
      <c r="GR67" s="541"/>
      <c r="GS67" s="541"/>
      <c r="GT67" s="541"/>
      <c r="GU67" s="541"/>
      <c r="GV67" s="541"/>
      <c r="GW67" s="541"/>
      <c r="GX67" s="541"/>
      <c r="GY67" s="541"/>
      <c r="GZ67" s="541"/>
      <c r="HA67" s="541"/>
      <c r="HB67" s="541"/>
      <c r="HC67" s="541"/>
      <c r="HD67" s="541"/>
      <c r="HE67" s="541"/>
      <c r="HF67" s="541"/>
      <c r="HG67" s="541"/>
      <c r="HH67" s="541"/>
      <c r="HI67" s="541"/>
      <c r="HJ67" s="541"/>
      <c r="HK67" s="541"/>
      <c r="HL67" s="541"/>
      <c r="HM67" s="541"/>
      <c r="HN67" s="541"/>
      <c r="HO67" s="541"/>
      <c r="HP67" s="541"/>
      <c r="HQ67" s="541"/>
      <c r="HR67" s="541"/>
      <c r="HS67" s="541"/>
      <c r="HT67" s="541"/>
      <c r="HU67" s="541"/>
      <c r="HV67" s="541"/>
      <c r="HW67" s="541"/>
      <c r="HX67" s="541"/>
      <c r="HY67" s="541"/>
      <c r="HZ67" s="541"/>
      <c r="IA67" s="541"/>
      <c r="IB67" s="541"/>
      <c r="IC67" s="541"/>
      <c r="ID67" s="541"/>
      <c r="IE67" s="541"/>
      <c r="IF67" s="541"/>
      <c r="IG67" s="541"/>
      <c r="IH67" s="541"/>
      <c r="II67" s="541"/>
      <c r="IJ67" s="541"/>
      <c r="IK67" s="541"/>
      <c r="IL67" s="541"/>
      <c r="IM67" s="541"/>
      <c r="IN67" s="541"/>
      <c r="IO67" s="541"/>
      <c r="IP67" s="541"/>
      <c r="IQ67" s="541"/>
      <c r="IR67" s="541"/>
      <c r="IS67" s="541"/>
    </row>
    <row r="68" spans="1:253" s="542" customFormat="1" ht="22.8">
      <c r="A68" s="435" t="s">
        <v>1994</v>
      </c>
      <c r="B68" s="416">
        <f>'Sources and Uses Budget'!$C67</f>
        <v>0</v>
      </c>
      <c r="C68" s="416">
        <f>'Sources and Uses Budget'!$C67</f>
        <v>0</v>
      </c>
      <c r="D68" s="420"/>
      <c r="E68" s="418"/>
      <c r="F68" s="417"/>
      <c r="G68" s="546"/>
      <c r="H68" s="541"/>
      <c r="I68" s="541"/>
      <c r="J68" s="541"/>
      <c r="K68" s="541"/>
      <c r="L68" s="541"/>
      <c r="M68" s="541"/>
      <c r="N68" s="541"/>
      <c r="O68" s="541"/>
      <c r="P68" s="541"/>
      <c r="Q68" s="541"/>
      <c r="R68" s="541"/>
      <c r="S68" s="541"/>
      <c r="T68" s="541"/>
      <c r="U68" s="541"/>
      <c r="V68" s="541"/>
      <c r="W68" s="541"/>
      <c r="X68" s="541"/>
      <c r="Y68" s="541"/>
      <c r="Z68" s="541"/>
      <c r="AA68" s="541"/>
      <c r="AB68" s="541"/>
      <c r="AC68" s="541"/>
      <c r="AD68" s="541"/>
      <c r="AE68" s="541"/>
      <c r="AF68" s="541"/>
      <c r="AG68" s="541"/>
      <c r="AH68" s="541"/>
      <c r="AI68" s="541"/>
      <c r="AJ68" s="541"/>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c r="CI68" s="541"/>
      <c r="CJ68" s="541"/>
      <c r="CK68" s="541"/>
      <c r="CL68" s="541"/>
      <c r="CM68" s="541"/>
      <c r="CN68" s="541"/>
      <c r="CO68" s="541"/>
      <c r="CP68" s="541"/>
      <c r="CQ68" s="541"/>
      <c r="CR68" s="541"/>
      <c r="CS68" s="541"/>
      <c r="CT68" s="541"/>
      <c r="CU68" s="541"/>
      <c r="CV68" s="541"/>
      <c r="CW68" s="541"/>
      <c r="CX68" s="541"/>
      <c r="CY68" s="541"/>
      <c r="CZ68" s="541"/>
      <c r="DA68" s="541"/>
      <c r="DB68" s="541"/>
      <c r="DC68" s="541"/>
      <c r="DD68" s="541"/>
      <c r="DE68" s="541"/>
      <c r="DF68" s="541"/>
      <c r="DG68" s="541"/>
      <c r="DH68" s="541"/>
      <c r="DI68" s="541"/>
      <c r="DJ68" s="541"/>
      <c r="DK68" s="541"/>
      <c r="DL68" s="541"/>
      <c r="DM68" s="541"/>
      <c r="DN68" s="541"/>
      <c r="DO68" s="541"/>
      <c r="DP68" s="541"/>
      <c r="DQ68" s="541"/>
      <c r="DR68" s="541"/>
      <c r="DS68" s="541"/>
      <c r="DT68" s="541"/>
      <c r="DU68" s="541"/>
      <c r="DV68" s="541"/>
      <c r="DW68" s="541"/>
      <c r="DX68" s="541"/>
      <c r="DY68" s="541"/>
      <c r="DZ68" s="541"/>
      <c r="EA68" s="541"/>
      <c r="EB68" s="541"/>
      <c r="EC68" s="541"/>
      <c r="ED68" s="541"/>
      <c r="EE68" s="541"/>
      <c r="EF68" s="541"/>
      <c r="EG68" s="541"/>
      <c r="EH68" s="541"/>
      <c r="EI68" s="541"/>
      <c r="EJ68" s="541"/>
      <c r="EK68" s="541"/>
      <c r="EL68" s="541"/>
      <c r="EM68" s="541"/>
      <c r="EN68" s="541"/>
      <c r="EO68" s="541"/>
      <c r="EP68" s="541"/>
      <c r="EQ68" s="541"/>
      <c r="ER68" s="541"/>
      <c r="ES68" s="541"/>
      <c r="ET68" s="541"/>
      <c r="EU68" s="541"/>
      <c r="EV68" s="541"/>
      <c r="EW68" s="541"/>
      <c r="EX68" s="541"/>
      <c r="EY68" s="541"/>
      <c r="EZ68" s="541"/>
      <c r="FA68" s="541"/>
      <c r="FB68" s="541"/>
      <c r="FC68" s="541"/>
      <c r="FD68" s="541"/>
      <c r="FE68" s="541"/>
      <c r="FF68" s="541"/>
      <c r="FG68" s="541"/>
      <c r="FH68" s="541"/>
      <c r="FI68" s="541"/>
      <c r="FJ68" s="541"/>
      <c r="FK68" s="541"/>
      <c r="FL68" s="541"/>
      <c r="FM68" s="541"/>
      <c r="FN68" s="541"/>
      <c r="FO68" s="541"/>
      <c r="FP68" s="541"/>
      <c r="FQ68" s="541"/>
      <c r="FR68" s="541"/>
      <c r="FS68" s="541"/>
      <c r="FT68" s="541"/>
      <c r="FU68" s="541"/>
      <c r="FV68" s="541"/>
      <c r="FW68" s="541"/>
      <c r="FX68" s="541"/>
      <c r="FY68" s="541"/>
      <c r="FZ68" s="541"/>
      <c r="GA68" s="541"/>
      <c r="GB68" s="541"/>
      <c r="GC68" s="541"/>
      <c r="GD68" s="541"/>
      <c r="GE68" s="541"/>
      <c r="GF68" s="541"/>
      <c r="GG68" s="541"/>
      <c r="GH68" s="541"/>
      <c r="GI68" s="541"/>
      <c r="GJ68" s="541"/>
      <c r="GK68" s="541"/>
      <c r="GL68" s="541"/>
      <c r="GM68" s="541"/>
      <c r="GN68" s="541"/>
      <c r="GO68" s="541"/>
      <c r="GP68" s="541"/>
      <c r="GQ68" s="541"/>
      <c r="GR68" s="541"/>
      <c r="GS68" s="541"/>
      <c r="GT68" s="541"/>
      <c r="GU68" s="541"/>
      <c r="GV68" s="541"/>
      <c r="GW68" s="541"/>
      <c r="GX68" s="541"/>
      <c r="GY68" s="541"/>
      <c r="GZ68" s="541"/>
      <c r="HA68" s="541"/>
      <c r="HB68" s="541"/>
      <c r="HC68" s="541"/>
      <c r="HD68" s="541"/>
      <c r="HE68" s="541"/>
      <c r="HF68" s="541"/>
      <c r="HG68" s="541"/>
      <c r="HH68" s="541"/>
      <c r="HI68" s="541"/>
      <c r="HJ68" s="541"/>
      <c r="HK68" s="541"/>
      <c r="HL68" s="541"/>
      <c r="HM68" s="541"/>
      <c r="HN68" s="541"/>
      <c r="HO68" s="541"/>
      <c r="HP68" s="541"/>
      <c r="HQ68" s="541"/>
      <c r="HR68" s="541"/>
      <c r="HS68" s="541"/>
      <c r="HT68" s="541"/>
      <c r="HU68" s="541"/>
      <c r="HV68" s="541"/>
      <c r="HW68" s="541"/>
      <c r="HX68" s="541"/>
      <c r="HY68" s="541"/>
      <c r="HZ68" s="541"/>
      <c r="IA68" s="541"/>
      <c r="IB68" s="541"/>
      <c r="IC68" s="541"/>
      <c r="ID68" s="541"/>
      <c r="IE68" s="541"/>
      <c r="IF68" s="541"/>
      <c r="IG68" s="541"/>
      <c r="IH68" s="541"/>
      <c r="II68" s="541"/>
      <c r="IJ68" s="541"/>
      <c r="IK68" s="541"/>
      <c r="IL68" s="541"/>
      <c r="IM68" s="541"/>
      <c r="IN68" s="541"/>
      <c r="IO68" s="541"/>
      <c r="IP68" s="541"/>
      <c r="IQ68" s="541"/>
      <c r="IR68" s="541"/>
      <c r="IS68" s="541"/>
    </row>
    <row r="69" spans="1:253" s="542" customFormat="1">
      <c r="A69" s="435" t="s">
        <v>2000</v>
      </c>
      <c r="B69" s="416">
        <f>'Sources and Uses Budget'!$C68</f>
        <v>0</v>
      </c>
      <c r="C69" s="416">
        <f>'Sources and Uses Budget'!$C68</f>
        <v>0</v>
      </c>
      <c r="D69" s="420"/>
      <c r="E69" s="418"/>
      <c r="F69" s="417"/>
      <c r="G69" s="546"/>
      <c r="H69" s="541"/>
      <c r="I69" s="541"/>
      <c r="J69" s="541"/>
      <c r="K69" s="541"/>
      <c r="L69" s="541"/>
      <c r="M69" s="541"/>
      <c r="N69" s="541"/>
      <c r="O69" s="541"/>
      <c r="P69" s="541"/>
      <c r="Q69" s="541"/>
      <c r="R69" s="541"/>
      <c r="S69" s="541"/>
      <c r="T69" s="541"/>
      <c r="U69" s="541"/>
      <c r="V69" s="541"/>
      <c r="W69" s="541"/>
      <c r="X69" s="541"/>
      <c r="Y69" s="541"/>
      <c r="Z69" s="541"/>
      <c r="AA69" s="541"/>
      <c r="AB69" s="541"/>
      <c r="AC69" s="541"/>
      <c r="AD69" s="541"/>
      <c r="AE69" s="541"/>
      <c r="AF69" s="541"/>
      <c r="AG69" s="541"/>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541"/>
      <c r="DS69" s="541"/>
      <c r="DT69" s="541"/>
      <c r="DU69" s="541"/>
      <c r="DV69" s="541"/>
      <c r="DW69" s="541"/>
      <c r="DX69" s="541"/>
      <c r="DY69" s="541"/>
      <c r="DZ69" s="541"/>
      <c r="EA69" s="541"/>
      <c r="EB69" s="541"/>
      <c r="EC69" s="541"/>
      <c r="ED69" s="541"/>
      <c r="EE69" s="541"/>
      <c r="EF69" s="541"/>
      <c r="EG69" s="541"/>
      <c r="EH69" s="541"/>
      <c r="EI69" s="541"/>
      <c r="EJ69" s="541"/>
      <c r="EK69" s="541"/>
      <c r="EL69" s="541"/>
      <c r="EM69" s="541"/>
      <c r="EN69" s="541"/>
      <c r="EO69" s="541"/>
      <c r="EP69" s="541"/>
      <c r="EQ69" s="541"/>
      <c r="ER69" s="541"/>
      <c r="ES69" s="541"/>
      <c r="ET69" s="541"/>
      <c r="EU69" s="541"/>
      <c r="EV69" s="541"/>
      <c r="EW69" s="541"/>
      <c r="EX69" s="541"/>
      <c r="EY69" s="541"/>
      <c r="EZ69" s="541"/>
      <c r="FA69" s="541"/>
      <c r="FB69" s="541"/>
      <c r="FC69" s="541"/>
      <c r="FD69" s="541"/>
      <c r="FE69" s="541"/>
      <c r="FF69" s="541"/>
      <c r="FG69" s="541"/>
      <c r="FH69" s="541"/>
      <c r="FI69" s="541"/>
      <c r="FJ69" s="541"/>
      <c r="FK69" s="541"/>
      <c r="FL69" s="541"/>
      <c r="FM69" s="541"/>
      <c r="FN69" s="541"/>
      <c r="FO69" s="541"/>
      <c r="FP69" s="541"/>
      <c r="FQ69" s="541"/>
      <c r="FR69" s="541"/>
      <c r="FS69" s="541"/>
      <c r="FT69" s="541"/>
      <c r="FU69" s="541"/>
      <c r="FV69" s="541"/>
      <c r="FW69" s="541"/>
      <c r="FX69" s="541"/>
      <c r="FY69" s="541"/>
      <c r="FZ69" s="541"/>
      <c r="GA69" s="541"/>
      <c r="GB69" s="541"/>
      <c r="GC69" s="541"/>
      <c r="GD69" s="541"/>
      <c r="GE69" s="541"/>
      <c r="GF69" s="541"/>
      <c r="GG69" s="541"/>
      <c r="GH69" s="541"/>
      <c r="GI69" s="541"/>
      <c r="GJ69" s="541"/>
      <c r="GK69" s="541"/>
      <c r="GL69" s="541"/>
      <c r="GM69" s="541"/>
      <c r="GN69" s="541"/>
      <c r="GO69" s="541"/>
      <c r="GP69" s="541"/>
      <c r="GQ69" s="541"/>
      <c r="GR69" s="541"/>
      <c r="GS69" s="541"/>
      <c r="GT69" s="541"/>
      <c r="GU69" s="541"/>
      <c r="GV69" s="541"/>
      <c r="GW69" s="541"/>
      <c r="GX69" s="541"/>
      <c r="GY69" s="541"/>
      <c r="GZ69" s="541"/>
      <c r="HA69" s="541"/>
      <c r="HB69" s="541"/>
      <c r="HC69" s="541"/>
      <c r="HD69" s="541"/>
      <c r="HE69" s="541"/>
      <c r="HF69" s="541"/>
      <c r="HG69" s="541"/>
      <c r="HH69" s="541"/>
      <c r="HI69" s="541"/>
      <c r="HJ69" s="541"/>
      <c r="HK69" s="541"/>
      <c r="HL69" s="541"/>
      <c r="HM69" s="541"/>
      <c r="HN69" s="541"/>
      <c r="HO69" s="541"/>
      <c r="HP69" s="541"/>
      <c r="HQ69" s="541"/>
      <c r="HR69" s="541"/>
      <c r="HS69" s="541"/>
      <c r="HT69" s="541"/>
      <c r="HU69" s="541"/>
      <c r="HV69" s="541"/>
      <c r="HW69" s="541"/>
      <c r="HX69" s="541"/>
      <c r="HY69" s="541"/>
      <c r="HZ69" s="541"/>
      <c r="IA69" s="541"/>
      <c r="IB69" s="541"/>
      <c r="IC69" s="541"/>
      <c r="ID69" s="541"/>
      <c r="IE69" s="541"/>
      <c r="IF69" s="541"/>
      <c r="IG69" s="541"/>
      <c r="IH69" s="541"/>
      <c r="II69" s="541"/>
      <c r="IJ69" s="541"/>
      <c r="IK69" s="541"/>
      <c r="IL69" s="541"/>
      <c r="IM69" s="541"/>
      <c r="IN69" s="541"/>
      <c r="IO69" s="541"/>
      <c r="IP69" s="541"/>
      <c r="IQ69" s="541"/>
      <c r="IR69" s="541"/>
      <c r="IS69" s="541"/>
    </row>
    <row r="70" spans="1:253" s="542" customFormat="1">
      <c r="A70" s="226" t="str">
        <f>'Sources and Uses Budget'!A69</f>
        <v>Construction Legal - Borrower</v>
      </c>
      <c r="B70" s="416">
        <f>'Sources and Uses Budget'!$C69</f>
        <v>35000</v>
      </c>
      <c r="C70" s="416">
        <f>'Sources and Uses Budget'!$C69</f>
        <v>35000</v>
      </c>
      <c r="D70" s="420">
        <f t="shared" si="0"/>
        <v>0</v>
      </c>
      <c r="E70" s="418"/>
      <c r="F70" s="417"/>
      <c r="G70" s="546"/>
      <c r="H70" s="541"/>
      <c r="I70" s="541"/>
      <c r="J70" s="541"/>
      <c r="K70" s="541"/>
      <c r="L70" s="541"/>
      <c r="M70" s="541"/>
      <c r="N70" s="541"/>
      <c r="O70" s="541"/>
      <c r="P70" s="541"/>
      <c r="Q70" s="541"/>
      <c r="R70" s="541"/>
      <c r="S70" s="541"/>
      <c r="T70" s="541"/>
      <c r="U70" s="541"/>
      <c r="V70" s="541"/>
      <c r="W70" s="541"/>
      <c r="X70" s="541"/>
      <c r="Y70" s="541"/>
      <c r="Z70" s="541"/>
      <c r="AA70" s="541"/>
      <c r="AB70" s="541"/>
      <c r="AC70" s="541"/>
      <c r="AD70" s="541"/>
      <c r="AE70" s="541"/>
      <c r="AF70" s="541"/>
      <c r="AG70" s="541"/>
      <c r="AH70" s="541"/>
      <c r="AI70" s="541"/>
      <c r="AJ70" s="541"/>
      <c r="AK70" s="541"/>
      <c r="AL70" s="541"/>
      <c r="AM70" s="541"/>
      <c r="AN70" s="541"/>
      <c r="AO70" s="541"/>
      <c r="AP70" s="541"/>
      <c r="AQ70" s="541"/>
      <c r="AR70" s="541"/>
      <c r="AS70" s="541"/>
      <c r="AT70" s="541"/>
      <c r="AU70" s="541"/>
      <c r="AV70" s="541"/>
      <c r="AW70" s="541"/>
      <c r="AX70" s="541"/>
      <c r="AY70" s="541"/>
      <c r="AZ70" s="541"/>
      <c r="BA70" s="541"/>
      <c r="BB70" s="541"/>
      <c r="BC70" s="541"/>
      <c r="BD70" s="541"/>
      <c r="BE70" s="541"/>
      <c r="BF70" s="541"/>
      <c r="BG70" s="541"/>
      <c r="BH70" s="541"/>
      <c r="BI70" s="541"/>
      <c r="BJ70" s="541"/>
      <c r="BK70" s="541"/>
      <c r="BL70" s="541"/>
      <c r="BM70" s="541"/>
      <c r="BN70" s="541"/>
      <c r="BO70" s="541"/>
      <c r="BP70" s="541"/>
      <c r="BQ70" s="541"/>
      <c r="BR70" s="541"/>
      <c r="BS70" s="541"/>
      <c r="BT70" s="541"/>
      <c r="BU70" s="541"/>
      <c r="BV70" s="541"/>
      <c r="BW70" s="541"/>
      <c r="BX70" s="541"/>
      <c r="BY70" s="541"/>
      <c r="BZ70" s="541"/>
      <c r="CA70" s="541"/>
      <c r="CB70" s="541"/>
      <c r="CC70" s="541"/>
      <c r="CD70" s="541"/>
      <c r="CE70" s="541"/>
      <c r="CF70" s="541"/>
      <c r="CG70" s="541"/>
      <c r="CH70" s="541"/>
      <c r="CI70" s="541"/>
      <c r="CJ70" s="541"/>
      <c r="CK70" s="541"/>
      <c r="CL70" s="541"/>
      <c r="CM70" s="541"/>
      <c r="CN70" s="541"/>
      <c r="CO70" s="541"/>
      <c r="CP70" s="541"/>
      <c r="CQ70" s="541"/>
      <c r="CR70" s="541"/>
      <c r="CS70" s="541"/>
      <c r="CT70" s="541"/>
      <c r="CU70" s="541"/>
      <c r="CV70" s="541"/>
      <c r="CW70" s="541"/>
      <c r="CX70" s="541"/>
      <c r="CY70" s="541"/>
      <c r="CZ70" s="541"/>
      <c r="DA70" s="541"/>
      <c r="DB70" s="541"/>
      <c r="DC70" s="541"/>
      <c r="DD70" s="541"/>
      <c r="DE70" s="541"/>
      <c r="DF70" s="541"/>
      <c r="DG70" s="541"/>
      <c r="DH70" s="541"/>
      <c r="DI70" s="541"/>
      <c r="DJ70" s="541"/>
      <c r="DK70" s="541"/>
      <c r="DL70" s="541"/>
      <c r="DM70" s="541"/>
      <c r="DN70" s="541"/>
      <c r="DO70" s="541"/>
      <c r="DP70" s="541"/>
      <c r="DQ70" s="541"/>
      <c r="DR70" s="541"/>
      <c r="DS70" s="541"/>
      <c r="DT70" s="541"/>
      <c r="DU70" s="541"/>
      <c r="DV70" s="541"/>
      <c r="DW70" s="541"/>
      <c r="DX70" s="541"/>
      <c r="DY70" s="541"/>
      <c r="DZ70" s="541"/>
      <c r="EA70" s="541"/>
      <c r="EB70" s="541"/>
      <c r="EC70" s="541"/>
      <c r="ED70" s="541"/>
      <c r="EE70" s="541"/>
      <c r="EF70" s="541"/>
      <c r="EG70" s="541"/>
      <c r="EH70" s="541"/>
      <c r="EI70" s="541"/>
      <c r="EJ70" s="541"/>
      <c r="EK70" s="541"/>
      <c r="EL70" s="541"/>
      <c r="EM70" s="541"/>
      <c r="EN70" s="541"/>
      <c r="EO70" s="541"/>
      <c r="EP70" s="541"/>
      <c r="EQ70" s="541"/>
      <c r="ER70" s="541"/>
      <c r="ES70" s="541"/>
      <c r="ET70" s="541"/>
      <c r="EU70" s="541"/>
      <c r="EV70" s="541"/>
      <c r="EW70" s="541"/>
      <c r="EX70" s="541"/>
      <c r="EY70" s="541"/>
      <c r="EZ70" s="541"/>
      <c r="FA70" s="541"/>
      <c r="FB70" s="541"/>
      <c r="FC70" s="541"/>
      <c r="FD70" s="541"/>
      <c r="FE70" s="541"/>
      <c r="FF70" s="541"/>
      <c r="FG70" s="541"/>
      <c r="FH70" s="541"/>
      <c r="FI70" s="541"/>
      <c r="FJ70" s="541"/>
      <c r="FK70" s="541"/>
      <c r="FL70" s="541"/>
      <c r="FM70" s="541"/>
      <c r="FN70" s="541"/>
      <c r="FO70" s="541"/>
      <c r="FP70" s="541"/>
      <c r="FQ70" s="541"/>
      <c r="FR70" s="541"/>
      <c r="FS70" s="541"/>
      <c r="FT70" s="541"/>
      <c r="FU70" s="541"/>
      <c r="FV70" s="541"/>
      <c r="FW70" s="541"/>
      <c r="FX70" s="541"/>
      <c r="FY70" s="541"/>
      <c r="FZ70" s="541"/>
      <c r="GA70" s="541"/>
      <c r="GB70" s="541"/>
      <c r="GC70" s="541"/>
      <c r="GD70" s="541"/>
      <c r="GE70" s="541"/>
      <c r="GF70" s="541"/>
      <c r="GG70" s="541"/>
      <c r="GH70" s="541"/>
      <c r="GI70" s="541"/>
      <c r="GJ70" s="541"/>
      <c r="GK70" s="541"/>
      <c r="GL70" s="541"/>
      <c r="GM70" s="541"/>
      <c r="GN70" s="541"/>
      <c r="GO70" s="541"/>
      <c r="GP70" s="541"/>
      <c r="GQ70" s="541"/>
      <c r="GR70" s="541"/>
      <c r="GS70" s="541"/>
      <c r="GT70" s="541"/>
      <c r="GU70" s="541"/>
      <c r="GV70" s="541"/>
      <c r="GW70" s="541"/>
      <c r="GX70" s="541"/>
      <c r="GY70" s="541"/>
      <c r="GZ70" s="541"/>
      <c r="HA70" s="541"/>
      <c r="HB70" s="541"/>
      <c r="HC70" s="541"/>
      <c r="HD70" s="541"/>
      <c r="HE70" s="541"/>
      <c r="HF70" s="541"/>
      <c r="HG70" s="541"/>
      <c r="HH70" s="541"/>
      <c r="HI70" s="541"/>
      <c r="HJ70" s="541"/>
      <c r="HK70" s="541"/>
      <c r="HL70" s="541"/>
      <c r="HM70" s="541"/>
      <c r="HN70" s="541"/>
      <c r="HO70" s="541"/>
      <c r="HP70" s="541"/>
      <c r="HQ70" s="541"/>
      <c r="HR70" s="541"/>
      <c r="HS70" s="541"/>
      <c r="HT70" s="541"/>
      <c r="HU70" s="541"/>
      <c r="HV70" s="541"/>
      <c r="HW70" s="541"/>
      <c r="HX70" s="541"/>
      <c r="HY70" s="541"/>
      <c r="HZ70" s="541"/>
      <c r="IA70" s="541"/>
      <c r="IB70" s="541"/>
      <c r="IC70" s="541"/>
      <c r="ID70" s="541"/>
      <c r="IE70" s="541"/>
      <c r="IF70" s="541"/>
      <c r="IG70" s="541"/>
      <c r="IH70" s="541"/>
      <c r="II70" s="541"/>
      <c r="IJ70" s="541"/>
      <c r="IK70" s="541"/>
      <c r="IL70" s="541"/>
      <c r="IM70" s="541"/>
      <c r="IN70" s="541"/>
      <c r="IO70" s="541"/>
      <c r="IP70" s="541"/>
      <c r="IQ70" s="541"/>
      <c r="IR70" s="541"/>
      <c r="IS70" s="541"/>
    </row>
    <row r="71" spans="1:253" s="542" customFormat="1">
      <c r="A71" s="219" t="s">
        <v>1997</v>
      </c>
      <c r="B71" s="420">
        <f>SUM(B66:B70)</f>
        <v>100000</v>
      </c>
      <c r="C71" s="420">
        <f>SUM(C66:C70)</f>
        <v>100000</v>
      </c>
      <c r="D71" s="420">
        <f t="shared" si="0"/>
        <v>0</v>
      </c>
      <c r="E71" s="418"/>
      <c r="F71" s="417"/>
      <c r="G71" s="546"/>
      <c r="H71" s="541"/>
      <c r="I71" s="541"/>
      <c r="J71" s="541"/>
      <c r="K71" s="541"/>
      <c r="L71" s="541"/>
      <c r="M71" s="541"/>
      <c r="N71" s="541"/>
      <c r="O71" s="541"/>
      <c r="P71" s="541"/>
      <c r="Q71" s="541"/>
      <c r="R71" s="541"/>
      <c r="S71" s="541"/>
      <c r="T71" s="541"/>
      <c r="U71" s="541"/>
      <c r="V71" s="541"/>
      <c r="W71" s="541"/>
      <c r="X71" s="541"/>
      <c r="Y71" s="541"/>
      <c r="Z71" s="541"/>
      <c r="AA71" s="541"/>
      <c r="AB71" s="541"/>
      <c r="AC71" s="541"/>
      <c r="AD71" s="541"/>
      <c r="AE71" s="541"/>
      <c r="AF71" s="541"/>
      <c r="AG71" s="541"/>
      <c r="AH71" s="541"/>
      <c r="AI71" s="541"/>
      <c r="AJ71" s="541"/>
      <c r="AK71" s="541"/>
      <c r="AL71" s="541"/>
      <c r="AM71" s="541"/>
      <c r="AN71" s="541"/>
      <c r="AO71" s="541"/>
      <c r="AP71" s="541"/>
      <c r="AQ71" s="541"/>
      <c r="AR71" s="541"/>
      <c r="AS71" s="541"/>
      <c r="AT71" s="541"/>
      <c r="AU71" s="541"/>
      <c r="AV71" s="541"/>
      <c r="AW71" s="541"/>
      <c r="AX71" s="541"/>
      <c r="AY71" s="541"/>
      <c r="AZ71" s="541"/>
      <c r="BA71" s="541"/>
      <c r="BB71" s="541"/>
      <c r="BC71" s="541"/>
      <c r="BD71" s="541"/>
      <c r="BE71" s="541"/>
      <c r="BF71" s="541"/>
      <c r="BG71" s="541"/>
      <c r="BH71" s="541"/>
      <c r="BI71" s="541"/>
      <c r="BJ71" s="541"/>
      <c r="BK71" s="541"/>
      <c r="BL71" s="541"/>
      <c r="BM71" s="541"/>
      <c r="BN71" s="541"/>
      <c r="BO71" s="541"/>
      <c r="BP71" s="541"/>
      <c r="BQ71" s="541"/>
      <c r="BR71" s="541"/>
      <c r="BS71" s="541"/>
      <c r="BT71" s="541"/>
      <c r="BU71" s="541"/>
      <c r="BV71" s="541"/>
      <c r="BW71" s="541"/>
      <c r="BX71" s="541"/>
      <c r="BY71" s="541"/>
      <c r="BZ71" s="541"/>
      <c r="CA71" s="541"/>
      <c r="CB71" s="541"/>
      <c r="CC71" s="541"/>
      <c r="CD71" s="541"/>
      <c r="CE71" s="541"/>
      <c r="CF71" s="541"/>
      <c r="CG71" s="541"/>
      <c r="CH71" s="541"/>
      <c r="CI71" s="541"/>
      <c r="CJ71" s="541"/>
      <c r="CK71" s="541"/>
      <c r="CL71" s="541"/>
      <c r="CM71" s="541"/>
      <c r="CN71" s="541"/>
      <c r="CO71" s="541"/>
      <c r="CP71" s="541"/>
      <c r="CQ71" s="541"/>
      <c r="CR71" s="541"/>
      <c r="CS71" s="541"/>
      <c r="CT71" s="541"/>
      <c r="CU71" s="541"/>
      <c r="CV71" s="541"/>
      <c r="CW71" s="541"/>
      <c r="CX71" s="541"/>
      <c r="CY71" s="541"/>
      <c r="CZ71" s="541"/>
      <c r="DA71" s="541"/>
      <c r="DB71" s="541"/>
      <c r="DC71" s="541"/>
      <c r="DD71" s="541"/>
      <c r="DE71" s="541"/>
      <c r="DF71" s="541"/>
      <c r="DG71" s="541"/>
      <c r="DH71" s="541"/>
      <c r="DI71" s="541"/>
      <c r="DJ71" s="541"/>
      <c r="DK71" s="541"/>
      <c r="DL71" s="541"/>
      <c r="DM71" s="541"/>
      <c r="DN71" s="541"/>
      <c r="DO71" s="541"/>
      <c r="DP71" s="541"/>
      <c r="DQ71" s="541"/>
      <c r="DR71" s="541"/>
      <c r="DS71" s="541"/>
      <c r="DT71" s="541"/>
      <c r="DU71" s="541"/>
      <c r="DV71" s="541"/>
      <c r="DW71" s="541"/>
      <c r="DX71" s="541"/>
      <c r="DY71" s="541"/>
      <c r="DZ71" s="541"/>
      <c r="EA71" s="541"/>
      <c r="EB71" s="541"/>
      <c r="EC71" s="541"/>
      <c r="ED71" s="541"/>
      <c r="EE71" s="541"/>
      <c r="EF71" s="541"/>
      <c r="EG71" s="541"/>
      <c r="EH71" s="541"/>
      <c r="EI71" s="541"/>
      <c r="EJ71" s="541"/>
      <c r="EK71" s="541"/>
      <c r="EL71" s="541"/>
      <c r="EM71" s="541"/>
      <c r="EN71" s="541"/>
      <c r="EO71" s="541"/>
      <c r="EP71" s="541"/>
      <c r="EQ71" s="541"/>
      <c r="ER71" s="541"/>
      <c r="ES71" s="541"/>
      <c r="ET71" s="541"/>
      <c r="EU71" s="541"/>
      <c r="EV71" s="541"/>
      <c r="EW71" s="541"/>
      <c r="EX71" s="541"/>
      <c r="EY71" s="541"/>
      <c r="EZ71" s="541"/>
      <c r="FA71" s="541"/>
      <c r="FB71" s="541"/>
      <c r="FC71" s="541"/>
      <c r="FD71" s="541"/>
      <c r="FE71" s="541"/>
      <c r="FF71" s="541"/>
      <c r="FG71" s="541"/>
      <c r="FH71" s="541"/>
      <c r="FI71" s="541"/>
      <c r="FJ71" s="541"/>
      <c r="FK71" s="541"/>
      <c r="FL71" s="541"/>
      <c r="FM71" s="541"/>
      <c r="FN71" s="541"/>
      <c r="FO71" s="541"/>
      <c r="FP71" s="541"/>
      <c r="FQ71" s="541"/>
      <c r="FR71" s="541"/>
      <c r="FS71" s="541"/>
      <c r="FT71" s="541"/>
      <c r="FU71" s="541"/>
      <c r="FV71" s="541"/>
      <c r="FW71" s="541"/>
      <c r="FX71" s="541"/>
      <c r="FY71" s="541"/>
      <c r="FZ71" s="541"/>
      <c r="GA71" s="541"/>
      <c r="GB71" s="541"/>
      <c r="GC71" s="541"/>
      <c r="GD71" s="541"/>
      <c r="GE71" s="541"/>
      <c r="GF71" s="541"/>
      <c r="GG71" s="541"/>
      <c r="GH71" s="541"/>
      <c r="GI71" s="541"/>
      <c r="GJ71" s="541"/>
      <c r="GK71" s="541"/>
      <c r="GL71" s="541"/>
      <c r="GM71" s="541"/>
      <c r="GN71" s="541"/>
      <c r="GO71" s="541"/>
      <c r="GP71" s="541"/>
      <c r="GQ71" s="541"/>
      <c r="GR71" s="541"/>
      <c r="GS71" s="541"/>
      <c r="GT71" s="541"/>
      <c r="GU71" s="541"/>
      <c r="GV71" s="541"/>
      <c r="GW71" s="541"/>
      <c r="GX71" s="541"/>
      <c r="GY71" s="541"/>
      <c r="GZ71" s="541"/>
      <c r="HA71" s="541"/>
      <c r="HB71" s="541"/>
      <c r="HC71" s="541"/>
      <c r="HD71" s="541"/>
      <c r="HE71" s="541"/>
      <c r="HF71" s="541"/>
      <c r="HG71" s="541"/>
      <c r="HH71" s="541"/>
      <c r="HI71" s="541"/>
      <c r="HJ71" s="541"/>
      <c r="HK71" s="541"/>
      <c r="HL71" s="541"/>
      <c r="HM71" s="541"/>
      <c r="HN71" s="541"/>
      <c r="HO71" s="541"/>
      <c r="HP71" s="541"/>
      <c r="HQ71" s="541"/>
      <c r="HR71" s="541"/>
      <c r="HS71" s="541"/>
      <c r="HT71" s="541"/>
      <c r="HU71" s="541"/>
      <c r="HV71" s="541"/>
      <c r="HW71" s="541"/>
      <c r="HX71" s="541"/>
      <c r="HY71" s="541"/>
      <c r="HZ71" s="541"/>
      <c r="IA71" s="541"/>
      <c r="IB71" s="541"/>
      <c r="IC71" s="541"/>
      <c r="ID71" s="541"/>
      <c r="IE71" s="541"/>
      <c r="IF71" s="541"/>
      <c r="IG71" s="541"/>
      <c r="IH71" s="541"/>
      <c r="II71" s="541"/>
      <c r="IJ71" s="541"/>
      <c r="IK71" s="541"/>
      <c r="IL71" s="541"/>
      <c r="IM71" s="541"/>
      <c r="IN71" s="541"/>
      <c r="IO71" s="541"/>
      <c r="IP71" s="541"/>
      <c r="IQ71" s="541"/>
      <c r="IR71" s="541"/>
      <c r="IS71" s="541"/>
    </row>
    <row r="72" spans="1:253" s="542" customFormat="1">
      <c r="A72" s="414" t="s">
        <v>637</v>
      </c>
      <c r="B72" s="414"/>
      <c r="C72" s="414"/>
      <c r="D72" s="414"/>
      <c r="E72" s="434"/>
      <c r="F72" s="414"/>
      <c r="G72" s="546"/>
      <c r="H72" s="541"/>
      <c r="I72" s="541"/>
      <c r="J72" s="541"/>
      <c r="K72" s="541"/>
      <c r="L72" s="541"/>
      <c r="M72" s="541"/>
      <c r="N72" s="541"/>
      <c r="O72" s="541"/>
      <c r="P72" s="541"/>
      <c r="Q72" s="541"/>
      <c r="R72" s="541"/>
      <c r="S72" s="541"/>
      <c r="T72" s="541"/>
      <c r="U72" s="541"/>
      <c r="V72" s="541"/>
      <c r="W72" s="541"/>
      <c r="X72" s="541"/>
      <c r="Y72" s="541"/>
      <c r="Z72" s="541"/>
      <c r="AA72" s="541"/>
      <c r="AB72" s="541"/>
      <c r="AC72" s="541"/>
      <c r="AD72" s="541"/>
      <c r="AE72" s="541"/>
      <c r="AF72" s="541"/>
      <c r="AG72" s="541"/>
      <c r="AH72" s="541"/>
      <c r="AI72" s="541"/>
      <c r="AJ72" s="541"/>
      <c r="AK72" s="541"/>
      <c r="AL72" s="541"/>
      <c r="AM72" s="541"/>
      <c r="AN72" s="541"/>
      <c r="AO72" s="541"/>
      <c r="AP72" s="541"/>
      <c r="AQ72" s="541"/>
      <c r="AR72" s="541"/>
      <c r="AS72" s="541"/>
      <c r="AT72" s="541"/>
      <c r="AU72" s="541"/>
      <c r="AV72" s="541"/>
      <c r="AW72" s="541"/>
      <c r="AX72" s="541"/>
      <c r="AY72" s="541"/>
      <c r="AZ72" s="541"/>
      <c r="BA72" s="541"/>
      <c r="BB72" s="541"/>
      <c r="BC72" s="541"/>
      <c r="BD72" s="541"/>
      <c r="BE72" s="541"/>
      <c r="BF72" s="541"/>
      <c r="BG72" s="541"/>
      <c r="BH72" s="541"/>
      <c r="BI72" s="541"/>
      <c r="BJ72" s="541"/>
      <c r="BK72" s="541"/>
      <c r="BL72" s="541"/>
      <c r="BM72" s="541"/>
      <c r="BN72" s="541"/>
      <c r="BO72" s="541"/>
      <c r="BP72" s="541"/>
      <c r="BQ72" s="541"/>
      <c r="BR72" s="541"/>
      <c r="BS72" s="541"/>
      <c r="BT72" s="541"/>
      <c r="BU72" s="541"/>
      <c r="BV72" s="541"/>
      <c r="BW72" s="541"/>
      <c r="BX72" s="541"/>
      <c r="BY72" s="541"/>
      <c r="BZ72" s="541"/>
      <c r="CA72" s="541"/>
      <c r="CB72" s="541"/>
      <c r="CC72" s="541"/>
      <c r="CD72" s="541"/>
      <c r="CE72" s="541"/>
      <c r="CF72" s="541"/>
      <c r="CG72" s="541"/>
      <c r="CH72" s="541"/>
      <c r="CI72" s="541"/>
      <c r="CJ72" s="541"/>
      <c r="CK72" s="541"/>
      <c r="CL72" s="541"/>
      <c r="CM72" s="541"/>
      <c r="CN72" s="541"/>
      <c r="CO72" s="541"/>
      <c r="CP72" s="541"/>
      <c r="CQ72" s="541"/>
      <c r="CR72" s="541"/>
      <c r="CS72" s="541"/>
      <c r="CT72" s="541"/>
      <c r="CU72" s="541"/>
      <c r="CV72" s="541"/>
      <c r="CW72" s="541"/>
      <c r="CX72" s="541"/>
      <c r="CY72" s="541"/>
      <c r="CZ72" s="541"/>
      <c r="DA72" s="541"/>
      <c r="DB72" s="541"/>
      <c r="DC72" s="541"/>
      <c r="DD72" s="541"/>
      <c r="DE72" s="541"/>
      <c r="DF72" s="541"/>
      <c r="DG72" s="541"/>
      <c r="DH72" s="541"/>
      <c r="DI72" s="541"/>
      <c r="DJ72" s="541"/>
      <c r="DK72" s="541"/>
      <c r="DL72" s="541"/>
      <c r="DM72" s="541"/>
      <c r="DN72" s="541"/>
      <c r="DO72" s="541"/>
      <c r="DP72" s="541"/>
      <c r="DQ72" s="541"/>
      <c r="DR72" s="541"/>
      <c r="DS72" s="541"/>
      <c r="DT72" s="541"/>
      <c r="DU72" s="541"/>
      <c r="DV72" s="541"/>
      <c r="DW72" s="541"/>
      <c r="DX72" s="541"/>
      <c r="DY72" s="541"/>
      <c r="DZ72" s="541"/>
      <c r="EA72" s="541"/>
      <c r="EB72" s="541"/>
      <c r="EC72" s="541"/>
      <c r="ED72" s="541"/>
      <c r="EE72" s="541"/>
      <c r="EF72" s="541"/>
      <c r="EG72" s="541"/>
      <c r="EH72" s="541"/>
      <c r="EI72" s="541"/>
      <c r="EJ72" s="541"/>
      <c r="EK72" s="541"/>
      <c r="EL72" s="541"/>
      <c r="EM72" s="541"/>
      <c r="EN72" s="541"/>
      <c r="EO72" s="541"/>
      <c r="EP72" s="541"/>
      <c r="EQ72" s="541"/>
      <c r="ER72" s="541"/>
      <c r="ES72" s="541"/>
      <c r="ET72" s="541"/>
      <c r="EU72" s="541"/>
      <c r="EV72" s="541"/>
      <c r="EW72" s="541"/>
      <c r="EX72" s="541"/>
      <c r="EY72" s="541"/>
      <c r="EZ72" s="541"/>
      <c r="FA72" s="541"/>
      <c r="FB72" s="541"/>
      <c r="FC72" s="541"/>
      <c r="FD72" s="541"/>
      <c r="FE72" s="541"/>
      <c r="FF72" s="541"/>
      <c r="FG72" s="541"/>
      <c r="FH72" s="541"/>
      <c r="FI72" s="541"/>
      <c r="FJ72" s="541"/>
      <c r="FK72" s="541"/>
      <c r="FL72" s="541"/>
      <c r="FM72" s="541"/>
      <c r="FN72" s="541"/>
      <c r="FO72" s="541"/>
      <c r="FP72" s="541"/>
      <c r="FQ72" s="541"/>
      <c r="FR72" s="541"/>
      <c r="FS72" s="541"/>
      <c r="FT72" s="541"/>
      <c r="FU72" s="541"/>
      <c r="FV72" s="541"/>
      <c r="FW72" s="541"/>
      <c r="FX72" s="541"/>
      <c r="FY72" s="541"/>
      <c r="FZ72" s="541"/>
      <c r="GA72" s="541"/>
      <c r="GB72" s="541"/>
      <c r="GC72" s="541"/>
      <c r="GD72" s="541"/>
      <c r="GE72" s="541"/>
      <c r="GF72" s="541"/>
      <c r="GG72" s="541"/>
      <c r="GH72" s="541"/>
      <c r="GI72" s="541"/>
      <c r="GJ72" s="541"/>
      <c r="GK72" s="541"/>
      <c r="GL72" s="541"/>
      <c r="GM72" s="541"/>
      <c r="GN72" s="541"/>
      <c r="GO72" s="541"/>
      <c r="GP72" s="541"/>
      <c r="GQ72" s="541"/>
      <c r="GR72" s="541"/>
      <c r="GS72" s="541"/>
      <c r="GT72" s="541"/>
      <c r="GU72" s="541"/>
      <c r="GV72" s="541"/>
      <c r="GW72" s="541"/>
      <c r="GX72" s="541"/>
      <c r="GY72" s="541"/>
      <c r="GZ72" s="541"/>
      <c r="HA72" s="541"/>
      <c r="HB72" s="541"/>
      <c r="HC72" s="541"/>
      <c r="HD72" s="541"/>
      <c r="HE72" s="541"/>
      <c r="HF72" s="541"/>
      <c r="HG72" s="541"/>
      <c r="HH72" s="541"/>
      <c r="HI72" s="541"/>
      <c r="HJ72" s="541"/>
      <c r="HK72" s="541"/>
      <c r="HL72" s="541"/>
      <c r="HM72" s="541"/>
      <c r="HN72" s="541"/>
      <c r="HO72" s="541"/>
      <c r="HP72" s="541"/>
      <c r="HQ72" s="541"/>
      <c r="HR72" s="541"/>
      <c r="HS72" s="541"/>
      <c r="HT72" s="541"/>
      <c r="HU72" s="541"/>
      <c r="HV72" s="541"/>
      <c r="HW72" s="541"/>
      <c r="HX72" s="541"/>
      <c r="HY72" s="541"/>
      <c r="HZ72" s="541"/>
      <c r="IA72" s="541"/>
      <c r="IB72" s="541"/>
      <c r="IC72" s="541"/>
      <c r="ID72" s="541"/>
      <c r="IE72" s="541"/>
      <c r="IF72" s="541"/>
      <c r="IG72" s="541"/>
      <c r="IH72" s="541"/>
      <c r="II72" s="541"/>
      <c r="IJ72" s="541"/>
      <c r="IK72" s="541"/>
      <c r="IL72" s="541"/>
      <c r="IM72" s="541"/>
      <c r="IN72" s="541"/>
      <c r="IO72" s="541"/>
      <c r="IP72" s="541"/>
      <c r="IQ72" s="541"/>
      <c r="IR72" s="541"/>
      <c r="IS72" s="541"/>
    </row>
    <row r="73" spans="1:253" s="542" customFormat="1">
      <c r="A73" s="419" t="s">
        <v>638</v>
      </c>
      <c r="B73" s="416">
        <f>'Sources and Uses Budget'!$C72</f>
        <v>0</v>
      </c>
      <c r="C73" s="416">
        <f>'Sources and Uses Budget'!$C72</f>
        <v>0</v>
      </c>
      <c r="D73" s="420">
        <f t="shared" si="0"/>
        <v>0</v>
      </c>
      <c r="E73" s="418"/>
      <c r="F73" s="417"/>
      <c r="G73" s="548"/>
    </row>
    <row r="74" spans="1:253" s="542" customFormat="1">
      <c r="A74" s="419" t="s">
        <v>639</v>
      </c>
      <c r="B74" s="416">
        <f>'Sources and Uses Budget'!$C73</f>
        <v>0</v>
      </c>
      <c r="C74" s="416">
        <f>'Sources and Uses Budget'!$C73</f>
        <v>0</v>
      </c>
      <c r="D74" s="420">
        <f t="shared" si="0"/>
        <v>0</v>
      </c>
      <c r="E74" s="418"/>
      <c r="F74" s="417"/>
      <c r="G74" s="548"/>
    </row>
    <row r="75" spans="1:253" s="542" customFormat="1">
      <c r="A75" s="503" t="s">
        <v>1084</v>
      </c>
      <c r="B75" s="416">
        <f>'Sources and Uses Budget'!$C74</f>
        <v>0</v>
      </c>
      <c r="C75" s="416">
        <f>'Sources and Uses Budget'!$C74</f>
        <v>0</v>
      </c>
      <c r="D75" s="420">
        <f t="shared" si="0"/>
        <v>0</v>
      </c>
      <c r="E75" s="418"/>
      <c r="F75" s="417"/>
      <c r="G75" s="548"/>
    </row>
    <row r="76" spans="1:253" s="542" customFormat="1">
      <c r="A76" s="419" t="s">
        <v>640</v>
      </c>
      <c r="B76" s="416">
        <f>'Sources and Uses Budget'!$C75</f>
        <v>551245</v>
      </c>
      <c r="C76" s="416">
        <f>'Sources and Uses Budget'!$C75</f>
        <v>551245</v>
      </c>
      <c r="D76" s="420">
        <f t="shared" si="0"/>
        <v>0</v>
      </c>
      <c r="E76" s="418"/>
      <c r="F76" s="417"/>
      <c r="G76" s="548"/>
    </row>
    <row r="77" spans="1:253" s="542" customFormat="1">
      <c r="A77" s="422" t="s">
        <v>35</v>
      </c>
      <c r="B77" s="416">
        <f>'Sources and Uses Budget'!$C76</f>
        <v>0</v>
      </c>
      <c r="C77" s="416">
        <f>'Sources and Uses Budget'!$C76</f>
        <v>0</v>
      </c>
      <c r="D77" s="420">
        <f t="shared" si="0"/>
        <v>0</v>
      </c>
      <c r="E77" s="418"/>
      <c r="F77" s="417"/>
      <c r="G77" s="548"/>
    </row>
    <row r="78" spans="1:253" s="542" customFormat="1">
      <c r="A78" s="421" t="s">
        <v>641</v>
      </c>
      <c r="B78" s="420">
        <f>SUM(B73:B77)</f>
        <v>551245</v>
      </c>
      <c r="C78" s="420">
        <f>SUM(C73:C77)</f>
        <v>551245</v>
      </c>
      <c r="D78" s="420">
        <f t="shared" ref="D78:D106" si="1">C78-B78</f>
        <v>0</v>
      </c>
      <c r="E78" s="418"/>
      <c r="F78" s="417"/>
      <c r="G78" s="548"/>
    </row>
    <row r="79" spans="1:253" s="542" customFormat="1">
      <c r="A79" s="414" t="s">
        <v>1418</v>
      </c>
      <c r="B79" s="414"/>
      <c r="C79" s="414"/>
      <c r="D79" s="414"/>
      <c r="E79" s="434"/>
      <c r="F79" s="414"/>
      <c r="G79" s="548"/>
    </row>
    <row r="80" spans="1:253" s="542" customFormat="1">
      <c r="A80" s="856" t="s">
        <v>1420</v>
      </c>
      <c r="B80" s="416">
        <f>'Sources and Uses Budget'!$C79</f>
        <v>3309169</v>
      </c>
      <c r="C80" s="416">
        <f>'Sources and Uses Budget'!$C79</f>
        <v>3309169</v>
      </c>
      <c r="D80" s="420">
        <f t="shared" si="1"/>
        <v>0</v>
      </c>
      <c r="E80" s="418"/>
      <c r="F80" s="417"/>
      <c r="G80" s="548"/>
    </row>
    <row r="81" spans="1:7" s="542" customFormat="1">
      <c r="A81" s="856" t="s">
        <v>61</v>
      </c>
      <c r="B81" s="416">
        <f>'Sources and Uses Budget'!$C80</f>
        <v>590000</v>
      </c>
      <c r="C81" s="416">
        <f>'Sources and Uses Budget'!$C80</f>
        <v>590000</v>
      </c>
      <c r="D81" s="420">
        <f>C81-B81</f>
        <v>0</v>
      </c>
      <c r="E81" s="418"/>
      <c r="F81" s="417"/>
      <c r="G81" s="548"/>
    </row>
    <row r="82" spans="1:7" s="542" customFormat="1">
      <c r="A82" s="421" t="s">
        <v>1417</v>
      </c>
      <c r="B82" s="420">
        <f>SUM(B80:B81)</f>
        <v>3899169</v>
      </c>
      <c r="C82" s="420">
        <f>SUM(C80:C81)</f>
        <v>3899169</v>
      </c>
      <c r="D82" s="420">
        <f t="shared" si="1"/>
        <v>0</v>
      </c>
      <c r="E82" s="418"/>
      <c r="F82" s="417"/>
      <c r="G82" s="548"/>
    </row>
    <row r="83" spans="1:7" s="542" customFormat="1">
      <c r="A83" s="414" t="s">
        <v>823</v>
      </c>
      <c r="B83" s="414"/>
      <c r="C83" s="414"/>
      <c r="D83" s="414"/>
      <c r="E83" s="434"/>
      <c r="F83" s="414"/>
      <c r="G83" s="548"/>
    </row>
    <row r="84" spans="1:7" s="542" customFormat="1" ht="13.8" customHeight="1">
      <c r="A84" s="419" t="s">
        <v>824</v>
      </c>
      <c r="B84" s="416">
        <f>'Sources and Uses Budget'!$C83</f>
        <v>129918</v>
      </c>
      <c r="C84" s="416">
        <f>'Sources and Uses Budget'!$C83</f>
        <v>129918</v>
      </c>
      <c r="D84" s="420">
        <f t="shared" si="1"/>
        <v>0</v>
      </c>
      <c r="E84" s="418"/>
      <c r="F84" s="417"/>
      <c r="G84" s="548"/>
    </row>
    <row r="85" spans="1:7" s="542" customFormat="1">
      <c r="A85" s="419" t="s">
        <v>825</v>
      </c>
      <c r="B85" s="416">
        <f>'Sources and Uses Budget'!$C84</f>
        <v>650000</v>
      </c>
      <c r="C85" s="416">
        <f>'Sources and Uses Budget'!$C84</f>
        <v>650000</v>
      </c>
      <c r="D85" s="420">
        <f t="shared" si="1"/>
        <v>0</v>
      </c>
      <c r="E85" s="418"/>
      <c r="F85" s="417"/>
      <c r="G85" s="548"/>
    </row>
    <row r="86" spans="1:7" s="542" customFormat="1">
      <c r="A86" s="419" t="s">
        <v>826</v>
      </c>
      <c r="B86" s="416">
        <f>'Sources and Uses Budget'!$C85</f>
        <v>1439281</v>
      </c>
      <c r="C86" s="416">
        <f>'Sources and Uses Budget'!$C85</f>
        <v>1439281</v>
      </c>
      <c r="D86" s="420">
        <f t="shared" si="1"/>
        <v>0</v>
      </c>
      <c r="E86" s="418"/>
      <c r="F86" s="417"/>
      <c r="G86" s="548"/>
    </row>
    <row r="87" spans="1:7" s="542" customFormat="1">
      <c r="A87" s="419" t="s">
        <v>827</v>
      </c>
      <c r="B87" s="416">
        <f>'Sources and Uses Budget'!$C86</f>
        <v>1131402</v>
      </c>
      <c r="C87" s="416">
        <f>'Sources and Uses Budget'!$C86</f>
        <v>1131402</v>
      </c>
      <c r="D87" s="420">
        <f t="shared" si="1"/>
        <v>0</v>
      </c>
      <c r="E87" s="418"/>
      <c r="F87" s="417"/>
      <c r="G87" s="548"/>
    </row>
    <row r="88" spans="1:7" s="542" customFormat="1">
      <c r="A88" s="419" t="s">
        <v>828</v>
      </c>
      <c r="B88" s="416">
        <f>'Sources and Uses Budget'!$C87</f>
        <v>300000</v>
      </c>
      <c r="C88" s="416">
        <f>'Sources and Uses Budget'!$C87</f>
        <v>300000</v>
      </c>
      <c r="D88" s="420">
        <f t="shared" si="1"/>
        <v>0</v>
      </c>
      <c r="E88" s="418"/>
      <c r="F88" s="417"/>
      <c r="G88" s="548"/>
    </row>
    <row r="89" spans="1:7" s="542" customFormat="1">
      <c r="A89" s="419" t="s">
        <v>829</v>
      </c>
      <c r="B89" s="416">
        <f>'Sources and Uses Budget'!$C88</f>
        <v>200000</v>
      </c>
      <c r="C89" s="416">
        <f>'Sources and Uses Budget'!$C88</f>
        <v>200000</v>
      </c>
      <c r="D89" s="420">
        <f t="shared" si="1"/>
        <v>0</v>
      </c>
      <c r="E89" s="418"/>
      <c r="F89" s="417"/>
      <c r="G89" s="548"/>
    </row>
    <row r="90" spans="1:7" s="542" customFormat="1">
      <c r="A90" s="419" t="s">
        <v>830</v>
      </c>
      <c r="B90" s="416">
        <f>'Sources and Uses Budget'!$C89</f>
        <v>200000</v>
      </c>
      <c r="C90" s="416">
        <f>'Sources and Uses Budget'!$C89</f>
        <v>200000</v>
      </c>
      <c r="D90" s="420">
        <f t="shared" si="1"/>
        <v>0</v>
      </c>
      <c r="E90" s="418"/>
      <c r="F90" s="417"/>
      <c r="G90" s="548"/>
    </row>
    <row r="91" spans="1:7" s="542" customFormat="1">
      <c r="A91" s="419" t="s">
        <v>831</v>
      </c>
      <c r="B91" s="416">
        <f>'Sources and Uses Budget'!$C90</f>
        <v>12500</v>
      </c>
      <c r="C91" s="416">
        <f>'Sources and Uses Budget'!$C90</f>
        <v>12500</v>
      </c>
      <c r="D91" s="420">
        <f t="shared" si="1"/>
        <v>0</v>
      </c>
      <c r="E91" s="418"/>
      <c r="F91" s="417"/>
      <c r="G91" s="548"/>
    </row>
    <row r="92" spans="1:7" s="542" customFormat="1">
      <c r="A92" s="425" t="s">
        <v>390</v>
      </c>
      <c r="B92" s="416">
        <f>'Sources and Uses Budget'!$C91</f>
        <v>0</v>
      </c>
      <c r="C92" s="416">
        <f>'Sources and Uses Budget'!$C91</f>
        <v>0</v>
      </c>
      <c r="D92" s="420">
        <f t="shared" si="1"/>
        <v>0</v>
      </c>
      <c r="E92" s="418"/>
      <c r="F92" s="417"/>
      <c r="G92" s="548"/>
    </row>
    <row r="93" spans="1:7" s="542" customFormat="1">
      <c r="A93" s="855" t="s">
        <v>1419</v>
      </c>
      <c r="B93" s="416">
        <f>'Sources and Uses Budget'!$C92</f>
        <v>15000</v>
      </c>
      <c r="C93" s="416">
        <f>'Sources and Uses Budget'!$C92</f>
        <v>15000</v>
      </c>
      <c r="D93" s="420">
        <f t="shared" si="1"/>
        <v>0</v>
      </c>
      <c r="E93" s="418"/>
      <c r="F93" s="417"/>
      <c r="G93" s="548"/>
    </row>
    <row r="94" spans="1:7" s="542" customFormat="1">
      <c r="A94" s="422" t="s">
        <v>35</v>
      </c>
      <c r="B94" s="416">
        <f>'Sources and Uses Budget'!$C93</f>
        <v>120000</v>
      </c>
      <c r="C94" s="416">
        <f>'Sources and Uses Budget'!$C93</f>
        <v>120000</v>
      </c>
      <c r="D94" s="420">
        <f t="shared" si="1"/>
        <v>0</v>
      </c>
      <c r="E94" s="418"/>
      <c r="F94" s="417"/>
      <c r="G94" s="548"/>
    </row>
    <row r="95" spans="1:7" s="542" customFormat="1">
      <c r="A95" s="422" t="s">
        <v>35</v>
      </c>
      <c r="B95" s="416">
        <f>'Sources and Uses Budget'!$C94</f>
        <v>0</v>
      </c>
      <c r="C95" s="416">
        <f>'Sources and Uses Budget'!$C94</f>
        <v>0</v>
      </c>
      <c r="D95" s="420">
        <f t="shared" si="1"/>
        <v>0</v>
      </c>
      <c r="E95" s="418"/>
      <c r="F95" s="417"/>
      <c r="G95" s="548"/>
    </row>
    <row r="96" spans="1:7" s="542" customFormat="1">
      <c r="A96" s="422" t="s">
        <v>35</v>
      </c>
      <c r="B96" s="416">
        <f>'Sources and Uses Budget'!$C95</f>
        <v>0</v>
      </c>
      <c r="C96" s="416">
        <f>'Sources and Uses Budget'!$C95</f>
        <v>0</v>
      </c>
      <c r="D96" s="420">
        <f t="shared" si="1"/>
        <v>0</v>
      </c>
      <c r="E96" s="418"/>
      <c r="F96" s="417"/>
      <c r="G96" s="548"/>
    </row>
    <row r="97" spans="1:7" s="542" customFormat="1">
      <c r="A97" s="421" t="s">
        <v>832</v>
      </c>
      <c r="B97" s="420">
        <f>SUM(B84:B96)</f>
        <v>4198101</v>
      </c>
      <c r="C97" s="420">
        <f>SUM(C84:C96)</f>
        <v>4198101</v>
      </c>
      <c r="D97" s="420">
        <f t="shared" si="1"/>
        <v>0</v>
      </c>
      <c r="E97" s="418"/>
      <c r="F97" s="417"/>
      <c r="G97" s="548"/>
    </row>
    <row r="98" spans="1:7" s="542" customFormat="1">
      <c r="A98" s="421" t="s">
        <v>833</v>
      </c>
      <c r="B98" s="420">
        <f>SUM(B64+B71+B78+B82+B97)</f>
        <v>87060199</v>
      </c>
      <c r="C98" s="420">
        <f>SUM(C64+C71+C78+C82+C97)</f>
        <v>87060199</v>
      </c>
      <c r="D98" s="420">
        <f t="shared" si="1"/>
        <v>0</v>
      </c>
      <c r="E98" s="418"/>
      <c r="F98" s="417"/>
      <c r="G98" s="548"/>
    </row>
    <row r="99" spans="1:7" s="542" customFormat="1">
      <c r="A99" s="414" t="s">
        <v>834</v>
      </c>
      <c r="B99" s="414"/>
      <c r="C99" s="414"/>
      <c r="D99" s="414"/>
      <c r="E99" s="434"/>
      <c r="F99" s="414"/>
      <c r="G99" s="548"/>
    </row>
    <row r="100" spans="1:7" s="541" customFormat="1">
      <c r="A100" s="215" t="s">
        <v>835</v>
      </c>
      <c r="B100" s="416">
        <f>'Sources and Uses Budget'!$C99</f>
        <v>11768635</v>
      </c>
      <c r="C100" s="416">
        <f>'Sources and Uses Budget'!$C99</f>
        <v>11768635</v>
      </c>
      <c r="D100" s="420">
        <f t="shared" si="1"/>
        <v>0</v>
      </c>
      <c r="E100" s="418"/>
      <c r="F100" s="417"/>
      <c r="G100" s="546"/>
    </row>
    <row r="101" spans="1:7" s="541" customFormat="1">
      <c r="A101" s="435" t="s">
        <v>1998</v>
      </c>
      <c r="B101" s="416">
        <f>'Sources and Uses Budget'!$C100</f>
        <v>0</v>
      </c>
      <c r="C101" s="416">
        <f>'Sources and Uses Budget'!$C100</f>
        <v>0</v>
      </c>
      <c r="D101" s="420">
        <f t="shared" si="1"/>
        <v>0</v>
      </c>
      <c r="E101" s="418"/>
      <c r="F101" s="417"/>
      <c r="G101" s="546"/>
    </row>
    <row r="102" spans="1:7" s="541" customFormat="1">
      <c r="A102" s="215" t="s">
        <v>836</v>
      </c>
      <c r="B102" s="416">
        <f>'Sources and Uses Budget'!$C101</f>
        <v>0</v>
      </c>
      <c r="C102" s="416">
        <f>'Sources and Uses Budget'!$C101</f>
        <v>0</v>
      </c>
      <c r="D102" s="420">
        <f t="shared" si="1"/>
        <v>0</v>
      </c>
      <c r="E102" s="418"/>
      <c r="F102" s="417"/>
      <c r="G102" s="546"/>
    </row>
    <row r="103" spans="1:7" s="541" customFormat="1" ht="12" customHeight="1">
      <c r="A103" s="435" t="s">
        <v>1999</v>
      </c>
      <c r="B103" s="416">
        <f>'Sources and Uses Budget'!$C102</f>
        <v>0</v>
      </c>
      <c r="C103" s="416">
        <f>'Sources and Uses Budget'!$C102</f>
        <v>0</v>
      </c>
      <c r="D103" s="420">
        <f t="shared" si="1"/>
        <v>0</v>
      </c>
      <c r="E103" s="418"/>
      <c r="F103" s="417"/>
      <c r="G103" s="546"/>
    </row>
    <row r="104" spans="1:7" s="541" customFormat="1">
      <c r="A104" s="1800" t="str">
        <f>'Sources and Uses Budget'!A103</f>
        <v>Other: (Specify)</v>
      </c>
      <c r="B104" s="416">
        <f>'Sources and Uses Budget'!$C103</f>
        <v>0</v>
      </c>
      <c r="C104" s="416">
        <f>'Sources and Uses Budget'!$C103</f>
        <v>0</v>
      </c>
      <c r="D104" s="420">
        <f t="shared" si="1"/>
        <v>0</v>
      </c>
      <c r="E104" s="418"/>
      <c r="F104" s="417"/>
      <c r="G104" s="546"/>
    </row>
    <row r="105" spans="1:7" s="541" customFormat="1">
      <c r="A105" s="421" t="s">
        <v>837</v>
      </c>
      <c r="B105" s="420">
        <f>SUM(B100:B104)</f>
        <v>11768635</v>
      </c>
      <c r="C105" s="420">
        <f>SUM(C100:C104)</f>
        <v>11768635</v>
      </c>
      <c r="D105" s="420">
        <f t="shared" si="1"/>
        <v>0</v>
      </c>
      <c r="E105" s="418"/>
      <c r="F105" s="417"/>
      <c r="G105" s="546"/>
    </row>
    <row r="106" spans="1:7" s="541" customFormat="1">
      <c r="A106" s="421" t="s">
        <v>838</v>
      </c>
      <c r="B106" s="423">
        <f>SUM(B98+B105)</f>
        <v>98828834</v>
      </c>
      <c r="C106" s="423">
        <f>SUM(C98+C105)</f>
        <v>98828834</v>
      </c>
      <c r="D106" s="420">
        <f t="shared" si="1"/>
        <v>0</v>
      </c>
      <c r="E106" s="418"/>
      <c r="F106" s="417"/>
      <c r="G106" s="546"/>
    </row>
    <row r="107" spans="1:7" s="541" customFormat="1">
      <c r="A107" s="429" t="s">
        <v>839</v>
      </c>
      <c r="B107" s="430"/>
      <c r="C107" s="431"/>
      <c r="D107" s="433"/>
      <c r="E107" s="415"/>
      <c r="F107" s="428"/>
      <c r="G107" s="546"/>
    </row>
    <row r="108" spans="1:7" s="427" customFormat="1" ht="12" hidden="1" customHeight="1">
      <c r="A108" s="426"/>
    </row>
    <row r="109" spans="1:7" s="427" customFormat="1" ht="12" hidden="1" customHeight="1">
      <c r="A109" s="426"/>
    </row>
    <row r="110" spans="1:7" s="427" customFormat="1" ht="12" hidden="1" customHeight="1">
      <c r="A110" s="426"/>
    </row>
    <row r="111" spans="1:7" s="427" customFormat="1" ht="12" hidden="1" customHeight="1">
      <c r="A111" s="426"/>
    </row>
    <row r="112" spans="1:7" s="427" customFormat="1" ht="12" hidden="1" customHeight="1">
      <c r="A112" s="426"/>
    </row>
    <row r="113" spans="1:1" s="427" customFormat="1" ht="12" hidden="1" customHeight="1">
      <c r="A113" s="426"/>
    </row>
    <row r="114" spans="1:1" s="427" customFormat="1" ht="12" hidden="1" customHeight="1">
      <c r="A114" s="426"/>
    </row>
    <row r="115" spans="1:1" s="427" customFormat="1" ht="12" hidden="1" customHeight="1">
      <c r="A115" s="426"/>
    </row>
    <row r="116" spans="1:1" s="427" customFormat="1" ht="12" hidden="1" customHeight="1">
      <c r="A116" s="426"/>
    </row>
    <row r="117" spans="1:1" s="427" customFormat="1" ht="12" hidden="1" customHeight="1">
      <c r="A117" s="426"/>
    </row>
    <row r="118" spans="1:1" s="427" customFormat="1" ht="12" hidden="1" customHeight="1">
      <c r="A118" s="426"/>
    </row>
    <row r="119" spans="1:1" s="427" customFormat="1" ht="12" hidden="1" customHeight="1">
      <c r="A119" s="426"/>
    </row>
    <row r="120" spans="1:1" s="427" customFormat="1" ht="12" hidden="1" customHeight="1">
      <c r="A120" s="426"/>
    </row>
    <row r="121" spans="1:1" s="427" customFormat="1" ht="12" hidden="1" customHeight="1">
      <c r="A121" s="426"/>
    </row>
    <row r="122" spans="1:1" s="427" customFormat="1" ht="12" hidden="1" customHeight="1">
      <c r="A122" s="426"/>
    </row>
    <row r="123" spans="1:1" s="427" customFormat="1" ht="12" hidden="1" customHeight="1">
      <c r="A123" s="426"/>
    </row>
    <row r="124" spans="1:1" s="427" customFormat="1" ht="12" hidden="1" customHeight="1">
      <c r="A124" s="426"/>
    </row>
    <row r="125" spans="1:1" s="427" customFormat="1" ht="12" hidden="1" customHeight="1">
      <c r="A125" s="426"/>
    </row>
    <row r="126" spans="1:1" s="427" customFormat="1" ht="12" hidden="1" customHeight="1">
      <c r="A126" s="426"/>
    </row>
    <row r="127" spans="1:1" s="427" customFormat="1" ht="12" hidden="1" customHeight="1">
      <c r="A127" s="426"/>
    </row>
    <row r="128" spans="1:1" s="427" customFormat="1" ht="12" hidden="1" customHeight="1">
      <c r="A128" s="426"/>
    </row>
    <row r="129" spans="1:1" s="427" customFormat="1" ht="12" hidden="1" customHeight="1">
      <c r="A129" s="426"/>
    </row>
    <row r="130" spans="1:1" s="427" customFormat="1" ht="12" hidden="1" customHeight="1">
      <c r="A130" s="426"/>
    </row>
    <row r="131" spans="1:1" s="427" customFormat="1" ht="12" hidden="1" customHeight="1">
      <c r="A131" s="426"/>
    </row>
    <row r="132" spans="1:1" s="427" customFormat="1" ht="12" hidden="1" customHeight="1">
      <c r="A132" s="426"/>
    </row>
    <row r="133" spans="1:1" s="427" customFormat="1" ht="12" hidden="1" customHeight="1">
      <c r="A133" s="426"/>
    </row>
    <row r="134" spans="1:1" s="427" customFormat="1" ht="12" hidden="1" customHeight="1">
      <c r="A134" s="426"/>
    </row>
    <row r="135" spans="1:1" s="427" customFormat="1" ht="12" hidden="1" customHeight="1">
      <c r="A135" s="426"/>
    </row>
    <row r="136" spans="1:1" s="427" customFormat="1" ht="12" hidden="1" customHeight="1">
      <c r="A136" s="426"/>
    </row>
    <row r="137" spans="1:1" s="427" customFormat="1" ht="12" hidden="1" customHeight="1">
      <c r="A137" s="426"/>
    </row>
    <row r="138" spans="1:1" s="427" customFormat="1" ht="12" hidden="1" customHeight="1">
      <c r="A138" s="426"/>
    </row>
    <row r="139" spans="1:1" s="427" customFormat="1" ht="12" hidden="1" customHeight="1">
      <c r="A139" s="426"/>
    </row>
    <row r="140" spans="1:1" s="427" customFormat="1" ht="12" hidden="1" customHeight="1">
      <c r="A140" s="426"/>
    </row>
    <row r="141" spans="1:1" s="427" customFormat="1" ht="12" hidden="1" customHeight="1">
      <c r="A141" s="426"/>
    </row>
    <row r="142" spans="1:1" s="427" customFormat="1" ht="12" hidden="1" customHeight="1">
      <c r="A142" s="426"/>
    </row>
    <row r="143" spans="1:1" s="427" customFormat="1" ht="12" hidden="1" customHeight="1">
      <c r="A143" s="426"/>
    </row>
    <row r="144" spans="1:1" s="427" customFormat="1" ht="12" hidden="1" customHeight="1">
      <c r="A144" s="426"/>
    </row>
    <row r="145" spans="1:1" s="427" customFormat="1" ht="12" hidden="1" customHeight="1">
      <c r="A145" s="426"/>
    </row>
    <row r="146" spans="1:1" s="427" customFormat="1" ht="12" hidden="1" customHeight="1">
      <c r="A146" s="426"/>
    </row>
    <row r="147" spans="1:1" s="427" customFormat="1" ht="12" hidden="1" customHeight="1">
      <c r="A147" s="426"/>
    </row>
    <row r="148" spans="1:1" s="427" customFormat="1" ht="12" hidden="1" customHeight="1">
      <c r="A148" s="426"/>
    </row>
    <row r="149" spans="1:1" s="427" customFormat="1" ht="12" hidden="1" customHeight="1">
      <c r="A149" s="426"/>
    </row>
    <row r="150" spans="1:1" s="427" customFormat="1" ht="12" hidden="1" customHeight="1">
      <c r="A150" s="426"/>
    </row>
    <row r="151" spans="1:1" s="427" customFormat="1" ht="12" hidden="1" customHeight="1">
      <c r="A151" s="426"/>
    </row>
    <row r="152" spans="1:1" s="427" customFormat="1" ht="12" hidden="1" customHeight="1">
      <c r="A152" s="426"/>
    </row>
    <row r="153" spans="1:1" s="427" customFormat="1" ht="12" hidden="1" customHeight="1">
      <c r="A153" s="426"/>
    </row>
    <row r="154" spans="1:1" s="427" customFormat="1" ht="12" hidden="1" customHeight="1">
      <c r="A154" s="426"/>
    </row>
    <row r="155" spans="1:1" s="427" customFormat="1" ht="12" hidden="1" customHeight="1">
      <c r="A155" s="426"/>
    </row>
    <row r="156" spans="1:1" s="427" customFormat="1" ht="12" hidden="1" customHeight="1">
      <c r="A156" s="426"/>
    </row>
    <row r="157" spans="1:1" s="427" customFormat="1" ht="12" hidden="1" customHeight="1">
      <c r="A157" s="426"/>
    </row>
    <row r="158" spans="1:1" s="427" customFormat="1" ht="12" hidden="1" customHeight="1">
      <c r="A158" s="426"/>
    </row>
    <row r="159" spans="1:1" s="427" customFormat="1" ht="12" hidden="1" customHeight="1">
      <c r="A159" s="426"/>
    </row>
    <row r="160" spans="1:1" s="427" customFormat="1" ht="12" hidden="1" customHeight="1">
      <c r="A160" s="426"/>
    </row>
    <row r="161" spans="1:1" s="427" customFormat="1" ht="12" hidden="1" customHeight="1">
      <c r="A161" s="426"/>
    </row>
    <row r="162" spans="1:1" s="427" customFormat="1" ht="12" hidden="1" customHeight="1">
      <c r="A162" s="426"/>
    </row>
    <row r="163" spans="1:1" s="427" customFormat="1" ht="12" hidden="1" customHeight="1">
      <c r="A163" s="426"/>
    </row>
    <row r="164" spans="1:1" s="427" customFormat="1" ht="12" hidden="1" customHeight="1">
      <c r="A164" s="426"/>
    </row>
    <row r="165" spans="1:1" s="427" customFormat="1" ht="12" hidden="1" customHeight="1">
      <c r="A165" s="426"/>
    </row>
    <row r="166" spans="1:1" s="427" customFormat="1" ht="12" hidden="1" customHeight="1">
      <c r="A166" s="426"/>
    </row>
    <row r="167" spans="1:1" s="427" customFormat="1" ht="12" hidden="1" customHeight="1">
      <c r="A167" s="426"/>
    </row>
    <row r="168" spans="1:1" s="427" customFormat="1" ht="12" hidden="1" customHeight="1">
      <c r="A168" s="426"/>
    </row>
    <row r="169" spans="1:1" s="427" customFormat="1" ht="12" hidden="1" customHeight="1">
      <c r="A169" s="426"/>
    </row>
    <row r="170" spans="1:1" s="427" customFormat="1" ht="12" hidden="1" customHeight="1">
      <c r="A170" s="426"/>
    </row>
    <row r="171" spans="1:1" s="427" customFormat="1" ht="12" hidden="1" customHeight="1">
      <c r="A171" s="426"/>
    </row>
    <row r="172" spans="1:1" s="427" customFormat="1" ht="12" hidden="1" customHeight="1">
      <c r="A172" s="426"/>
    </row>
    <row r="173" spans="1:1" s="427" customFormat="1" ht="12" hidden="1" customHeight="1">
      <c r="A173" s="426"/>
    </row>
    <row r="174" spans="1:1" s="427" customFormat="1" ht="12" hidden="1" customHeight="1">
      <c r="A174" s="426"/>
    </row>
    <row r="175" spans="1:1" s="427" customFormat="1" ht="12" hidden="1" customHeight="1">
      <c r="A175" s="426"/>
    </row>
    <row r="176" spans="1:1" s="427" customFormat="1" ht="12" hidden="1" customHeight="1">
      <c r="A176" s="426"/>
    </row>
    <row r="177" spans="1:1" s="427" customFormat="1" ht="12" hidden="1" customHeight="1">
      <c r="A177" s="426"/>
    </row>
    <row r="178" spans="1:1" s="427" customFormat="1" ht="12" hidden="1" customHeight="1">
      <c r="A178" s="426"/>
    </row>
    <row r="179" spans="1:1" s="427" customFormat="1" ht="12" hidden="1" customHeight="1">
      <c r="A179" s="426"/>
    </row>
    <row r="180" spans="1:1" s="427" customFormat="1" ht="12" hidden="1" customHeight="1">
      <c r="A180" s="426"/>
    </row>
    <row r="181" spans="1:1" s="427" customFormat="1" ht="12" hidden="1" customHeight="1">
      <c r="A181" s="426"/>
    </row>
    <row r="182" spans="1:1" s="427" customFormat="1" ht="12" hidden="1" customHeight="1">
      <c r="A182" s="426"/>
    </row>
    <row r="183" spans="1:1" s="427" customFormat="1" ht="12" hidden="1" customHeight="1">
      <c r="A183" s="426"/>
    </row>
    <row r="184" spans="1:1" s="427" customFormat="1" ht="12" hidden="1" customHeight="1">
      <c r="A184" s="426"/>
    </row>
    <row r="185" spans="1:1" s="427" customFormat="1" ht="12" hidden="1" customHeight="1">
      <c r="A185" s="426"/>
    </row>
    <row r="186" spans="1:1" s="427" customFormat="1" ht="12" hidden="1" customHeight="1">
      <c r="A186" s="426"/>
    </row>
    <row r="187" spans="1:1" s="427" customFormat="1" ht="12" hidden="1" customHeight="1">
      <c r="A187" s="426"/>
    </row>
    <row r="188" spans="1:1" s="427" customFormat="1" ht="12" hidden="1" customHeight="1">
      <c r="A188" s="426"/>
    </row>
    <row r="189" spans="1:1" s="427" customFormat="1" ht="12" hidden="1" customHeight="1">
      <c r="A189" s="426"/>
    </row>
    <row r="190" spans="1:1" s="427" customFormat="1" ht="12" hidden="1" customHeight="1">
      <c r="A190" s="426"/>
    </row>
    <row r="191" spans="1:1" s="427" customFormat="1" ht="12" hidden="1" customHeight="1">
      <c r="A191" s="426"/>
    </row>
    <row r="192" spans="1:1" s="427" customFormat="1" ht="12" hidden="1" customHeight="1">
      <c r="A192" s="426"/>
    </row>
    <row r="193" spans="1:1" s="427" customFormat="1" ht="12" hidden="1" customHeight="1">
      <c r="A193" s="426"/>
    </row>
    <row r="194" spans="1:1" s="427" customFormat="1" ht="12" hidden="1" customHeight="1">
      <c r="A194" s="426"/>
    </row>
    <row r="195" spans="1:1" s="427" customFormat="1" ht="12" hidden="1" customHeight="1">
      <c r="A195" s="426"/>
    </row>
    <row r="196" spans="1:1" s="427" customFormat="1" ht="12" hidden="1" customHeight="1">
      <c r="A196" s="426"/>
    </row>
    <row r="197" spans="1:1" s="427" customFormat="1" ht="12" hidden="1" customHeight="1">
      <c r="A197" s="426"/>
    </row>
    <row r="198" spans="1:1" s="427" customFormat="1" ht="12" hidden="1" customHeight="1">
      <c r="A198" s="426"/>
    </row>
    <row r="199" spans="1:1" s="427" customFormat="1" ht="12" hidden="1" customHeight="1">
      <c r="A199" s="426"/>
    </row>
    <row r="200" spans="1:1" s="427" customFormat="1" ht="12" hidden="1" customHeight="1">
      <c r="A200" s="426"/>
    </row>
    <row r="201" spans="1:1" s="427" customFormat="1" ht="12" hidden="1" customHeight="1">
      <c r="A201" s="426"/>
    </row>
    <row r="202" spans="1:1" s="427" customFormat="1" ht="12" hidden="1" customHeight="1">
      <c r="A202" s="426"/>
    </row>
    <row r="203" spans="1:1" s="427" customFormat="1" ht="12" hidden="1" customHeight="1">
      <c r="A203" s="426"/>
    </row>
    <row r="204" spans="1:1" s="427" customFormat="1" ht="12" hidden="1" customHeight="1">
      <c r="A204" s="426"/>
    </row>
    <row r="205" spans="1:1" s="427" customFormat="1" ht="12" hidden="1" customHeight="1">
      <c r="A205" s="426"/>
    </row>
    <row r="206" spans="1:1" s="427" customFormat="1" ht="12" hidden="1" customHeight="1">
      <c r="A206" s="426"/>
    </row>
    <row r="207" spans="1:1" s="427" customFormat="1" ht="12" hidden="1" customHeight="1">
      <c r="A207" s="426"/>
    </row>
    <row r="208" spans="1:1" s="427" customFormat="1" ht="12" hidden="1" customHeight="1">
      <c r="A208" s="426"/>
    </row>
    <row r="209" spans="1:1" s="427" customFormat="1" ht="12" hidden="1" customHeight="1">
      <c r="A209" s="426"/>
    </row>
    <row r="210" spans="1:1" s="427" customFormat="1" ht="12" hidden="1" customHeight="1">
      <c r="A210" s="426"/>
    </row>
    <row r="211" spans="1:1" s="427" customFormat="1" ht="12" hidden="1" customHeight="1">
      <c r="A211" s="426"/>
    </row>
    <row r="212" spans="1:1" s="427" customFormat="1" ht="12" hidden="1" customHeight="1">
      <c r="A212" s="426"/>
    </row>
    <row r="213" spans="1:1" s="427" customFormat="1" ht="12" hidden="1" customHeight="1">
      <c r="A213" s="426"/>
    </row>
    <row r="214" spans="1:1" s="427" customFormat="1" ht="12" hidden="1" customHeight="1">
      <c r="A214" s="426"/>
    </row>
    <row r="215" spans="1:1" s="427" customFormat="1" ht="12" hidden="1" customHeight="1">
      <c r="A215" s="426"/>
    </row>
    <row r="216" spans="1:1" s="427" customFormat="1" ht="12" hidden="1" customHeight="1">
      <c r="A216" s="426"/>
    </row>
    <row r="217" spans="1:1" s="427" customFormat="1" ht="12" hidden="1" customHeight="1">
      <c r="A217" s="426"/>
    </row>
    <row r="218" spans="1:1" s="427" customFormat="1" ht="12" hidden="1" customHeight="1">
      <c r="A218" s="426"/>
    </row>
    <row r="219" spans="1:1" s="427" customFormat="1" ht="12" hidden="1" customHeight="1">
      <c r="A219" s="426"/>
    </row>
    <row r="220" spans="1:1" s="427" customFormat="1" ht="12" hidden="1" customHeight="1">
      <c r="A220" s="426"/>
    </row>
    <row r="221" spans="1:1" s="427" customFormat="1" ht="12" hidden="1" customHeight="1">
      <c r="A221" s="426"/>
    </row>
    <row r="222" spans="1:1" s="427" customFormat="1" ht="12" hidden="1" customHeight="1">
      <c r="A222" s="426"/>
    </row>
    <row r="223" spans="1:1" s="427" customFormat="1" ht="12" hidden="1" customHeight="1">
      <c r="A223" s="426"/>
    </row>
    <row r="224" spans="1:1" s="427" customFormat="1" ht="12" hidden="1" customHeight="1">
      <c r="A224" s="426"/>
    </row>
    <row r="225" spans="1:1" s="427" customFormat="1" ht="12" hidden="1" customHeight="1">
      <c r="A225" s="426"/>
    </row>
    <row r="226" spans="1:1" s="427" customFormat="1" ht="12" hidden="1" customHeight="1">
      <c r="A226" s="426"/>
    </row>
    <row r="227" spans="1:1" s="427" customFormat="1" ht="12" hidden="1" customHeight="1">
      <c r="A227" s="426"/>
    </row>
    <row r="228" spans="1:1" s="427" customFormat="1" ht="12" hidden="1" customHeight="1">
      <c r="A228" s="426"/>
    </row>
    <row r="229" spans="1:1" s="427" customFormat="1" ht="12" hidden="1" customHeight="1">
      <c r="A229" s="426"/>
    </row>
    <row r="230" spans="1:1" s="427" customFormat="1" ht="12" hidden="1" customHeight="1">
      <c r="A230" s="426"/>
    </row>
    <row r="231" spans="1:1" s="427" customFormat="1" ht="12" hidden="1" customHeight="1">
      <c r="A231" s="426"/>
    </row>
    <row r="232" spans="1:1" s="427" customFormat="1" ht="12" hidden="1" customHeight="1">
      <c r="A232" s="426"/>
    </row>
    <row r="233" spans="1:1" s="427" customFormat="1" ht="12" hidden="1" customHeight="1">
      <c r="A233" s="426"/>
    </row>
    <row r="234" spans="1:1" s="427" customFormat="1" ht="12" hidden="1" customHeight="1">
      <c r="A234" s="426"/>
    </row>
    <row r="235" spans="1:1" s="427" customFormat="1" ht="12" hidden="1" customHeight="1">
      <c r="A235" s="426"/>
    </row>
    <row r="236" spans="1:1" s="427" customFormat="1" ht="12" hidden="1" customHeight="1">
      <c r="A236" s="426"/>
    </row>
    <row r="237" spans="1:1" s="427" customFormat="1" ht="12" hidden="1" customHeight="1">
      <c r="A237" s="426"/>
    </row>
    <row r="238" spans="1:1" s="427" customFormat="1" ht="12" hidden="1" customHeight="1">
      <c r="A238" s="426"/>
    </row>
    <row r="239" spans="1:1" s="427" customFormat="1" ht="12" hidden="1" customHeight="1">
      <c r="A239" s="426"/>
    </row>
    <row r="240" spans="1:1" s="427" customFormat="1" ht="12" hidden="1" customHeight="1">
      <c r="A240" s="426"/>
    </row>
    <row r="241" spans="1:1" s="427" customFormat="1" ht="12" hidden="1" customHeight="1">
      <c r="A241" s="426"/>
    </row>
    <row r="242" spans="1:1" s="427" customFormat="1" ht="12" hidden="1" customHeight="1">
      <c r="A242" s="426"/>
    </row>
    <row r="243" spans="1:1" s="427" customFormat="1" ht="12" hidden="1" customHeight="1">
      <c r="A243" s="426"/>
    </row>
    <row r="244" spans="1:1" s="427" customFormat="1" ht="12" hidden="1" customHeight="1">
      <c r="A244" s="426"/>
    </row>
    <row r="245" spans="1:1" s="427" customFormat="1" ht="12" hidden="1" customHeight="1">
      <c r="A245" s="426"/>
    </row>
    <row r="246" spans="1:1" s="427" customFormat="1" ht="12" hidden="1" customHeight="1">
      <c r="A246" s="426"/>
    </row>
    <row r="247" spans="1:1" s="427" customFormat="1" ht="12" hidden="1" customHeight="1">
      <c r="A247" s="426"/>
    </row>
    <row r="248" spans="1:1" s="427" customFormat="1" ht="12" hidden="1" customHeight="1">
      <c r="A248" s="426"/>
    </row>
    <row r="249" spans="1:1" s="427" customFormat="1" ht="12" hidden="1" customHeight="1">
      <c r="A249" s="426"/>
    </row>
    <row r="250" spans="1:1" s="427" customFormat="1" ht="12" hidden="1" customHeight="1">
      <c r="A250" s="426"/>
    </row>
    <row r="251" spans="1:1" s="427" customFormat="1" ht="12" hidden="1" customHeight="1">
      <c r="A251" s="426"/>
    </row>
    <row r="252" spans="1:1" s="427" customFormat="1" ht="12" hidden="1" customHeight="1">
      <c r="A252" s="426"/>
    </row>
    <row r="253" spans="1:1" s="427" customFormat="1" ht="12" hidden="1" customHeight="1">
      <c r="A253" s="426"/>
    </row>
    <row r="254" spans="1:1" s="427" customFormat="1" ht="12" hidden="1" customHeight="1">
      <c r="A254" s="426"/>
    </row>
    <row r="255" spans="1:1" s="427" customFormat="1" ht="12" hidden="1" customHeight="1">
      <c r="A255" s="426"/>
    </row>
    <row r="256" spans="1:1" s="427" customFormat="1" ht="12" hidden="1" customHeight="1">
      <c r="A256" s="426"/>
    </row>
    <row r="257" spans="1:1" s="427" customFormat="1" ht="12" hidden="1" customHeight="1">
      <c r="A257" s="426"/>
    </row>
    <row r="258" spans="1:1" s="427" customFormat="1" ht="12" hidden="1" customHeight="1">
      <c r="A258" s="426"/>
    </row>
    <row r="259" spans="1:1" s="427" customFormat="1" ht="12" hidden="1" customHeight="1">
      <c r="A259" s="426"/>
    </row>
    <row r="260" spans="1:1" s="427" customFormat="1" ht="12" hidden="1" customHeight="1">
      <c r="A260" s="426"/>
    </row>
    <row r="261" spans="1:1" s="427" customFormat="1" ht="12" hidden="1" customHeight="1">
      <c r="A261" s="426"/>
    </row>
    <row r="262" spans="1:1" s="427" customFormat="1" ht="12" hidden="1" customHeight="1">
      <c r="A262" s="426"/>
    </row>
    <row r="263" spans="1:1" s="427" customFormat="1" ht="12" hidden="1" customHeight="1">
      <c r="A263" s="426"/>
    </row>
    <row r="264" spans="1:1" s="427" customFormat="1" ht="12" hidden="1" customHeight="1">
      <c r="A264" s="426"/>
    </row>
    <row r="265" spans="1:1" s="427" customFormat="1" ht="12" hidden="1" customHeight="1">
      <c r="A265" s="426"/>
    </row>
    <row r="266" spans="1:1" s="427" customFormat="1" ht="12" hidden="1" customHeight="1">
      <c r="A266" s="426"/>
    </row>
    <row r="267" spans="1:1" s="427" customFormat="1" ht="12" hidden="1" customHeight="1">
      <c r="A267" s="426"/>
    </row>
    <row r="268" spans="1:1" s="427" customFormat="1" ht="12" hidden="1" customHeight="1">
      <c r="A268" s="426"/>
    </row>
    <row r="269" spans="1:1" s="427" customFormat="1" ht="12" hidden="1" customHeight="1">
      <c r="A269" s="426"/>
    </row>
    <row r="270" spans="1:1" s="427" customFormat="1" ht="12" hidden="1" customHeight="1">
      <c r="A270" s="426"/>
    </row>
    <row r="271" spans="1:1" s="427" customFormat="1" ht="12" hidden="1" customHeight="1">
      <c r="A271" s="426"/>
    </row>
    <row r="272" spans="1:1" s="427" customFormat="1" ht="12" hidden="1" customHeight="1">
      <c r="A272" s="426"/>
    </row>
    <row r="273" spans="1:1" s="427" customFormat="1" ht="12" hidden="1" customHeight="1">
      <c r="A273" s="426"/>
    </row>
    <row r="274" spans="1:1" s="427" customFormat="1" ht="12" hidden="1" customHeight="1">
      <c r="A274" s="426"/>
    </row>
    <row r="275" spans="1:1" s="427" customFormat="1" ht="12" hidden="1" customHeight="1">
      <c r="A275" s="426"/>
    </row>
    <row r="276" spans="1:1" s="427" customFormat="1" ht="12" hidden="1" customHeight="1">
      <c r="A276" s="426"/>
    </row>
    <row r="277" spans="1:1" s="427" customFormat="1" ht="12" hidden="1" customHeight="1">
      <c r="A277" s="426"/>
    </row>
    <row r="278" spans="1:1" s="427" customFormat="1" ht="12" hidden="1" customHeight="1">
      <c r="A278" s="426"/>
    </row>
    <row r="279" spans="1:1" s="427" customFormat="1" ht="12" hidden="1" customHeight="1">
      <c r="A279" s="426"/>
    </row>
    <row r="280" spans="1:1" s="427" customFormat="1" ht="12" hidden="1" customHeight="1">
      <c r="A280" s="426"/>
    </row>
    <row r="281" spans="1:1" s="427" customFormat="1" ht="12" hidden="1" customHeight="1">
      <c r="A281" s="426"/>
    </row>
    <row r="282" spans="1:1" s="427" customFormat="1" ht="12" hidden="1" customHeight="1">
      <c r="A282" s="426"/>
    </row>
    <row r="283" spans="1:1" s="427" customFormat="1" ht="12" hidden="1" customHeight="1">
      <c r="A283" s="426"/>
    </row>
    <row r="284" spans="1:1" s="427" customFormat="1" ht="12" hidden="1" customHeight="1">
      <c r="A284" s="426"/>
    </row>
    <row r="285" spans="1:1" s="427" customFormat="1" ht="12" hidden="1" customHeight="1">
      <c r="A285" s="426"/>
    </row>
    <row r="286" spans="1:1" s="427" customFormat="1" ht="12" hidden="1" customHeight="1">
      <c r="A286" s="426"/>
    </row>
    <row r="287" spans="1:1" s="427" customFormat="1" ht="12" hidden="1" customHeight="1">
      <c r="A287" s="426"/>
    </row>
    <row r="288" spans="1:1" s="427" customFormat="1" ht="12" hidden="1" customHeight="1">
      <c r="A288" s="426"/>
    </row>
    <row r="289" spans="1:1" s="427" customFormat="1" ht="12" hidden="1" customHeight="1">
      <c r="A289" s="426"/>
    </row>
    <row r="290" spans="1:1" s="427" customFormat="1" ht="12" hidden="1" customHeight="1">
      <c r="A290" s="426"/>
    </row>
    <row r="291" spans="1:1" s="427" customFormat="1" ht="12" hidden="1" customHeight="1">
      <c r="A291" s="426"/>
    </row>
    <row r="292" spans="1:1" s="427" customFormat="1" ht="12" hidden="1" customHeight="1">
      <c r="A292" s="426"/>
    </row>
    <row r="293" spans="1:1" s="427" customFormat="1" ht="12" hidden="1" customHeight="1">
      <c r="A293" s="426"/>
    </row>
    <row r="294" spans="1:1" s="427" customFormat="1" ht="12" hidden="1" customHeight="1">
      <c r="A294" s="426"/>
    </row>
    <row r="295" spans="1:1" s="427" customFormat="1" ht="12" hidden="1" customHeight="1">
      <c r="A295" s="426"/>
    </row>
    <row r="296" spans="1:1" s="427" customFormat="1" ht="12" hidden="1" customHeight="1">
      <c r="A296" s="426"/>
    </row>
    <row r="297" spans="1:1" s="427" customFormat="1" ht="12" hidden="1" customHeight="1">
      <c r="A297" s="426"/>
    </row>
    <row r="298" spans="1:1" s="427" customFormat="1" ht="12" hidden="1" customHeight="1">
      <c r="A298" s="426"/>
    </row>
    <row r="299" spans="1:1" s="427" customFormat="1" ht="12" hidden="1" customHeight="1">
      <c r="A299" s="426"/>
    </row>
    <row r="300" spans="1:1" s="427" customFormat="1" ht="12" hidden="1" customHeight="1">
      <c r="A300" s="426"/>
    </row>
    <row r="301" spans="1:1" s="427" customFormat="1" ht="12" hidden="1" customHeight="1">
      <c r="A301" s="426"/>
    </row>
    <row r="302" spans="1:1" s="427" customFormat="1" ht="12" hidden="1" customHeight="1">
      <c r="A302" s="426"/>
    </row>
    <row r="303" spans="1:1" s="427" customFormat="1" ht="12" hidden="1" customHeight="1">
      <c r="A303" s="426"/>
    </row>
    <row r="304" spans="1:1" s="427" customFormat="1" ht="12" hidden="1" customHeight="1">
      <c r="A304" s="426"/>
    </row>
    <row r="305" spans="1:1" s="427" customFormat="1" ht="12" hidden="1" customHeight="1">
      <c r="A305" s="426"/>
    </row>
    <row r="306" spans="1:1" s="427" customFormat="1" ht="12" hidden="1" customHeight="1">
      <c r="A306" s="426"/>
    </row>
    <row r="307" spans="1:1" s="427" customFormat="1" ht="12" hidden="1" customHeight="1">
      <c r="A307" s="426"/>
    </row>
    <row r="308" spans="1:1" s="427" customFormat="1" ht="12" hidden="1" customHeight="1">
      <c r="A308" s="426"/>
    </row>
    <row r="309" spans="1:1" s="427" customFormat="1" ht="12" hidden="1" customHeight="1">
      <c r="A309" s="426"/>
    </row>
    <row r="310" spans="1:1" s="427" customFormat="1" ht="12" hidden="1" customHeight="1">
      <c r="A310" s="426"/>
    </row>
    <row r="311" spans="1:1" s="427" customFormat="1" ht="12" hidden="1" customHeight="1">
      <c r="A311" s="426"/>
    </row>
    <row r="312" spans="1:1" s="427" customFormat="1" ht="12" hidden="1" customHeight="1">
      <c r="A312" s="426"/>
    </row>
    <row r="313" spans="1:1" s="427" customFormat="1" ht="12" hidden="1" customHeight="1">
      <c r="A313" s="426"/>
    </row>
    <row r="314" spans="1:1" s="427" customFormat="1" ht="12" hidden="1" customHeight="1">
      <c r="A314" s="426"/>
    </row>
    <row r="315" spans="1:1" s="427" customFormat="1" ht="12" hidden="1" customHeight="1">
      <c r="A315" s="426"/>
    </row>
    <row r="316" spans="1:1" s="427" customFormat="1" ht="12" hidden="1" customHeight="1">
      <c r="A316" s="426"/>
    </row>
    <row r="317" spans="1:1" s="427" customFormat="1" ht="12" hidden="1" customHeight="1">
      <c r="A317" s="426"/>
    </row>
    <row r="318" spans="1:1" s="427" customFormat="1" ht="12" hidden="1" customHeight="1">
      <c r="A318" s="426"/>
    </row>
    <row r="319" spans="1:1" s="427" customFormat="1" ht="12" hidden="1" customHeight="1">
      <c r="A319" s="426"/>
    </row>
    <row r="320" spans="1:1" s="427" customFormat="1" ht="12" hidden="1" customHeight="1">
      <c r="A320" s="426"/>
    </row>
    <row r="321" spans="1:1" s="427" customFormat="1" ht="12" hidden="1" customHeight="1">
      <c r="A321" s="426"/>
    </row>
    <row r="322" spans="1:1" s="427" customFormat="1" ht="12" hidden="1" customHeight="1">
      <c r="A322" s="426"/>
    </row>
    <row r="323" spans="1:1" s="427" customFormat="1" ht="12" hidden="1" customHeight="1">
      <c r="A323" s="426"/>
    </row>
    <row r="324" spans="1:1" s="427" customFormat="1" ht="12" hidden="1" customHeight="1">
      <c r="A324" s="426"/>
    </row>
    <row r="325" spans="1:1" s="427" customFormat="1" ht="12" hidden="1" customHeight="1">
      <c r="A325" s="426"/>
    </row>
    <row r="326" spans="1:1" s="427" customFormat="1" ht="12" hidden="1" customHeight="1">
      <c r="A326" s="426"/>
    </row>
    <row r="327" spans="1:1" s="427" customFormat="1" ht="12" hidden="1" customHeight="1">
      <c r="A327" s="426"/>
    </row>
    <row r="328" spans="1:1" s="427" customFormat="1" ht="12" hidden="1" customHeight="1">
      <c r="A328" s="426"/>
    </row>
    <row r="329" spans="1:1" s="427" customFormat="1" ht="12" hidden="1" customHeight="1">
      <c r="A329" s="426"/>
    </row>
    <row r="330" spans="1:1" s="427" customFormat="1" ht="12" hidden="1" customHeight="1">
      <c r="A330" s="426"/>
    </row>
    <row r="331" spans="1:1" s="427" customFormat="1" ht="12" hidden="1" customHeight="1">
      <c r="A331" s="426"/>
    </row>
    <row r="332" spans="1:1" s="427" customFormat="1" ht="12" hidden="1" customHeight="1">
      <c r="A332" s="426"/>
    </row>
    <row r="333" spans="1:1" s="427" customFormat="1" ht="12" hidden="1" customHeight="1">
      <c r="A333" s="426"/>
    </row>
    <row r="334" spans="1:1" s="427" customFormat="1" ht="12" hidden="1" customHeight="1">
      <c r="A334" s="426"/>
    </row>
    <row r="335" spans="1:1" s="427" customFormat="1" ht="12" hidden="1" customHeight="1">
      <c r="A335" s="426"/>
    </row>
    <row r="336" spans="1:1" s="427" customFormat="1" ht="12" hidden="1" customHeight="1">
      <c r="A336" s="426"/>
    </row>
    <row r="337" spans="1:1" s="427" customFormat="1" ht="12" hidden="1" customHeight="1">
      <c r="A337" s="426"/>
    </row>
    <row r="338" spans="1:1" s="427" customFormat="1" ht="12" hidden="1" customHeight="1">
      <c r="A338" s="426"/>
    </row>
    <row r="339" spans="1:1" s="427" customFormat="1" ht="12" hidden="1" customHeight="1">
      <c r="A339" s="426"/>
    </row>
    <row r="340" spans="1:1" s="427" customFormat="1" ht="12" hidden="1" customHeight="1">
      <c r="A340" s="426"/>
    </row>
    <row r="341" spans="1:1" s="427" customFormat="1" ht="12" hidden="1" customHeight="1">
      <c r="A341" s="426"/>
    </row>
    <row r="342" spans="1:1" s="427" customFormat="1" ht="12" hidden="1" customHeight="1">
      <c r="A342" s="426"/>
    </row>
    <row r="343" spans="1:1" s="427" customFormat="1" ht="12" hidden="1" customHeight="1">
      <c r="A343" s="426"/>
    </row>
    <row r="344" spans="1:1" s="427" customFormat="1" ht="12" hidden="1" customHeight="1">
      <c r="A344" s="426"/>
    </row>
    <row r="345" spans="1:1" s="427" customFormat="1" ht="12" hidden="1" customHeight="1">
      <c r="A345" s="426"/>
    </row>
    <row r="346" spans="1:1" s="427" customFormat="1" ht="12" hidden="1" customHeight="1">
      <c r="A346" s="426"/>
    </row>
    <row r="347" spans="1:1" s="427" customFormat="1" ht="12" hidden="1" customHeight="1">
      <c r="A347" s="426"/>
    </row>
    <row r="348" spans="1:1" s="427" customFormat="1" ht="12" hidden="1" customHeight="1">
      <c r="A348" s="426"/>
    </row>
    <row r="349" spans="1:1" s="427" customFormat="1" ht="12" hidden="1" customHeight="1">
      <c r="A349" s="426"/>
    </row>
    <row r="350" spans="1:1" s="427" customFormat="1" ht="12" hidden="1" customHeight="1">
      <c r="A350" s="426"/>
    </row>
    <row r="351" spans="1:1" s="427" customFormat="1" ht="12" hidden="1" customHeight="1">
      <c r="A351" s="426"/>
    </row>
    <row r="352" spans="1:1" s="427" customFormat="1" ht="12" hidden="1" customHeight="1">
      <c r="A352" s="426"/>
    </row>
    <row r="353" spans="1:1" s="427" customFormat="1" ht="12" hidden="1" customHeight="1">
      <c r="A353" s="426"/>
    </row>
    <row r="354" spans="1:1" s="427" customFormat="1" ht="12" hidden="1" customHeight="1">
      <c r="A354" s="426"/>
    </row>
    <row r="355" spans="1:1" s="427" customFormat="1" ht="12" hidden="1" customHeight="1">
      <c r="A355" s="426"/>
    </row>
    <row r="356" spans="1:1" s="427" customFormat="1" ht="12" hidden="1" customHeight="1">
      <c r="A356" s="426"/>
    </row>
    <row r="357" spans="1:1" s="427" customFormat="1" ht="12" hidden="1" customHeight="1">
      <c r="A357" s="426"/>
    </row>
    <row r="358" spans="1:1" s="427" customFormat="1" ht="12" hidden="1" customHeight="1">
      <c r="A358" s="426"/>
    </row>
    <row r="359" spans="1:1" s="427" customFormat="1" ht="12" hidden="1" customHeight="1">
      <c r="A359" s="426"/>
    </row>
    <row r="360" spans="1:1" s="427" customFormat="1" ht="12" hidden="1" customHeight="1">
      <c r="A360" s="426"/>
    </row>
    <row r="361" spans="1:1" s="427" customFormat="1" ht="12" hidden="1" customHeight="1">
      <c r="A361" s="426"/>
    </row>
    <row r="362" spans="1:1" s="427" customFormat="1" ht="12" hidden="1" customHeight="1">
      <c r="A362" s="426"/>
    </row>
    <row r="363" spans="1:1" s="427" customFormat="1" ht="12" hidden="1" customHeight="1">
      <c r="A363" s="426"/>
    </row>
    <row r="364" spans="1:1" s="427" customFormat="1" ht="12" hidden="1" customHeight="1">
      <c r="A364" s="426"/>
    </row>
    <row r="365" spans="1:1" s="427" customFormat="1" ht="12" hidden="1" customHeight="1">
      <c r="A365" s="426"/>
    </row>
    <row r="366" spans="1:1" s="427" customFormat="1" ht="12" hidden="1" customHeight="1">
      <c r="A366" s="426"/>
    </row>
    <row r="367" spans="1:1" s="427" customFormat="1" ht="12" hidden="1" customHeight="1">
      <c r="A367" s="426"/>
    </row>
    <row r="368" spans="1:1" s="427" customFormat="1" ht="12" hidden="1" customHeight="1">
      <c r="A368" s="426"/>
    </row>
    <row r="369" spans="1:1" s="427" customFormat="1" ht="12" hidden="1" customHeight="1">
      <c r="A369" s="426"/>
    </row>
    <row r="370" spans="1:1" s="427" customFormat="1" ht="12" hidden="1" customHeight="1">
      <c r="A370" s="426"/>
    </row>
    <row r="371" spans="1:1" s="427" customFormat="1" ht="12" hidden="1" customHeight="1">
      <c r="A371" s="426"/>
    </row>
    <row r="372" spans="1:1" s="427" customFormat="1" ht="12" hidden="1" customHeight="1">
      <c r="A372" s="426"/>
    </row>
    <row r="373" spans="1:1" s="427" customFormat="1" ht="12" hidden="1" customHeight="1">
      <c r="A373" s="426"/>
    </row>
    <row r="374" spans="1:1" s="427" customFormat="1" ht="12" hidden="1" customHeight="1">
      <c r="A374" s="426"/>
    </row>
    <row r="375" spans="1:1" s="427" customFormat="1" ht="12" hidden="1" customHeight="1">
      <c r="A375" s="426"/>
    </row>
    <row r="376" spans="1:1" s="427" customFormat="1" ht="12" hidden="1" customHeight="1">
      <c r="A376" s="426"/>
    </row>
    <row r="377" spans="1:1" s="427" customFormat="1" ht="12" hidden="1" customHeight="1">
      <c r="A377" s="426"/>
    </row>
    <row r="378" spans="1:1" s="427" customFormat="1" ht="12" hidden="1" customHeight="1">
      <c r="A378" s="426"/>
    </row>
    <row r="379" spans="1:1" s="427" customFormat="1" ht="12" hidden="1" customHeight="1">
      <c r="A379" s="426"/>
    </row>
    <row r="380" spans="1:1" s="427" customFormat="1" ht="12" hidden="1" customHeight="1">
      <c r="A380" s="426"/>
    </row>
    <row r="381" spans="1:1" s="427" customFormat="1" ht="12" hidden="1" customHeight="1">
      <c r="A381" s="426"/>
    </row>
    <row r="382" spans="1:1" s="427" customFormat="1" ht="12" hidden="1" customHeight="1">
      <c r="A382" s="426"/>
    </row>
    <row r="383" spans="1:1" s="427" customFormat="1" ht="12" hidden="1" customHeight="1">
      <c r="A383" s="426"/>
    </row>
    <row r="384" spans="1:1" s="427" customFormat="1" ht="12" hidden="1" customHeight="1">
      <c r="A384" s="426"/>
    </row>
    <row r="385" spans="1:1" s="427" customFormat="1" ht="12" hidden="1" customHeight="1">
      <c r="A385" s="426"/>
    </row>
    <row r="386" spans="1:1" s="427" customFormat="1" ht="12" hidden="1" customHeight="1">
      <c r="A386" s="426"/>
    </row>
    <row r="387" spans="1:1" s="427" customFormat="1" ht="12" hidden="1" customHeight="1">
      <c r="A387" s="426"/>
    </row>
    <row r="388" spans="1:1" s="427" customFormat="1" ht="12" hidden="1" customHeight="1">
      <c r="A388" s="426"/>
    </row>
    <row r="389" spans="1:1" s="427" customFormat="1" ht="12" hidden="1" customHeight="1">
      <c r="A389" s="426"/>
    </row>
    <row r="390" spans="1:1" s="427" customFormat="1" ht="12" hidden="1" customHeight="1">
      <c r="A390" s="426"/>
    </row>
    <row r="391" spans="1:1" s="427" customFormat="1" ht="12" hidden="1" customHeight="1">
      <c r="A391" s="426"/>
    </row>
    <row r="392" spans="1:1" s="427" customFormat="1" ht="12" hidden="1" customHeight="1">
      <c r="A392" s="426"/>
    </row>
    <row r="393" spans="1:1" s="427" customFormat="1" ht="12" hidden="1" customHeight="1">
      <c r="A393" s="426"/>
    </row>
    <row r="394" spans="1:1" s="427" customFormat="1" ht="12" hidden="1" customHeight="1">
      <c r="A394" s="426"/>
    </row>
    <row r="395" spans="1:1" s="427" customFormat="1" ht="12" hidden="1" customHeight="1">
      <c r="A395" s="426"/>
    </row>
    <row r="396" spans="1:1" s="427" customFormat="1" ht="12" hidden="1" customHeight="1">
      <c r="A396" s="426"/>
    </row>
    <row r="397" spans="1:1" s="427" customFormat="1" ht="12" hidden="1" customHeight="1">
      <c r="A397" s="426"/>
    </row>
    <row r="398" spans="1:1" s="427" customFormat="1" ht="12" hidden="1" customHeight="1">
      <c r="A398" s="426"/>
    </row>
    <row r="399" spans="1:1" s="427" customFormat="1" ht="12" hidden="1" customHeight="1">
      <c r="A399" s="426"/>
    </row>
    <row r="400" spans="1:1" s="427" customFormat="1" ht="12" hidden="1" customHeight="1">
      <c r="A400" s="426"/>
    </row>
    <row r="401" spans="1:1" s="427" customFormat="1" ht="12" hidden="1" customHeight="1">
      <c r="A401" s="426"/>
    </row>
    <row r="402" spans="1:1" s="427" customFormat="1" ht="12" hidden="1" customHeight="1">
      <c r="A402" s="426"/>
    </row>
    <row r="403" spans="1:1" s="427" customFormat="1" ht="12" hidden="1" customHeight="1">
      <c r="A403" s="426"/>
    </row>
    <row r="404" spans="1:1" s="427" customFormat="1" ht="12" hidden="1" customHeight="1">
      <c r="A404" s="426"/>
    </row>
    <row r="405" spans="1:1" s="427" customFormat="1" ht="12" hidden="1" customHeight="1">
      <c r="A405" s="426"/>
    </row>
    <row r="406" spans="1:1" s="427" customFormat="1" ht="12" hidden="1" customHeight="1">
      <c r="A406" s="426"/>
    </row>
    <row r="407" spans="1:1" s="427" customFormat="1" ht="12" hidden="1" customHeight="1">
      <c r="A407" s="426"/>
    </row>
    <row r="408" spans="1:1" s="427" customFormat="1" ht="12" hidden="1" customHeight="1">
      <c r="A408" s="426"/>
    </row>
    <row r="409" spans="1:1" s="427" customFormat="1" ht="12" hidden="1" customHeight="1">
      <c r="A409" s="426"/>
    </row>
    <row r="410" spans="1:1" s="427" customFormat="1" ht="12" hidden="1" customHeight="1">
      <c r="A410" s="426"/>
    </row>
    <row r="411" spans="1:1" s="427" customFormat="1" ht="12" hidden="1" customHeight="1">
      <c r="A411" s="426"/>
    </row>
    <row r="412" spans="1:1" s="427" customFormat="1" ht="12" hidden="1" customHeight="1">
      <c r="A412" s="426"/>
    </row>
    <row r="413" spans="1:1" s="427" customFormat="1" ht="12" hidden="1" customHeight="1">
      <c r="A413" s="426"/>
    </row>
    <row r="414" spans="1:1" s="427" customFormat="1" ht="12" hidden="1" customHeight="1">
      <c r="A414" s="426"/>
    </row>
    <row r="415" spans="1:1" s="427" customFormat="1" ht="12" hidden="1" customHeight="1">
      <c r="A415" s="426"/>
    </row>
    <row r="416" spans="1:1" s="427" customFormat="1" ht="12" hidden="1" customHeight="1">
      <c r="A416" s="426"/>
    </row>
    <row r="417" spans="1:1" s="427" customFormat="1" ht="12" hidden="1" customHeight="1">
      <c r="A417" s="426"/>
    </row>
    <row r="418" spans="1:1" s="427" customFormat="1" ht="12" hidden="1" customHeight="1">
      <c r="A418" s="426"/>
    </row>
    <row r="419" spans="1:1" s="427" customFormat="1" ht="12" hidden="1" customHeight="1">
      <c r="A419" s="426"/>
    </row>
    <row r="420" spans="1:1" s="427" customFormat="1" ht="12" hidden="1" customHeight="1">
      <c r="A420" s="426"/>
    </row>
    <row r="421" spans="1:1" s="427" customFormat="1" ht="12" hidden="1" customHeight="1">
      <c r="A421" s="426"/>
    </row>
    <row r="422" spans="1:1" s="427" customFormat="1" ht="12" hidden="1" customHeight="1">
      <c r="A422" s="426"/>
    </row>
    <row r="423" spans="1:1" s="427" customFormat="1" ht="12" hidden="1" customHeight="1">
      <c r="A423" s="426"/>
    </row>
    <row r="424" spans="1:1" s="427" customFormat="1" ht="12" hidden="1" customHeight="1">
      <c r="A424" s="426"/>
    </row>
    <row r="425" spans="1:1" s="427" customFormat="1" ht="12" hidden="1" customHeight="1">
      <c r="A425" s="426"/>
    </row>
    <row r="426" spans="1:1" s="427" customFormat="1" ht="12" hidden="1" customHeight="1">
      <c r="A426" s="426"/>
    </row>
    <row r="427" spans="1:1" s="427" customFormat="1" ht="12" hidden="1" customHeight="1">
      <c r="A427" s="426"/>
    </row>
    <row r="428" spans="1:1" s="427" customFormat="1" ht="12" hidden="1" customHeight="1">
      <c r="A428" s="426"/>
    </row>
    <row r="429" spans="1:1" s="427" customFormat="1" ht="12" hidden="1" customHeight="1">
      <c r="A429" s="426"/>
    </row>
    <row r="430" spans="1:1" s="427" customFormat="1" ht="12" hidden="1" customHeight="1">
      <c r="A430" s="426"/>
    </row>
    <row r="431" spans="1:1" s="427" customFormat="1" ht="12" hidden="1" customHeight="1">
      <c r="A431" s="426"/>
    </row>
    <row r="432" spans="1:1" s="427" customFormat="1" ht="12" hidden="1" customHeight="1">
      <c r="A432" s="426"/>
    </row>
    <row r="433" spans="1:1" s="427" customFormat="1" ht="12" hidden="1" customHeight="1">
      <c r="A433" s="426"/>
    </row>
    <row r="434" spans="1:1" s="427" customFormat="1" ht="12" hidden="1" customHeight="1">
      <c r="A434" s="426"/>
    </row>
    <row r="435" spans="1:1" s="427" customFormat="1" ht="12" hidden="1" customHeight="1">
      <c r="A435" s="426"/>
    </row>
    <row r="436" spans="1:1" s="427" customFormat="1" ht="12" hidden="1" customHeight="1">
      <c r="A436" s="426"/>
    </row>
    <row r="437" spans="1:1" s="427" customFormat="1" ht="12" hidden="1" customHeight="1">
      <c r="A437" s="426"/>
    </row>
    <row r="438" spans="1:1" s="427" customFormat="1" ht="12" hidden="1" customHeight="1">
      <c r="A438" s="426"/>
    </row>
    <row r="439" spans="1:1" s="427" customFormat="1" ht="12" hidden="1" customHeight="1">
      <c r="A439" s="426"/>
    </row>
    <row r="440" spans="1:1" s="427" customFormat="1" ht="12" hidden="1" customHeight="1">
      <c r="A440" s="426"/>
    </row>
    <row r="441" spans="1:1" s="427" customFormat="1" ht="12" hidden="1" customHeight="1">
      <c r="A441" s="426"/>
    </row>
    <row r="442" spans="1:1" s="427" customFormat="1" ht="12" hidden="1" customHeight="1">
      <c r="A442" s="426"/>
    </row>
    <row r="443" spans="1:1" s="427" customFormat="1" ht="12" hidden="1" customHeight="1">
      <c r="A443" s="426"/>
    </row>
    <row r="444" spans="1:1" s="427" customFormat="1" ht="12" hidden="1" customHeight="1">
      <c r="A444" s="426"/>
    </row>
    <row r="445" spans="1:1" s="427" customFormat="1" ht="12" hidden="1" customHeight="1">
      <c r="A445" s="426"/>
    </row>
    <row r="446" spans="1:1" s="427" customFormat="1" ht="12" hidden="1" customHeight="1">
      <c r="A446" s="426"/>
    </row>
    <row r="447" spans="1:1" s="427" customFormat="1" ht="12" hidden="1" customHeight="1">
      <c r="A447" s="426"/>
    </row>
    <row r="448" spans="1:1" s="427" customFormat="1" ht="12" hidden="1" customHeight="1">
      <c r="A448" s="426"/>
    </row>
    <row r="449" spans="1:1" s="427" customFormat="1" ht="12" hidden="1" customHeight="1">
      <c r="A449" s="426"/>
    </row>
    <row r="450" spans="1:1" s="427" customFormat="1" ht="12" hidden="1" customHeight="1">
      <c r="A450" s="426"/>
    </row>
    <row r="451" spans="1:1" s="427" customFormat="1" ht="12" hidden="1" customHeight="1">
      <c r="A451" s="426"/>
    </row>
    <row r="452" spans="1:1" s="427" customFormat="1" ht="12" hidden="1" customHeight="1">
      <c r="A452" s="426"/>
    </row>
    <row r="453" spans="1:1" s="427" customFormat="1" ht="12" hidden="1" customHeight="1">
      <c r="A453" s="426"/>
    </row>
    <row r="454" spans="1:1" s="427" customFormat="1" ht="12" hidden="1" customHeight="1">
      <c r="A454" s="426"/>
    </row>
    <row r="455" spans="1:1" s="427" customFormat="1" ht="12" hidden="1" customHeight="1">
      <c r="A455" s="426"/>
    </row>
    <row r="456" spans="1:1" s="427" customFormat="1" ht="12" hidden="1" customHeight="1">
      <c r="A456" s="426"/>
    </row>
    <row r="457" spans="1:1" s="427" customFormat="1" ht="12" hidden="1" customHeight="1">
      <c r="A457" s="426"/>
    </row>
    <row r="458" spans="1:1" s="427" customFormat="1" ht="12" hidden="1" customHeight="1">
      <c r="A458" s="426"/>
    </row>
    <row r="459" spans="1:1" s="427" customFormat="1" ht="12" hidden="1" customHeight="1">
      <c r="A459" s="426"/>
    </row>
    <row r="460" spans="1:1" s="427" customFormat="1" ht="12" hidden="1" customHeight="1">
      <c r="A460" s="426"/>
    </row>
    <row r="461" spans="1:1" s="427" customFormat="1" ht="12" hidden="1" customHeight="1">
      <c r="A461" s="426"/>
    </row>
    <row r="462" spans="1:1" s="427" customFormat="1" ht="12" hidden="1" customHeight="1">
      <c r="A462" s="426"/>
    </row>
    <row r="463" spans="1:1" s="427" customFormat="1" ht="12" hidden="1" customHeight="1">
      <c r="A463" s="426"/>
    </row>
    <row r="464" spans="1:1" s="427" customFormat="1" ht="12" hidden="1" customHeight="1">
      <c r="A464" s="426"/>
    </row>
    <row r="465" spans="1:1" s="427" customFormat="1" ht="12" hidden="1" customHeight="1">
      <c r="A465" s="426"/>
    </row>
    <row r="466" spans="1:1" s="427" customFormat="1" ht="12" hidden="1" customHeight="1">
      <c r="A466" s="426"/>
    </row>
    <row r="467" spans="1:1" s="427" customFormat="1" ht="12" hidden="1" customHeight="1">
      <c r="A467" s="426"/>
    </row>
    <row r="468" spans="1:1" s="427" customFormat="1" ht="12" hidden="1" customHeight="1">
      <c r="A468" s="426"/>
    </row>
    <row r="469" spans="1:1" s="427" customFormat="1" ht="12" hidden="1" customHeight="1">
      <c r="A469" s="426"/>
    </row>
    <row r="470" spans="1:1" s="427" customFormat="1" ht="12" hidden="1" customHeight="1">
      <c r="A470" s="426"/>
    </row>
    <row r="471" spans="1:1" s="427" customFormat="1" ht="12" hidden="1" customHeight="1">
      <c r="A471" s="426"/>
    </row>
    <row r="472" spans="1:1" s="427" customFormat="1" ht="12" hidden="1" customHeight="1">
      <c r="A472" s="426"/>
    </row>
    <row r="473" spans="1:1" s="427" customFormat="1" ht="12" hidden="1" customHeight="1">
      <c r="A473" s="426"/>
    </row>
    <row r="474" spans="1:1" s="427" customFormat="1" ht="12" hidden="1" customHeight="1">
      <c r="A474" s="426"/>
    </row>
    <row r="475" spans="1:1" s="427" customFormat="1" ht="12" hidden="1" customHeight="1">
      <c r="A475" s="426"/>
    </row>
    <row r="476" spans="1:1" s="427" customFormat="1" ht="12" hidden="1" customHeight="1">
      <c r="A476" s="426"/>
    </row>
    <row r="477" spans="1:1" s="427" customFormat="1" ht="12" hidden="1" customHeight="1">
      <c r="A477" s="426"/>
    </row>
    <row r="478" spans="1:1" s="427" customFormat="1" ht="12" hidden="1" customHeight="1">
      <c r="A478" s="426"/>
    </row>
    <row r="479" spans="1:1" s="427" customFormat="1" ht="12" hidden="1" customHeight="1">
      <c r="A479" s="426"/>
    </row>
    <row r="480" spans="1:1" s="427" customFormat="1" ht="12" hidden="1" customHeight="1">
      <c r="A480" s="426"/>
    </row>
    <row r="481" spans="1:1" s="427" customFormat="1" ht="12" hidden="1" customHeight="1">
      <c r="A481" s="426"/>
    </row>
    <row r="482" spans="1:1" s="427" customFormat="1" ht="12" hidden="1" customHeight="1">
      <c r="A482" s="426"/>
    </row>
    <row r="483" spans="1:1" s="427" customFormat="1" ht="12" hidden="1" customHeight="1">
      <c r="A483" s="426"/>
    </row>
    <row r="484" spans="1:1" s="427" customFormat="1" ht="12" hidden="1" customHeight="1">
      <c r="A484" s="426"/>
    </row>
    <row r="485" spans="1:1" s="427" customFormat="1" ht="12" hidden="1" customHeight="1">
      <c r="A485" s="426"/>
    </row>
    <row r="486" spans="1:1" s="427" customFormat="1" ht="12" hidden="1" customHeight="1">
      <c r="A486" s="426"/>
    </row>
    <row r="487" spans="1:1" s="427" customFormat="1" ht="12" hidden="1" customHeight="1">
      <c r="A487" s="426"/>
    </row>
    <row r="488" spans="1:1" s="427" customFormat="1" ht="12" hidden="1" customHeight="1">
      <c r="A488" s="426"/>
    </row>
    <row r="489" spans="1:1" s="427" customFormat="1" ht="12" hidden="1" customHeight="1">
      <c r="A489" s="426"/>
    </row>
    <row r="490" spans="1:1" s="427" customFormat="1" ht="12" hidden="1" customHeight="1">
      <c r="A490" s="426"/>
    </row>
    <row r="491" spans="1:1" s="427" customFormat="1" ht="12" hidden="1" customHeight="1">
      <c r="A491" s="426"/>
    </row>
    <row r="492" spans="1:1" s="427" customFormat="1" ht="12" hidden="1" customHeight="1">
      <c r="A492" s="426"/>
    </row>
    <row r="493" spans="1:1" s="427" customFormat="1" ht="12" hidden="1" customHeight="1">
      <c r="A493" s="426"/>
    </row>
    <row r="494" spans="1:1" s="427" customFormat="1" ht="12" hidden="1" customHeight="1">
      <c r="A494" s="426"/>
    </row>
    <row r="495" spans="1:1" s="427" customFormat="1" ht="12" hidden="1" customHeight="1">
      <c r="A495" s="426"/>
    </row>
    <row r="496" spans="1:1" s="427" customFormat="1" ht="12" hidden="1" customHeight="1">
      <c r="A496" s="426"/>
    </row>
    <row r="497" spans="1:1" s="427" customFormat="1" ht="12" hidden="1" customHeight="1">
      <c r="A497" s="426"/>
    </row>
    <row r="498" spans="1:1" s="427" customFormat="1" ht="12" hidden="1" customHeight="1">
      <c r="A498" s="426"/>
    </row>
    <row r="499" spans="1:1" s="427" customFormat="1" ht="12" hidden="1" customHeight="1">
      <c r="A499" s="426"/>
    </row>
    <row r="500" spans="1:1" s="427" customFormat="1" ht="12" hidden="1" customHeight="1">
      <c r="A500" s="426"/>
    </row>
    <row r="501" spans="1:1" s="427" customFormat="1" ht="12" hidden="1" customHeight="1">
      <c r="A501" s="426"/>
    </row>
    <row r="502" spans="1:1" s="427" customFormat="1" ht="12" hidden="1" customHeight="1">
      <c r="A502" s="426"/>
    </row>
    <row r="503" spans="1:1" s="427" customFormat="1" ht="12" hidden="1" customHeight="1">
      <c r="A503" s="426"/>
    </row>
    <row r="504" spans="1:1" s="427" customFormat="1" ht="12" hidden="1" customHeight="1">
      <c r="A504" s="426"/>
    </row>
    <row r="505" spans="1:1" s="427" customFormat="1" ht="12" hidden="1" customHeight="1">
      <c r="A505" s="426"/>
    </row>
    <row r="506" spans="1:1" s="427" customFormat="1" ht="12" hidden="1" customHeight="1">
      <c r="A506" s="426"/>
    </row>
    <row r="507" spans="1:1" s="427" customFormat="1" ht="12" hidden="1" customHeight="1">
      <c r="A507" s="426"/>
    </row>
    <row r="508" spans="1:1" s="427" customFormat="1" ht="12" hidden="1" customHeight="1">
      <c r="A508" s="426"/>
    </row>
    <row r="509" spans="1:1" s="427" customFormat="1" ht="12" hidden="1" customHeight="1">
      <c r="A509" s="426"/>
    </row>
    <row r="510" spans="1:1" s="427" customFormat="1" ht="12" hidden="1" customHeight="1">
      <c r="A510" s="426"/>
    </row>
    <row r="511" spans="1:1" s="427" customFormat="1" ht="12" hidden="1" customHeight="1">
      <c r="A511" s="426"/>
    </row>
    <row r="512" spans="1:1" s="427" customFormat="1" ht="12" hidden="1" customHeight="1">
      <c r="A512" s="426"/>
    </row>
    <row r="513" spans="1:1" s="427" customFormat="1" ht="12" hidden="1" customHeight="1">
      <c r="A513" s="426"/>
    </row>
    <row r="514" spans="1:1" s="427" customFormat="1" ht="12" hidden="1" customHeight="1">
      <c r="A514" s="426"/>
    </row>
    <row r="515" spans="1:1" s="427" customFormat="1" ht="12" hidden="1" customHeight="1">
      <c r="A515" s="426"/>
    </row>
    <row r="516" spans="1:1" s="427" customFormat="1" ht="12" hidden="1" customHeight="1">
      <c r="A516" s="426"/>
    </row>
    <row r="517" spans="1:1" s="427" customFormat="1" ht="12" hidden="1" customHeight="1">
      <c r="A517" s="426"/>
    </row>
    <row r="518" spans="1:1" s="427" customFormat="1" ht="12" hidden="1" customHeight="1">
      <c r="A518" s="426"/>
    </row>
    <row r="519" spans="1:1" s="427" customFormat="1" ht="12" hidden="1" customHeight="1">
      <c r="A519" s="426"/>
    </row>
    <row r="520" spans="1:1" s="427" customFormat="1" ht="12" hidden="1" customHeight="1">
      <c r="A520" s="426"/>
    </row>
    <row r="521" spans="1:1" s="427" customFormat="1" ht="12" hidden="1" customHeight="1">
      <c r="A521" s="426"/>
    </row>
    <row r="522" spans="1:1" s="427" customFormat="1" ht="12" hidden="1" customHeight="1">
      <c r="A522" s="426"/>
    </row>
    <row r="523" spans="1:1" s="427" customFormat="1" ht="12" hidden="1" customHeight="1">
      <c r="A523" s="426"/>
    </row>
    <row r="524" spans="1:1" s="427" customFormat="1" ht="12" hidden="1" customHeight="1">
      <c r="A524" s="426"/>
    </row>
    <row r="525" spans="1:1" s="427" customFormat="1" ht="12" hidden="1" customHeight="1">
      <c r="A525" s="426"/>
    </row>
    <row r="526" spans="1:1" s="427" customFormat="1" ht="12" hidden="1" customHeight="1">
      <c r="A526" s="426"/>
    </row>
    <row r="527" spans="1:1" s="427" customFormat="1" ht="12" hidden="1" customHeight="1">
      <c r="A527" s="426"/>
    </row>
    <row r="528" spans="1:1" s="427" customFormat="1" ht="12" hidden="1" customHeight="1">
      <c r="A528" s="426"/>
    </row>
    <row r="529" spans="1:1" s="427" customFormat="1" ht="12" hidden="1" customHeight="1">
      <c r="A529" s="426"/>
    </row>
    <row r="530" spans="1:1" s="427" customFormat="1" ht="12" hidden="1" customHeight="1">
      <c r="A530" s="426"/>
    </row>
    <row r="531" spans="1:1" s="427" customFormat="1" ht="12" hidden="1" customHeight="1">
      <c r="A531" s="426"/>
    </row>
    <row r="532" spans="1:1" s="427" customFormat="1" ht="12" hidden="1" customHeight="1">
      <c r="A532" s="426"/>
    </row>
    <row r="533" spans="1:1" s="427" customFormat="1" ht="12" hidden="1" customHeight="1">
      <c r="A533" s="426"/>
    </row>
    <row r="534" spans="1:1" s="427" customFormat="1" ht="12" hidden="1" customHeight="1">
      <c r="A534" s="426"/>
    </row>
    <row r="535" spans="1:1" s="427" customFormat="1" ht="12" hidden="1" customHeight="1">
      <c r="A535" s="426"/>
    </row>
    <row r="536" spans="1:1" s="427" customFormat="1" ht="12" hidden="1" customHeight="1">
      <c r="A536" s="426"/>
    </row>
    <row r="537" spans="1:1" s="427" customFormat="1" ht="12" hidden="1" customHeight="1">
      <c r="A537" s="426"/>
    </row>
    <row r="538" spans="1:1" s="427" customFormat="1" ht="12" hidden="1" customHeight="1">
      <c r="A538" s="426"/>
    </row>
    <row r="539" spans="1:1" s="427" customFormat="1" ht="12" hidden="1" customHeight="1">
      <c r="A539" s="426"/>
    </row>
    <row r="540" spans="1:1" s="427" customFormat="1" ht="12" hidden="1" customHeight="1">
      <c r="A540" s="426"/>
    </row>
    <row r="541" spans="1:1" s="427" customFormat="1" ht="12" hidden="1" customHeight="1">
      <c r="A541" s="426"/>
    </row>
    <row r="542" spans="1:1" s="427" customFormat="1" ht="12" hidden="1" customHeight="1">
      <c r="A542" s="426"/>
    </row>
    <row r="543" spans="1:1" s="427" customFormat="1" ht="12" hidden="1" customHeight="1">
      <c r="A543" s="426"/>
    </row>
    <row r="544" spans="1:1" s="427" customFormat="1" ht="12" hidden="1" customHeight="1">
      <c r="A544" s="426"/>
    </row>
    <row r="545" spans="1:1" s="427" customFormat="1" ht="12" hidden="1" customHeight="1">
      <c r="A545" s="426"/>
    </row>
    <row r="546" spans="1:1" s="427" customFormat="1" ht="12" hidden="1" customHeight="1">
      <c r="A546" s="426"/>
    </row>
    <row r="547" spans="1:1" s="427" customFormat="1" ht="12" hidden="1" customHeight="1">
      <c r="A547" s="426"/>
    </row>
    <row r="548" spans="1:1" s="427" customFormat="1" ht="12" hidden="1" customHeight="1">
      <c r="A548" s="426"/>
    </row>
    <row r="549" spans="1:1" s="427" customFormat="1" ht="12" hidden="1" customHeight="1">
      <c r="A549" s="426"/>
    </row>
    <row r="550" spans="1:1" s="427" customFormat="1" ht="12" hidden="1" customHeight="1">
      <c r="A550" s="426"/>
    </row>
    <row r="551" spans="1:1" s="427" customFormat="1" ht="12" hidden="1" customHeight="1">
      <c r="A551" s="426"/>
    </row>
    <row r="552" spans="1:1" s="427" customFormat="1" ht="12" hidden="1" customHeight="1">
      <c r="A552" s="426"/>
    </row>
    <row r="553" spans="1:1" s="427" customFormat="1" ht="12" hidden="1" customHeight="1">
      <c r="A553" s="426"/>
    </row>
    <row r="554" spans="1:1" s="427" customFormat="1" ht="12" hidden="1" customHeight="1">
      <c r="A554" s="426"/>
    </row>
    <row r="555" spans="1:1" s="427" customFormat="1" ht="12" hidden="1" customHeight="1">
      <c r="A555" s="426"/>
    </row>
    <row r="556" spans="1:1" s="427" customFormat="1" ht="12" hidden="1" customHeight="1">
      <c r="A556" s="426"/>
    </row>
    <row r="557" spans="1:1" s="427" customFormat="1" ht="12" hidden="1" customHeight="1">
      <c r="A557" s="426"/>
    </row>
    <row r="558" spans="1:1" s="427" customFormat="1" ht="12" hidden="1" customHeight="1">
      <c r="A558" s="426"/>
    </row>
    <row r="559" spans="1:1" s="427" customFormat="1" ht="12" hidden="1" customHeight="1">
      <c r="A559" s="426"/>
    </row>
    <row r="560" spans="1:1" s="427" customFormat="1" ht="12" hidden="1" customHeight="1">
      <c r="A560" s="426"/>
    </row>
    <row r="561" spans="1:1" s="427" customFormat="1" ht="12" hidden="1" customHeight="1">
      <c r="A561" s="426"/>
    </row>
    <row r="562" spans="1:1" s="427" customFormat="1" ht="12" hidden="1" customHeight="1">
      <c r="A562" s="426"/>
    </row>
    <row r="563" spans="1:1" s="427" customFormat="1" ht="12" hidden="1" customHeight="1">
      <c r="A563" s="426"/>
    </row>
    <row r="564" spans="1:1" s="427" customFormat="1" ht="12" hidden="1" customHeight="1">
      <c r="A564" s="426"/>
    </row>
    <row r="565" spans="1:1" s="427" customFormat="1" ht="12" hidden="1" customHeight="1">
      <c r="A565" s="426"/>
    </row>
    <row r="566" spans="1:1" s="427" customFormat="1" ht="12" hidden="1" customHeight="1">
      <c r="A566" s="426"/>
    </row>
    <row r="567" spans="1:1" s="427" customFormat="1" ht="12" hidden="1" customHeight="1">
      <c r="A567" s="426"/>
    </row>
    <row r="568" spans="1:1" s="427" customFormat="1" ht="12" hidden="1" customHeight="1">
      <c r="A568" s="426"/>
    </row>
    <row r="569" spans="1:1" s="427" customFormat="1" ht="12" hidden="1" customHeight="1">
      <c r="A569" s="426"/>
    </row>
    <row r="570" spans="1:1" s="427" customFormat="1" ht="12" hidden="1" customHeight="1">
      <c r="A570" s="426"/>
    </row>
    <row r="571" spans="1:1" s="427" customFormat="1" ht="12" hidden="1" customHeight="1">
      <c r="A571" s="426"/>
    </row>
    <row r="572" spans="1:1" s="427" customFormat="1" ht="12" hidden="1" customHeight="1">
      <c r="A572" s="426"/>
    </row>
    <row r="573" spans="1:1" s="427" customFormat="1" ht="12" hidden="1" customHeight="1">
      <c r="A573" s="426"/>
    </row>
    <row r="574" spans="1:1" s="427" customFormat="1" ht="12" hidden="1" customHeight="1">
      <c r="A574" s="426"/>
    </row>
    <row r="575" spans="1:1" s="427" customFormat="1" ht="12" hidden="1" customHeight="1">
      <c r="A575" s="426"/>
    </row>
    <row r="576" spans="1:1" s="427" customFormat="1" ht="12" hidden="1" customHeight="1">
      <c r="A576" s="426"/>
    </row>
    <row r="577" spans="1:1" s="427" customFormat="1" ht="12" hidden="1" customHeight="1">
      <c r="A577" s="426"/>
    </row>
    <row r="578" spans="1:1" s="427" customFormat="1" ht="12" hidden="1" customHeight="1">
      <c r="A578" s="426"/>
    </row>
    <row r="579" spans="1:1" s="427" customFormat="1" ht="12" hidden="1" customHeight="1">
      <c r="A579" s="426"/>
    </row>
    <row r="580" spans="1:1" s="427" customFormat="1" ht="12" hidden="1" customHeight="1">
      <c r="A580" s="426"/>
    </row>
    <row r="581" spans="1:1" s="427" customFormat="1" ht="12" hidden="1" customHeight="1">
      <c r="A581" s="426"/>
    </row>
    <row r="582" spans="1:1" s="427" customFormat="1" ht="12" hidden="1" customHeight="1">
      <c r="A582" s="426"/>
    </row>
    <row r="583" spans="1:1" s="427" customFormat="1" ht="12" hidden="1" customHeight="1">
      <c r="A583" s="426"/>
    </row>
    <row r="584" spans="1:1" s="427" customFormat="1" ht="12" hidden="1" customHeight="1">
      <c r="A584" s="426"/>
    </row>
    <row r="585" spans="1:1" s="427" customFormat="1" ht="12" hidden="1" customHeight="1">
      <c r="A585" s="426"/>
    </row>
    <row r="586" spans="1:1" s="427" customFormat="1" ht="12" hidden="1" customHeight="1">
      <c r="A586" s="426"/>
    </row>
    <row r="587" spans="1:1" s="427" customFormat="1" ht="12" hidden="1" customHeight="1">
      <c r="A587" s="426"/>
    </row>
    <row r="588" spans="1:1" s="427" customFormat="1" ht="12" hidden="1" customHeight="1">
      <c r="A588" s="426"/>
    </row>
    <row r="589" spans="1:1" s="427" customFormat="1" ht="12" hidden="1" customHeight="1">
      <c r="A589" s="426"/>
    </row>
    <row r="590" spans="1:1" s="427" customFormat="1" ht="12" hidden="1" customHeight="1">
      <c r="A590" s="426"/>
    </row>
    <row r="591" spans="1:1" s="427" customFormat="1" ht="12" hidden="1" customHeight="1">
      <c r="A591" s="426"/>
    </row>
    <row r="592" spans="1:1" s="427" customFormat="1" ht="12" hidden="1" customHeight="1">
      <c r="A592" s="426"/>
    </row>
    <row r="593" spans="1:1" s="427" customFormat="1" ht="12" hidden="1" customHeight="1">
      <c r="A593" s="426"/>
    </row>
    <row r="594" spans="1:1" s="427" customFormat="1" ht="12" hidden="1" customHeight="1">
      <c r="A594" s="426"/>
    </row>
    <row r="595" spans="1:1" s="427" customFormat="1" ht="12" hidden="1" customHeight="1">
      <c r="A595" s="426"/>
    </row>
    <row r="596" spans="1:1" s="427" customFormat="1" ht="12" hidden="1" customHeight="1">
      <c r="A596" s="426"/>
    </row>
    <row r="597" spans="1:1" s="427" customFormat="1" ht="12" hidden="1" customHeight="1">
      <c r="A597" s="426"/>
    </row>
    <row r="598" spans="1:1" s="427" customFormat="1" ht="12" hidden="1" customHeight="1">
      <c r="A598" s="426"/>
    </row>
    <row r="599" spans="1:1" s="427" customFormat="1" ht="12" hidden="1" customHeight="1">
      <c r="A599" s="426"/>
    </row>
    <row r="600" spans="1:1" s="427" customFormat="1" ht="12" hidden="1" customHeight="1">
      <c r="A600" s="426"/>
    </row>
    <row r="601" spans="1:1" s="427" customFormat="1" ht="12" hidden="1" customHeight="1">
      <c r="A601" s="426"/>
    </row>
    <row r="602" spans="1:1" s="427" customFormat="1" ht="12" hidden="1" customHeight="1">
      <c r="A602" s="426"/>
    </row>
    <row r="603" spans="1:1" s="427" customFormat="1" ht="12" hidden="1" customHeight="1">
      <c r="A603" s="426"/>
    </row>
    <row r="604" spans="1:1" s="427" customFormat="1" ht="12" hidden="1" customHeight="1">
      <c r="A604" s="426"/>
    </row>
    <row r="605" spans="1:1" s="427" customFormat="1" ht="12" hidden="1" customHeight="1">
      <c r="A605" s="426"/>
    </row>
    <row r="606" spans="1:1" s="427" customFormat="1" ht="12" hidden="1" customHeight="1">
      <c r="A606" s="426"/>
    </row>
    <row r="607" spans="1:1" s="427" customFormat="1" ht="12" hidden="1" customHeight="1">
      <c r="A607" s="426"/>
    </row>
    <row r="608" spans="1:1" s="427" customFormat="1" ht="12" hidden="1" customHeight="1">
      <c r="A608" s="426"/>
    </row>
    <row r="609" spans="1:1" s="427" customFormat="1" ht="12" hidden="1" customHeight="1">
      <c r="A609" s="426"/>
    </row>
    <row r="610" spans="1:1" s="427" customFormat="1" ht="12" hidden="1" customHeight="1">
      <c r="A610" s="426"/>
    </row>
    <row r="611" spans="1:1" s="427" customFormat="1" ht="12" hidden="1" customHeight="1">
      <c r="A611" s="426"/>
    </row>
    <row r="612" spans="1:1" s="427" customFormat="1" ht="12" hidden="1" customHeight="1">
      <c r="A612" s="426"/>
    </row>
    <row r="613" spans="1:1" s="427" customFormat="1" ht="12" hidden="1" customHeight="1">
      <c r="A613" s="426"/>
    </row>
    <row r="614" spans="1:1" s="427" customFormat="1" ht="12" hidden="1" customHeight="1">
      <c r="A614" s="426"/>
    </row>
    <row r="615" spans="1:1" s="427" customFormat="1" ht="12" hidden="1" customHeight="1">
      <c r="A615" s="426"/>
    </row>
    <row r="616" spans="1:1" s="427" customFormat="1" ht="12" hidden="1" customHeight="1">
      <c r="A616" s="426"/>
    </row>
    <row r="617" spans="1:1" s="427" customFormat="1" ht="12" hidden="1" customHeight="1">
      <c r="A617" s="426"/>
    </row>
    <row r="618" spans="1:1" s="427" customFormat="1" ht="12" hidden="1" customHeight="1">
      <c r="A618" s="426"/>
    </row>
    <row r="619" spans="1:1" s="427" customFormat="1" ht="12" hidden="1" customHeight="1">
      <c r="A619" s="426"/>
    </row>
    <row r="620" spans="1:1" s="427" customFormat="1" ht="12" hidden="1" customHeight="1">
      <c r="A620" s="426"/>
    </row>
    <row r="621" spans="1:1" s="427" customFormat="1" ht="12" hidden="1" customHeight="1">
      <c r="A621" s="426"/>
    </row>
    <row r="622" spans="1:1" s="427" customFormat="1" ht="12" hidden="1" customHeight="1">
      <c r="A622" s="426"/>
    </row>
    <row r="623" spans="1:1" s="427" customFormat="1" ht="12" hidden="1" customHeight="1">
      <c r="A623" s="426"/>
    </row>
    <row r="624" spans="1:1" s="427" customFormat="1" ht="12" hidden="1" customHeight="1">
      <c r="A624" s="426"/>
    </row>
    <row r="625" spans="1:1" s="427" customFormat="1" ht="12" hidden="1" customHeight="1">
      <c r="A625" s="426"/>
    </row>
    <row r="626" spans="1:1" s="427" customFormat="1" ht="12" hidden="1" customHeight="1">
      <c r="A626" s="426"/>
    </row>
    <row r="627" spans="1:1" s="427" customFormat="1" ht="12" hidden="1" customHeight="1">
      <c r="A627" s="426"/>
    </row>
    <row r="628" spans="1:1" s="427" customFormat="1" ht="12" hidden="1" customHeight="1">
      <c r="A628" s="426"/>
    </row>
    <row r="629" spans="1:1" s="427" customFormat="1" ht="12" hidden="1" customHeight="1">
      <c r="A629" s="426"/>
    </row>
    <row r="630" spans="1:1" s="427" customFormat="1" ht="12" hidden="1" customHeight="1">
      <c r="A630" s="426"/>
    </row>
    <row r="631" spans="1:1" s="427" customFormat="1" ht="12" hidden="1" customHeight="1">
      <c r="A631" s="426"/>
    </row>
    <row r="632" spans="1:1" s="427" customFormat="1" ht="12" hidden="1" customHeight="1">
      <c r="A632" s="426"/>
    </row>
    <row r="633" spans="1:1" s="427" customFormat="1" ht="12" hidden="1" customHeight="1">
      <c r="A633" s="426"/>
    </row>
    <row r="634" spans="1:1" s="427" customFormat="1" ht="12" hidden="1" customHeight="1">
      <c r="A634" s="426"/>
    </row>
    <row r="635" spans="1:1" s="427" customFormat="1" ht="12" hidden="1" customHeight="1">
      <c r="A635" s="426"/>
    </row>
    <row r="636" spans="1:1" s="427" customFormat="1" ht="12" hidden="1" customHeight="1">
      <c r="A636" s="426"/>
    </row>
    <row r="637" spans="1:1" s="427" customFormat="1" ht="12" hidden="1" customHeight="1">
      <c r="A637" s="426"/>
    </row>
    <row r="638" spans="1:1" s="427" customFormat="1" ht="12" hidden="1" customHeight="1">
      <c r="A638" s="426"/>
    </row>
    <row r="639" spans="1:1" s="427" customFormat="1" ht="12" hidden="1" customHeight="1">
      <c r="A639" s="426"/>
    </row>
    <row r="640" spans="1:1" s="427" customFormat="1" ht="12" hidden="1" customHeight="1">
      <c r="A640" s="426"/>
    </row>
    <row r="641" spans="1:1" s="427" customFormat="1" ht="12" hidden="1" customHeight="1">
      <c r="A641" s="426"/>
    </row>
    <row r="642" spans="1:1" s="427" customFormat="1" ht="12" hidden="1" customHeight="1">
      <c r="A642" s="426"/>
    </row>
    <row r="643" spans="1:1" s="427" customFormat="1" ht="12" hidden="1" customHeight="1">
      <c r="A643" s="426"/>
    </row>
    <row r="644" spans="1:1" s="427" customFormat="1" ht="12" hidden="1" customHeight="1">
      <c r="A644" s="426"/>
    </row>
    <row r="645" spans="1:1" s="427" customFormat="1" ht="12" hidden="1" customHeight="1">
      <c r="A645" s="426"/>
    </row>
    <row r="646" spans="1:1" s="427" customFormat="1" ht="12" hidden="1" customHeight="1">
      <c r="A646" s="426"/>
    </row>
    <row r="647" spans="1:1" s="427" customFormat="1" ht="12" hidden="1" customHeight="1">
      <c r="A647" s="426"/>
    </row>
    <row r="648" spans="1:1" s="427" customFormat="1" ht="12" hidden="1" customHeight="1">
      <c r="A648" s="426"/>
    </row>
    <row r="649" spans="1:1" s="427" customFormat="1" ht="12" hidden="1" customHeight="1">
      <c r="A649" s="426"/>
    </row>
    <row r="650" spans="1:1" s="427" customFormat="1" ht="12" hidden="1" customHeight="1">
      <c r="A650" s="426"/>
    </row>
    <row r="651" spans="1:1" s="427" customFormat="1" ht="12" hidden="1" customHeight="1">
      <c r="A651" s="426"/>
    </row>
    <row r="652" spans="1:1" s="427" customFormat="1" ht="12" hidden="1" customHeight="1">
      <c r="A652" s="426"/>
    </row>
    <row r="653" spans="1:1" s="427" customFormat="1" ht="12" hidden="1" customHeight="1">
      <c r="A653" s="426"/>
    </row>
    <row r="654" spans="1:1" s="427" customFormat="1" ht="12" hidden="1" customHeight="1">
      <c r="A654" s="426"/>
    </row>
    <row r="655" spans="1:1" s="427" customFormat="1" ht="12" hidden="1" customHeight="1">
      <c r="A655" s="426"/>
    </row>
    <row r="656" spans="1:1" s="427" customFormat="1" ht="12" hidden="1" customHeight="1">
      <c r="A656" s="426"/>
    </row>
    <row r="657" spans="1:1" s="427" customFormat="1" ht="12" hidden="1" customHeight="1">
      <c r="A657" s="426"/>
    </row>
    <row r="658" spans="1:1" s="427" customFormat="1" ht="12" hidden="1" customHeight="1">
      <c r="A658" s="426"/>
    </row>
    <row r="659" spans="1:1" s="427" customFormat="1" ht="12" hidden="1" customHeight="1">
      <c r="A659" s="426"/>
    </row>
    <row r="660" spans="1:1" s="427" customFormat="1" ht="12" hidden="1" customHeight="1">
      <c r="A660" s="426"/>
    </row>
    <row r="661" spans="1:1" s="427" customFormat="1" ht="12" hidden="1" customHeight="1">
      <c r="A661" s="426"/>
    </row>
    <row r="662" spans="1:1" s="427" customFormat="1" ht="12" hidden="1" customHeight="1">
      <c r="A662" s="426"/>
    </row>
    <row r="663" spans="1:1" s="427" customFormat="1" ht="12" hidden="1" customHeight="1">
      <c r="A663" s="426"/>
    </row>
    <row r="664" spans="1:1" s="427" customFormat="1" ht="12" hidden="1" customHeight="1">
      <c r="A664" s="426"/>
    </row>
    <row r="665" spans="1:1" s="427" customFormat="1" ht="12" hidden="1" customHeight="1">
      <c r="A665" s="426"/>
    </row>
    <row r="666" spans="1:1" s="427" customFormat="1" ht="12" hidden="1" customHeight="1">
      <c r="A666" s="426"/>
    </row>
    <row r="667" spans="1:1" s="427" customFormat="1" ht="12" hidden="1" customHeight="1">
      <c r="A667" s="426"/>
    </row>
    <row r="668" spans="1:1" s="427" customFormat="1" ht="12" hidden="1" customHeight="1">
      <c r="A668" s="426"/>
    </row>
    <row r="669" spans="1:1" s="427" customFormat="1" ht="12" hidden="1" customHeight="1">
      <c r="A669" s="426"/>
    </row>
    <row r="670" spans="1:1" s="427" customFormat="1" ht="12" hidden="1" customHeight="1">
      <c r="A670" s="426"/>
    </row>
    <row r="671" spans="1:1" s="427" customFormat="1" ht="12" hidden="1" customHeight="1">
      <c r="A671" s="426"/>
    </row>
    <row r="672" spans="1:1" s="427" customFormat="1" ht="12" hidden="1" customHeight="1">
      <c r="A672" s="426"/>
    </row>
    <row r="673" spans="1:1" s="427" customFormat="1" ht="12" hidden="1" customHeight="1">
      <c r="A673" s="426"/>
    </row>
    <row r="674" spans="1:1" s="427" customFormat="1" ht="12" hidden="1" customHeight="1">
      <c r="A674" s="426"/>
    </row>
    <row r="675" spans="1:1" s="427" customFormat="1" ht="12" hidden="1" customHeight="1">
      <c r="A675" s="426"/>
    </row>
    <row r="676" spans="1:1" s="427" customFormat="1" ht="12" hidden="1" customHeight="1">
      <c r="A676" s="426"/>
    </row>
    <row r="677" spans="1:1" s="427" customFormat="1" ht="12" hidden="1" customHeight="1">
      <c r="A677" s="426"/>
    </row>
    <row r="678" spans="1:1" s="427" customFormat="1" ht="12" hidden="1" customHeight="1">
      <c r="A678" s="426"/>
    </row>
    <row r="679" spans="1:1" s="427" customFormat="1" ht="12" hidden="1" customHeight="1">
      <c r="A679" s="426"/>
    </row>
    <row r="680" spans="1:1" s="427" customFormat="1" ht="12" hidden="1" customHeight="1">
      <c r="A680" s="426"/>
    </row>
    <row r="681" spans="1:1" s="427" customFormat="1" ht="12" hidden="1" customHeight="1">
      <c r="A681" s="426"/>
    </row>
    <row r="682" spans="1:1" s="427" customFormat="1" ht="12" hidden="1" customHeight="1">
      <c r="A682" s="426"/>
    </row>
    <row r="683" spans="1:1" s="427" customFormat="1" ht="12" hidden="1" customHeight="1">
      <c r="A683" s="426"/>
    </row>
    <row r="684" spans="1:1" s="427" customFormat="1" ht="12" hidden="1" customHeight="1">
      <c r="A684" s="426"/>
    </row>
    <row r="685" spans="1:1" s="427" customFormat="1" ht="12" hidden="1" customHeight="1">
      <c r="A685" s="426"/>
    </row>
    <row r="686" spans="1:1" s="427" customFormat="1" ht="12" hidden="1" customHeight="1">
      <c r="A686" s="426"/>
    </row>
    <row r="687" spans="1:1" s="427" customFormat="1" ht="12" hidden="1" customHeight="1">
      <c r="A687" s="426"/>
    </row>
    <row r="688" spans="1:1" s="427" customFormat="1" ht="12" hidden="1" customHeight="1">
      <c r="A688" s="426"/>
    </row>
    <row r="689" spans="1:1" s="427" customFormat="1" ht="12" hidden="1" customHeight="1">
      <c r="A689" s="426"/>
    </row>
    <row r="690" spans="1:1" s="427" customFormat="1" ht="12" hidden="1" customHeight="1">
      <c r="A690" s="426"/>
    </row>
    <row r="691" spans="1:1" s="427" customFormat="1" ht="12" hidden="1" customHeight="1">
      <c r="A691" s="426"/>
    </row>
    <row r="692" spans="1:1" s="427" customFormat="1" ht="12" hidden="1" customHeight="1">
      <c r="A692" s="426"/>
    </row>
    <row r="693" spans="1:1" s="427" customFormat="1" ht="12" hidden="1" customHeight="1">
      <c r="A693" s="426"/>
    </row>
    <row r="694" spans="1:1" s="427" customFormat="1" ht="12" hidden="1" customHeight="1">
      <c r="A694" s="426"/>
    </row>
    <row r="695" spans="1:1" s="427" customFormat="1" ht="12" hidden="1" customHeight="1">
      <c r="A695" s="426"/>
    </row>
    <row r="696" spans="1:1" s="427" customFormat="1" ht="12" hidden="1" customHeight="1">
      <c r="A696" s="426"/>
    </row>
    <row r="697" spans="1:1" s="427" customFormat="1" ht="12" hidden="1" customHeight="1">
      <c r="A697" s="426"/>
    </row>
    <row r="698" spans="1:1" s="427" customFormat="1" ht="12" hidden="1" customHeight="1">
      <c r="A698" s="426"/>
    </row>
    <row r="699" spans="1:1" s="427" customFormat="1" ht="12" hidden="1" customHeight="1">
      <c r="A699" s="426"/>
    </row>
    <row r="700" spans="1:1" s="427" customFormat="1" ht="12" hidden="1" customHeight="1">
      <c r="A700" s="426"/>
    </row>
    <row r="701" spans="1:1" s="427" customFormat="1" ht="12" hidden="1" customHeight="1">
      <c r="A701" s="426"/>
    </row>
    <row r="702" spans="1:1" s="427" customFormat="1" ht="12" hidden="1" customHeight="1">
      <c r="A702" s="426"/>
    </row>
    <row r="703" spans="1:1" s="427" customFormat="1" ht="12" hidden="1" customHeight="1">
      <c r="A703" s="426"/>
    </row>
    <row r="704" spans="1:1" s="427" customFormat="1" ht="12" hidden="1" customHeight="1">
      <c r="A704" s="426"/>
    </row>
    <row r="705" spans="1:1" s="427" customFormat="1" ht="12" hidden="1" customHeight="1">
      <c r="A705" s="426"/>
    </row>
    <row r="706" spans="1:1" s="427" customFormat="1" ht="12" hidden="1" customHeight="1">
      <c r="A706" s="426"/>
    </row>
    <row r="707" spans="1:1" s="427" customFormat="1" ht="12" hidden="1" customHeight="1">
      <c r="A707" s="426"/>
    </row>
    <row r="708" spans="1:1" s="427" customFormat="1" ht="12" hidden="1" customHeight="1">
      <c r="A708" s="426"/>
    </row>
    <row r="709" spans="1:1" s="427" customFormat="1" ht="12" hidden="1" customHeight="1">
      <c r="A709" s="426"/>
    </row>
    <row r="710" spans="1:1" s="427" customFormat="1" ht="12" hidden="1" customHeight="1">
      <c r="A710" s="426"/>
    </row>
    <row r="711" spans="1:1" s="427" customFormat="1" ht="12" hidden="1" customHeight="1">
      <c r="A711" s="426"/>
    </row>
    <row r="712" spans="1:1" s="427" customFormat="1" ht="12" hidden="1" customHeight="1">
      <c r="A712" s="426"/>
    </row>
    <row r="713" spans="1:1" s="427" customFormat="1" ht="12" hidden="1" customHeight="1">
      <c r="A713" s="426"/>
    </row>
    <row r="714" spans="1:1" s="427" customFormat="1" ht="12" hidden="1" customHeight="1">
      <c r="A714" s="426"/>
    </row>
    <row r="715" spans="1:1" s="427" customFormat="1" ht="12" hidden="1" customHeight="1">
      <c r="A715" s="426"/>
    </row>
    <row r="716" spans="1:1" s="427" customFormat="1" ht="12" hidden="1" customHeight="1">
      <c r="A716" s="426"/>
    </row>
    <row r="717" spans="1:1" s="427" customFormat="1" ht="12" hidden="1" customHeight="1">
      <c r="A717" s="426"/>
    </row>
    <row r="718" spans="1:1" s="427" customFormat="1" ht="12" hidden="1" customHeight="1">
      <c r="A718" s="426"/>
    </row>
    <row r="719" spans="1:1" s="427" customFormat="1" ht="12" hidden="1" customHeight="1">
      <c r="A719" s="426"/>
    </row>
    <row r="720" spans="1:1" s="427" customFormat="1" ht="12" hidden="1" customHeight="1">
      <c r="A720" s="426"/>
    </row>
    <row r="721" spans="1:1" s="427" customFormat="1" ht="12" hidden="1" customHeight="1">
      <c r="A721" s="426"/>
    </row>
    <row r="722" spans="1:1" s="427" customFormat="1" ht="12" hidden="1" customHeight="1">
      <c r="A722" s="426"/>
    </row>
    <row r="723" spans="1:1" s="427" customFormat="1" ht="12" hidden="1" customHeight="1">
      <c r="A723" s="426"/>
    </row>
    <row r="724" spans="1:1" s="427" customFormat="1" ht="12" hidden="1" customHeight="1">
      <c r="A724" s="426"/>
    </row>
    <row r="725" spans="1:1" s="427" customFormat="1" ht="12" hidden="1" customHeight="1">
      <c r="A725" s="426"/>
    </row>
    <row r="726" spans="1:1" s="427" customFormat="1" ht="12" hidden="1" customHeight="1">
      <c r="A726" s="426"/>
    </row>
    <row r="727" spans="1:1" s="427" customFormat="1" ht="12" hidden="1" customHeight="1">
      <c r="A727" s="426"/>
    </row>
    <row r="728" spans="1:1" s="427" customFormat="1" ht="12" hidden="1" customHeight="1">
      <c r="A728" s="426"/>
    </row>
    <row r="729" spans="1:1" s="427" customFormat="1" ht="12" hidden="1" customHeight="1">
      <c r="A729" s="426"/>
    </row>
    <row r="730" spans="1:1" s="427" customFormat="1" ht="12" hidden="1" customHeight="1">
      <c r="A730" s="426"/>
    </row>
    <row r="731" spans="1:1" s="427" customFormat="1" ht="12" hidden="1" customHeight="1">
      <c r="A731" s="426"/>
    </row>
    <row r="732" spans="1:1" s="427" customFormat="1" ht="12" hidden="1" customHeight="1">
      <c r="A732" s="426"/>
    </row>
    <row r="733" spans="1:1" s="427" customFormat="1" ht="12" hidden="1" customHeight="1">
      <c r="A733" s="426"/>
    </row>
    <row r="734" spans="1:1" s="427" customFormat="1" ht="12" hidden="1" customHeight="1">
      <c r="A734" s="426"/>
    </row>
    <row r="735" spans="1:1" s="427" customFormat="1" ht="12" hidden="1" customHeight="1">
      <c r="A735" s="426"/>
    </row>
    <row r="736" spans="1:1" s="427" customFormat="1" ht="12" hidden="1" customHeight="1">
      <c r="A736" s="426"/>
    </row>
    <row r="737" spans="1:1" s="427" customFormat="1" ht="12" hidden="1" customHeight="1">
      <c r="A737" s="426"/>
    </row>
    <row r="738" spans="1:1" s="427" customFormat="1" ht="12" hidden="1" customHeight="1">
      <c r="A738" s="426"/>
    </row>
    <row r="739" spans="1:1" s="427" customFormat="1" ht="12" hidden="1" customHeight="1">
      <c r="A739" s="426"/>
    </row>
    <row r="740" spans="1:1" s="427" customFormat="1" ht="12" hidden="1" customHeight="1">
      <c r="A740" s="426"/>
    </row>
    <row r="741" spans="1:1" s="427" customFormat="1" ht="12" hidden="1" customHeight="1">
      <c r="A741" s="426"/>
    </row>
    <row r="742" spans="1:1" s="427" customFormat="1" ht="12" hidden="1" customHeight="1">
      <c r="A742" s="426"/>
    </row>
    <row r="743" spans="1:1" s="427" customFormat="1" ht="12" hidden="1" customHeight="1">
      <c r="A743" s="426"/>
    </row>
    <row r="744" spans="1:1" s="427" customFormat="1" ht="12" hidden="1" customHeight="1">
      <c r="A744" s="426"/>
    </row>
    <row r="745" spans="1:1" s="427" customFormat="1" ht="12" hidden="1" customHeight="1">
      <c r="A745" s="426"/>
    </row>
    <row r="746" spans="1:1" s="427" customFormat="1" ht="12" hidden="1" customHeight="1">
      <c r="A746" s="426"/>
    </row>
    <row r="747" spans="1:1" s="427" customFormat="1" ht="12" hidden="1" customHeight="1">
      <c r="A747" s="426"/>
    </row>
    <row r="748" spans="1:1" s="427" customFormat="1" ht="12" hidden="1" customHeight="1">
      <c r="A748" s="426"/>
    </row>
    <row r="749" spans="1:1" s="427" customFormat="1" ht="12" hidden="1" customHeight="1">
      <c r="A749" s="426"/>
    </row>
    <row r="750" spans="1:1" s="427" customFormat="1" ht="12" hidden="1" customHeight="1">
      <c r="A750" s="426"/>
    </row>
    <row r="751" spans="1:1" s="427" customFormat="1" ht="12" hidden="1" customHeight="1">
      <c r="A751" s="426"/>
    </row>
    <row r="752" spans="1:1" s="427" customFormat="1" ht="12" hidden="1" customHeight="1">
      <c r="A752" s="426"/>
    </row>
    <row r="753" spans="1:1" s="427" customFormat="1" ht="12" hidden="1" customHeight="1">
      <c r="A753" s="426"/>
    </row>
    <row r="754" spans="1:1" s="427" customFormat="1" ht="12" hidden="1" customHeight="1">
      <c r="A754" s="426"/>
    </row>
    <row r="755" spans="1:1" s="427" customFormat="1" ht="12" hidden="1" customHeight="1">
      <c r="A755" s="426"/>
    </row>
    <row r="756" spans="1:1" s="427" customFormat="1" ht="12" hidden="1" customHeight="1">
      <c r="A756" s="426"/>
    </row>
    <row r="757" spans="1:1" s="427" customFormat="1" ht="12" hidden="1" customHeight="1">
      <c r="A757" s="426"/>
    </row>
    <row r="758" spans="1:1" s="427" customFormat="1" ht="12" hidden="1" customHeight="1">
      <c r="A758" s="426"/>
    </row>
    <row r="759" spans="1:1" s="427" customFormat="1" ht="12" hidden="1" customHeight="1">
      <c r="A759" s="426"/>
    </row>
    <row r="760" spans="1:1" s="427" customFormat="1" ht="12" hidden="1" customHeight="1">
      <c r="A760" s="426"/>
    </row>
    <row r="761" spans="1:1" s="427" customFormat="1" ht="12" hidden="1" customHeight="1">
      <c r="A761" s="426"/>
    </row>
    <row r="762" spans="1:1" s="427" customFormat="1" ht="12" hidden="1" customHeight="1">
      <c r="A762" s="426"/>
    </row>
    <row r="763" spans="1:1" s="427" customFormat="1" ht="12" hidden="1" customHeight="1">
      <c r="A763" s="426"/>
    </row>
    <row r="764" spans="1:1" s="427" customFormat="1" ht="12" hidden="1" customHeight="1">
      <c r="A764" s="426"/>
    </row>
    <row r="765" spans="1:1" s="427" customFormat="1" ht="12" hidden="1" customHeight="1">
      <c r="A765" s="426"/>
    </row>
    <row r="766" spans="1:1" s="427" customFormat="1" ht="12" hidden="1" customHeight="1">
      <c r="A766" s="426"/>
    </row>
    <row r="767" spans="1:1" s="427" customFormat="1" ht="12" hidden="1" customHeight="1">
      <c r="A767" s="426"/>
    </row>
    <row r="768" spans="1:1" s="427" customFormat="1" ht="12" hidden="1" customHeight="1">
      <c r="A768" s="426"/>
    </row>
    <row r="769" spans="1:1" s="427" customFormat="1" ht="12" hidden="1" customHeight="1">
      <c r="A769" s="426"/>
    </row>
    <row r="770" spans="1:1" s="427" customFormat="1" ht="12" hidden="1" customHeight="1">
      <c r="A770" s="426"/>
    </row>
    <row r="771" spans="1:1" s="427" customFormat="1" ht="12" hidden="1" customHeight="1">
      <c r="A771" s="426"/>
    </row>
    <row r="772" spans="1:1" s="427" customFormat="1" ht="12" hidden="1" customHeight="1">
      <c r="A772" s="426"/>
    </row>
    <row r="773" spans="1:1" s="427" customFormat="1" ht="12" hidden="1" customHeight="1">
      <c r="A773" s="426"/>
    </row>
    <row r="774" spans="1:1" s="427" customFormat="1" ht="12" hidden="1" customHeight="1">
      <c r="A774" s="426"/>
    </row>
    <row r="775" spans="1:1" s="427" customFormat="1" ht="12" hidden="1" customHeight="1">
      <c r="A775" s="426"/>
    </row>
    <row r="776" spans="1:1" s="427" customFormat="1" ht="12" hidden="1" customHeight="1">
      <c r="A776" s="426"/>
    </row>
    <row r="777" spans="1:1" s="427" customFormat="1" ht="12" hidden="1" customHeight="1">
      <c r="A777" s="426"/>
    </row>
    <row r="778" spans="1:1" s="427" customFormat="1" ht="12" hidden="1" customHeight="1">
      <c r="A778" s="426"/>
    </row>
    <row r="779" spans="1:1" s="427" customFormat="1" ht="12" hidden="1" customHeight="1">
      <c r="A779" s="426"/>
    </row>
    <row r="780" spans="1:1" s="427" customFormat="1" ht="12" hidden="1" customHeight="1">
      <c r="A780" s="426"/>
    </row>
    <row r="781" spans="1:1" s="427" customFormat="1" ht="12" hidden="1" customHeight="1">
      <c r="A781" s="426"/>
    </row>
    <row r="782" spans="1:1" s="427" customFormat="1" ht="12" hidden="1" customHeight="1">
      <c r="A782" s="426"/>
    </row>
    <row r="783" spans="1:1" s="427" customFormat="1" ht="12" hidden="1" customHeight="1">
      <c r="A783" s="426"/>
    </row>
    <row r="784" spans="1:1" s="427" customFormat="1" ht="12" hidden="1" customHeight="1">
      <c r="A784" s="426"/>
    </row>
    <row r="785" spans="1:1" s="427" customFormat="1" ht="12" hidden="1" customHeight="1">
      <c r="A785" s="426"/>
    </row>
    <row r="786" spans="1:1" s="427" customFormat="1" ht="12" hidden="1" customHeight="1">
      <c r="A786" s="426"/>
    </row>
    <row r="787" spans="1:1" s="427" customFormat="1" ht="12" hidden="1" customHeight="1">
      <c r="A787" s="426"/>
    </row>
    <row r="788" spans="1:1" s="427" customFormat="1" ht="12" hidden="1" customHeight="1">
      <c r="A788" s="426"/>
    </row>
    <row r="789" spans="1:1" s="427" customFormat="1" ht="12" hidden="1" customHeight="1">
      <c r="A789" s="426"/>
    </row>
    <row r="790" spans="1:1" s="427" customFormat="1" ht="12" hidden="1" customHeight="1">
      <c r="A790" s="426"/>
    </row>
    <row r="791" spans="1:1" s="427" customFormat="1" ht="12" hidden="1" customHeight="1">
      <c r="A791" s="426"/>
    </row>
    <row r="792" spans="1:1" s="427" customFormat="1" ht="12" hidden="1" customHeight="1">
      <c r="A792" s="426"/>
    </row>
    <row r="793" spans="1:1" s="427" customFormat="1" ht="12" hidden="1" customHeight="1">
      <c r="A793" s="426"/>
    </row>
    <row r="794" spans="1:1" s="427" customFormat="1" ht="12" hidden="1" customHeight="1">
      <c r="A794" s="426"/>
    </row>
    <row r="795" spans="1:1" s="427" customFormat="1" ht="12" hidden="1" customHeight="1">
      <c r="A795" s="426"/>
    </row>
    <row r="796" spans="1:1" s="427" customFormat="1" ht="12" hidden="1" customHeight="1">
      <c r="A796" s="426"/>
    </row>
    <row r="797" spans="1:1" s="427" customFormat="1" ht="12" hidden="1" customHeight="1">
      <c r="A797" s="426"/>
    </row>
    <row r="798" spans="1:1" s="427" customFormat="1" ht="12" hidden="1" customHeight="1">
      <c r="A798" s="426"/>
    </row>
    <row r="799" spans="1:1" s="427" customFormat="1" ht="12" hidden="1" customHeight="1">
      <c r="A799" s="426"/>
    </row>
    <row r="800" spans="1:1" s="427" customFormat="1" ht="12" hidden="1" customHeight="1">
      <c r="A800" s="426"/>
    </row>
    <row r="801" spans="1:1" s="427" customFormat="1" ht="12" hidden="1" customHeight="1">
      <c r="A801" s="426"/>
    </row>
    <row r="802" spans="1:1" s="427" customFormat="1" ht="12" hidden="1" customHeight="1">
      <c r="A802" s="426"/>
    </row>
    <row r="803" spans="1:1" s="427" customFormat="1" ht="12" hidden="1" customHeight="1">
      <c r="A803" s="426"/>
    </row>
    <row r="804" spans="1:1" s="427" customFormat="1" ht="12" hidden="1" customHeight="1">
      <c r="A804" s="426"/>
    </row>
    <row r="805" spans="1:1" s="427" customFormat="1" ht="12" hidden="1" customHeight="1">
      <c r="A805" s="426"/>
    </row>
    <row r="806" spans="1:1" s="427" customFormat="1" ht="12" hidden="1" customHeight="1">
      <c r="A806" s="426"/>
    </row>
    <row r="807" spans="1:1" s="427" customFormat="1" ht="12" hidden="1" customHeight="1">
      <c r="A807" s="426"/>
    </row>
    <row r="808" spans="1:1" s="427" customFormat="1" ht="12" hidden="1" customHeight="1">
      <c r="A808" s="426"/>
    </row>
    <row r="809" spans="1:1" s="427" customFormat="1" ht="12" hidden="1" customHeight="1">
      <c r="A809" s="426"/>
    </row>
    <row r="810" spans="1:1" s="427" customFormat="1" ht="12" hidden="1" customHeight="1">
      <c r="A810" s="426"/>
    </row>
    <row r="811" spans="1:1" s="427" customFormat="1" ht="12" hidden="1" customHeight="1">
      <c r="A811" s="426"/>
    </row>
    <row r="812" spans="1:1" s="427" customFormat="1" ht="12" hidden="1" customHeight="1">
      <c r="A812" s="426"/>
    </row>
    <row r="813" spans="1:1" s="427" customFormat="1" ht="12" hidden="1" customHeight="1">
      <c r="A813" s="426"/>
    </row>
    <row r="814" spans="1:1" s="427" customFormat="1" ht="12" hidden="1" customHeight="1">
      <c r="A814" s="426"/>
    </row>
    <row r="815" spans="1:1" s="427" customFormat="1" ht="12" hidden="1" customHeight="1">
      <c r="A815" s="426"/>
    </row>
    <row r="816" spans="1:1" s="427" customFormat="1" ht="12" hidden="1" customHeight="1">
      <c r="A816" s="426"/>
    </row>
    <row r="817" spans="1:1" s="427" customFormat="1" ht="12" hidden="1" customHeight="1">
      <c r="A817" s="426"/>
    </row>
    <row r="818" spans="1:1" s="427" customFormat="1" ht="12" hidden="1" customHeight="1">
      <c r="A818" s="426"/>
    </row>
    <row r="819" spans="1:1" s="427" customFormat="1" ht="12" hidden="1" customHeight="1">
      <c r="A819" s="426"/>
    </row>
    <row r="820" spans="1:1" s="427" customFormat="1" ht="12" hidden="1" customHeight="1">
      <c r="A820" s="426"/>
    </row>
    <row r="821" spans="1:1" s="427" customFormat="1" ht="12" hidden="1" customHeight="1">
      <c r="A821" s="426"/>
    </row>
    <row r="822" spans="1:1" s="427" customFormat="1" ht="12" hidden="1" customHeight="1">
      <c r="A822" s="426"/>
    </row>
    <row r="823" spans="1:1" s="427" customFormat="1" ht="12" hidden="1" customHeight="1">
      <c r="A823" s="426"/>
    </row>
    <row r="824" spans="1:1" s="427" customFormat="1" ht="12" hidden="1" customHeight="1">
      <c r="A824" s="426"/>
    </row>
    <row r="825" spans="1:1" s="427" customFormat="1" ht="12" hidden="1" customHeight="1">
      <c r="A825" s="426"/>
    </row>
    <row r="826" spans="1:1" s="427" customFormat="1" ht="12" hidden="1" customHeight="1">
      <c r="A826" s="426"/>
    </row>
    <row r="827" spans="1:1" s="427" customFormat="1" ht="12" hidden="1" customHeight="1">
      <c r="A827" s="426"/>
    </row>
    <row r="828" spans="1:1" s="427" customFormat="1" ht="12" hidden="1" customHeight="1">
      <c r="A828" s="426"/>
    </row>
    <row r="829" spans="1:1" s="427" customFormat="1" ht="12" hidden="1" customHeight="1">
      <c r="A829" s="426"/>
    </row>
    <row r="830" spans="1:1" s="427" customFormat="1" ht="12" hidden="1" customHeight="1">
      <c r="A830" s="426"/>
    </row>
    <row r="831" spans="1:1" s="427" customFormat="1" ht="12" hidden="1" customHeight="1">
      <c r="A831" s="426"/>
    </row>
    <row r="832" spans="1:1" s="427" customFormat="1" ht="12" hidden="1" customHeight="1">
      <c r="A832" s="426"/>
    </row>
    <row r="833" spans="1:1" s="427" customFormat="1" ht="12" hidden="1" customHeight="1">
      <c r="A833" s="426"/>
    </row>
    <row r="834" spans="1:1" s="427" customFormat="1" ht="12" hidden="1" customHeight="1">
      <c r="A834" s="426"/>
    </row>
    <row r="835" spans="1:1" s="427" customFormat="1" ht="12" hidden="1" customHeight="1">
      <c r="A835" s="426"/>
    </row>
    <row r="836" spans="1:1" s="427" customFormat="1" ht="12" hidden="1" customHeight="1">
      <c r="A836" s="426"/>
    </row>
    <row r="837" spans="1:1" s="427" customFormat="1" ht="12" hidden="1" customHeight="1">
      <c r="A837" s="426"/>
    </row>
    <row r="838" spans="1:1" s="427" customFormat="1" ht="12" hidden="1" customHeight="1">
      <c r="A838" s="426"/>
    </row>
    <row r="839" spans="1:1" s="427" customFormat="1" ht="12" hidden="1" customHeight="1">
      <c r="A839" s="426"/>
    </row>
    <row r="840" spans="1:1" s="427" customFormat="1" ht="12" hidden="1" customHeight="1">
      <c r="A840" s="426"/>
    </row>
    <row r="841" spans="1:1" s="427" customFormat="1" ht="12" hidden="1" customHeight="1">
      <c r="A841" s="426"/>
    </row>
    <row r="842" spans="1:1" s="427" customFormat="1" ht="12" hidden="1" customHeight="1">
      <c r="A842" s="426"/>
    </row>
    <row r="843" spans="1:1" s="427" customFormat="1" ht="12" hidden="1" customHeight="1">
      <c r="A843" s="426"/>
    </row>
    <row r="844" spans="1:1" s="427" customFormat="1" ht="12" hidden="1" customHeight="1">
      <c r="A844" s="426"/>
    </row>
    <row r="845" spans="1:1" s="427" customFormat="1" ht="12" hidden="1" customHeight="1">
      <c r="A845" s="426"/>
    </row>
    <row r="846" spans="1:1" s="427" customFormat="1" ht="12" hidden="1" customHeight="1">
      <c r="A846" s="426"/>
    </row>
    <row r="847" spans="1:1" s="427" customFormat="1" ht="12" hidden="1" customHeight="1">
      <c r="A847" s="426"/>
    </row>
    <row r="848" spans="1:1" s="427" customFormat="1" ht="12" hidden="1" customHeight="1">
      <c r="A848" s="426"/>
    </row>
    <row r="849" spans="1:1" s="427" customFormat="1" ht="12" hidden="1" customHeight="1">
      <c r="A849" s="426"/>
    </row>
    <row r="850" spans="1:1" s="427" customFormat="1" ht="12" hidden="1" customHeight="1">
      <c r="A850" s="426"/>
    </row>
    <row r="851" spans="1:1" s="427" customFormat="1" ht="12" hidden="1" customHeight="1">
      <c r="A851" s="426"/>
    </row>
    <row r="852" spans="1:1" s="427" customFormat="1" ht="12" hidden="1" customHeight="1">
      <c r="A852" s="426"/>
    </row>
    <row r="853" spans="1:1" s="427" customFormat="1" ht="12" hidden="1" customHeight="1">
      <c r="A853" s="426"/>
    </row>
    <row r="854" spans="1:1" s="427" customFormat="1" ht="12" hidden="1" customHeight="1">
      <c r="A854" s="426"/>
    </row>
    <row r="855" spans="1:1" s="427" customFormat="1" ht="12" hidden="1" customHeight="1">
      <c r="A855" s="426"/>
    </row>
    <row r="856" spans="1:1" s="427" customFormat="1" ht="12" hidden="1" customHeight="1">
      <c r="A856" s="426"/>
    </row>
    <row r="857" spans="1:1" s="427" customFormat="1" ht="12" hidden="1" customHeight="1">
      <c r="A857" s="426"/>
    </row>
    <row r="858" spans="1:1" s="427" customFormat="1" ht="12" hidden="1" customHeight="1">
      <c r="A858" s="426"/>
    </row>
    <row r="859" spans="1:1" s="427" customFormat="1" ht="12" hidden="1" customHeight="1">
      <c r="A859" s="426"/>
    </row>
    <row r="860" spans="1:1" s="427" customFormat="1" ht="12" hidden="1" customHeight="1">
      <c r="A860" s="426"/>
    </row>
    <row r="861" spans="1:1" s="427" customFormat="1" ht="12" hidden="1" customHeight="1">
      <c r="A861" s="426"/>
    </row>
    <row r="862" spans="1:1" s="427" customFormat="1" ht="12" hidden="1" customHeight="1">
      <c r="A862" s="426"/>
    </row>
    <row r="863" spans="1:1" s="427" customFormat="1" ht="12" hidden="1" customHeight="1">
      <c r="A863" s="426"/>
    </row>
    <row r="864" spans="1:1" s="427" customFormat="1" ht="12" hidden="1" customHeight="1">
      <c r="A864" s="426"/>
    </row>
    <row r="865" spans="1:1" s="427" customFormat="1" ht="12" hidden="1" customHeight="1">
      <c r="A865" s="426"/>
    </row>
    <row r="866" spans="1:1" s="427" customFormat="1" ht="12" hidden="1" customHeight="1">
      <c r="A866" s="426"/>
    </row>
    <row r="867" spans="1:1" s="427" customFormat="1" ht="12" hidden="1" customHeight="1">
      <c r="A867" s="426"/>
    </row>
    <row r="868" spans="1:1" s="427" customFormat="1" ht="12" hidden="1" customHeight="1">
      <c r="A868" s="426"/>
    </row>
    <row r="869" spans="1:1" s="427" customFormat="1" ht="12" hidden="1" customHeight="1">
      <c r="A869" s="426"/>
    </row>
    <row r="870" spans="1:1" s="427" customFormat="1" ht="12" hidden="1" customHeight="1">
      <c r="A870" s="426"/>
    </row>
    <row r="871" spans="1:1" s="427" customFormat="1" ht="12" hidden="1" customHeight="1">
      <c r="A871" s="426"/>
    </row>
    <row r="872" spans="1:1" s="427" customFormat="1" ht="12" hidden="1" customHeight="1">
      <c r="A872" s="426"/>
    </row>
    <row r="873" spans="1:1" s="427" customFormat="1" ht="12" hidden="1" customHeight="1">
      <c r="A873" s="426"/>
    </row>
    <row r="874" spans="1:1" s="427" customFormat="1" ht="12" hidden="1" customHeight="1">
      <c r="A874" s="426"/>
    </row>
    <row r="875" spans="1:1" s="427" customFormat="1" ht="12" hidden="1" customHeight="1">
      <c r="A875" s="426"/>
    </row>
    <row r="876" spans="1:1" s="427" customFormat="1" ht="12" hidden="1" customHeight="1">
      <c r="A876" s="426"/>
    </row>
    <row r="877" spans="1:1" s="427" customFormat="1" ht="12" hidden="1" customHeight="1">
      <c r="A877" s="426"/>
    </row>
    <row r="878" spans="1:1" s="427" customFormat="1" ht="12" hidden="1" customHeight="1">
      <c r="A878" s="426"/>
    </row>
    <row r="879" spans="1:1" s="427" customFormat="1" ht="12" hidden="1" customHeight="1">
      <c r="A879" s="426"/>
    </row>
    <row r="880" spans="1:1" s="427" customFormat="1" ht="12" hidden="1" customHeight="1">
      <c r="A880" s="426"/>
    </row>
    <row r="881" spans="1:1" s="427" customFormat="1" ht="12" hidden="1" customHeight="1">
      <c r="A881" s="426"/>
    </row>
    <row r="882" spans="1:1" s="427" customFormat="1" ht="12" hidden="1" customHeight="1">
      <c r="A882" s="426"/>
    </row>
    <row r="883" spans="1:1" s="427" customFormat="1" ht="12" hidden="1" customHeight="1">
      <c r="A883" s="426"/>
    </row>
    <row r="884" spans="1:1" s="427" customFormat="1" ht="12" hidden="1" customHeight="1">
      <c r="A884" s="426"/>
    </row>
    <row r="885" spans="1:1" s="427" customFormat="1" ht="12" hidden="1" customHeight="1">
      <c r="A885" s="426"/>
    </row>
    <row r="886" spans="1:1" s="427" customFormat="1" ht="12" hidden="1" customHeight="1">
      <c r="A886" s="426"/>
    </row>
    <row r="887" spans="1:1" s="427" customFormat="1" ht="12" hidden="1" customHeight="1">
      <c r="A887" s="426"/>
    </row>
    <row r="888" spans="1:1" s="427" customFormat="1" ht="12" hidden="1" customHeight="1">
      <c r="A888" s="426"/>
    </row>
    <row r="889" spans="1:1" s="427" customFormat="1" ht="12" hidden="1" customHeight="1">
      <c r="A889" s="426"/>
    </row>
    <row r="890" spans="1:1" s="427" customFormat="1" ht="12" hidden="1" customHeight="1">
      <c r="A890" s="426"/>
    </row>
    <row r="891" spans="1:1" s="427" customFormat="1" ht="12" hidden="1" customHeight="1">
      <c r="A891" s="426"/>
    </row>
    <row r="892" spans="1:1" s="427" customFormat="1" ht="12" hidden="1" customHeight="1">
      <c r="A892" s="426"/>
    </row>
    <row r="893" spans="1:1" s="427" customFormat="1" ht="12" hidden="1" customHeight="1">
      <c r="A893" s="426"/>
    </row>
    <row r="894" spans="1:1" s="427" customFormat="1" ht="12" hidden="1" customHeight="1">
      <c r="A894" s="426"/>
    </row>
    <row r="895" spans="1:1" s="427" customFormat="1" ht="12" hidden="1" customHeight="1">
      <c r="A895" s="426"/>
    </row>
    <row r="896" spans="1:1" s="427" customFormat="1" ht="12" hidden="1" customHeight="1">
      <c r="A896" s="426"/>
    </row>
    <row r="897" spans="1:1" s="427" customFormat="1" ht="12" hidden="1" customHeight="1">
      <c r="A897" s="426"/>
    </row>
    <row r="898" spans="1:1" s="427" customFormat="1" ht="12" hidden="1" customHeight="1">
      <c r="A898" s="426"/>
    </row>
    <row r="899" spans="1:1" s="427" customFormat="1" ht="12" hidden="1" customHeight="1">
      <c r="A899" s="426"/>
    </row>
    <row r="900" spans="1:1" s="427" customFormat="1" ht="12" hidden="1" customHeight="1">
      <c r="A900" s="426"/>
    </row>
    <row r="901" spans="1:1" s="427" customFormat="1" ht="12" hidden="1" customHeight="1">
      <c r="A901" s="426"/>
    </row>
    <row r="902" spans="1:1" s="427" customFormat="1" ht="12" hidden="1" customHeight="1">
      <c r="A902" s="426"/>
    </row>
    <row r="903" spans="1:1" s="427" customFormat="1" ht="12" hidden="1" customHeight="1">
      <c r="A903" s="426"/>
    </row>
    <row r="904" spans="1:1" s="427" customFormat="1" ht="12" hidden="1" customHeight="1">
      <c r="A904" s="426"/>
    </row>
    <row r="905" spans="1:1" s="427" customFormat="1" ht="12" hidden="1" customHeight="1">
      <c r="A905" s="426"/>
    </row>
    <row r="906" spans="1:1" s="427" customFormat="1" ht="12" hidden="1" customHeight="1">
      <c r="A906" s="426"/>
    </row>
    <row r="907" spans="1:1" s="427" customFormat="1" ht="12" hidden="1" customHeight="1">
      <c r="A907" s="426"/>
    </row>
    <row r="908" spans="1:1" s="427" customFormat="1" ht="12" hidden="1" customHeight="1">
      <c r="A908" s="426"/>
    </row>
    <row r="909" spans="1:1" s="427" customFormat="1" ht="12" hidden="1" customHeight="1">
      <c r="A909" s="426"/>
    </row>
    <row r="910" spans="1:1" s="427" customFormat="1" ht="12" hidden="1" customHeight="1">
      <c r="A910" s="426"/>
    </row>
    <row r="911" spans="1:1" s="427" customFormat="1" ht="12" hidden="1" customHeight="1">
      <c r="A911" s="426"/>
    </row>
    <row r="912" spans="1:1" s="427" customFormat="1" ht="12" hidden="1" customHeight="1">
      <c r="A912" s="426"/>
    </row>
    <row r="913" spans="1:1" s="427" customFormat="1" ht="12" hidden="1" customHeight="1">
      <c r="A913" s="426"/>
    </row>
    <row r="914" spans="1:1" s="427" customFormat="1" ht="12" hidden="1" customHeight="1">
      <c r="A914" s="426"/>
    </row>
    <row r="915" spans="1:1" s="427" customFormat="1" ht="12" hidden="1" customHeight="1">
      <c r="A915" s="426"/>
    </row>
    <row r="916" spans="1:1" s="427" customFormat="1" ht="12" hidden="1" customHeight="1">
      <c r="A916" s="426"/>
    </row>
    <row r="917" spans="1:1" s="427" customFormat="1" ht="12" hidden="1" customHeight="1">
      <c r="A917" s="426"/>
    </row>
    <row r="918" spans="1:1" s="427" customFormat="1" ht="12" hidden="1" customHeight="1">
      <c r="A918" s="426"/>
    </row>
    <row r="919" spans="1:1" s="427" customFormat="1" ht="12" hidden="1" customHeight="1">
      <c r="A919" s="426"/>
    </row>
    <row r="920" spans="1:1" s="427" customFormat="1" ht="12" hidden="1" customHeight="1">
      <c r="A920" s="426"/>
    </row>
    <row r="921" spans="1:1" s="427" customFormat="1" ht="12" hidden="1" customHeight="1">
      <c r="A921" s="426"/>
    </row>
    <row r="922" spans="1:1" s="427" customFormat="1" ht="12" hidden="1" customHeight="1">
      <c r="A922" s="426"/>
    </row>
    <row r="923" spans="1:1" s="427" customFormat="1" ht="12" hidden="1" customHeight="1">
      <c r="A923" s="426"/>
    </row>
    <row r="924" spans="1:1" s="427" customFormat="1" ht="12" hidden="1" customHeight="1">
      <c r="A924" s="426"/>
    </row>
    <row r="925" spans="1:1" s="427" customFormat="1" ht="12" hidden="1" customHeight="1">
      <c r="A925" s="426"/>
    </row>
    <row r="926" spans="1:1" s="427" customFormat="1" ht="12" hidden="1" customHeight="1">
      <c r="A926" s="426"/>
    </row>
    <row r="927" spans="1:1" s="427" customFormat="1" ht="12" hidden="1" customHeight="1">
      <c r="A927" s="426"/>
    </row>
    <row r="928" spans="1:1" s="427" customFormat="1" ht="12" hidden="1" customHeight="1">
      <c r="A928" s="426"/>
    </row>
    <row r="929" spans="1:1" s="427" customFormat="1" ht="12" hidden="1" customHeight="1">
      <c r="A929" s="426"/>
    </row>
    <row r="930" spans="1:1" s="427" customFormat="1" ht="12" hidden="1" customHeight="1">
      <c r="A930" s="426"/>
    </row>
    <row r="931" spans="1:1" s="427" customFormat="1" ht="12" hidden="1" customHeight="1">
      <c r="A931" s="426"/>
    </row>
    <row r="932" spans="1:1" s="427" customFormat="1" ht="12" hidden="1" customHeight="1">
      <c r="A932" s="426"/>
    </row>
    <row r="933" spans="1:1" s="427" customFormat="1" ht="12" hidden="1" customHeight="1">
      <c r="A933" s="426"/>
    </row>
    <row r="934" spans="1:1" s="427" customFormat="1" ht="12" hidden="1" customHeight="1">
      <c r="A934" s="426"/>
    </row>
    <row r="935" spans="1:1" s="427" customFormat="1" ht="12" hidden="1" customHeight="1">
      <c r="A935" s="426"/>
    </row>
    <row r="936" spans="1:1" s="427" customFormat="1" ht="12" hidden="1" customHeight="1">
      <c r="A936" s="426"/>
    </row>
    <row r="937" spans="1:1" s="427" customFormat="1" ht="12" hidden="1" customHeight="1">
      <c r="A937" s="426"/>
    </row>
    <row r="938" spans="1:1" s="427" customFormat="1" ht="12" hidden="1" customHeight="1">
      <c r="A938" s="426"/>
    </row>
    <row r="939" spans="1:1" s="427" customFormat="1" ht="12" hidden="1" customHeight="1">
      <c r="A939" s="426"/>
    </row>
    <row r="940" spans="1:1" s="427" customFormat="1" ht="12" hidden="1" customHeight="1">
      <c r="A940" s="426"/>
    </row>
    <row r="941" spans="1:1" s="427" customFormat="1" ht="12" hidden="1" customHeight="1">
      <c r="A941" s="426"/>
    </row>
    <row r="942" spans="1:1" s="427" customFormat="1" ht="12" hidden="1" customHeight="1">
      <c r="A942" s="426"/>
    </row>
    <row r="943" spans="1:1" s="427" customFormat="1" ht="12" hidden="1" customHeight="1">
      <c r="A943" s="426"/>
    </row>
    <row r="944" spans="1:1" s="427" customFormat="1" ht="12" hidden="1" customHeight="1">
      <c r="A944" s="426"/>
    </row>
    <row r="945" spans="1:1" s="427" customFormat="1" ht="12" hidden="1" customHeight="1">
      <c r="A945" s="426"/>
    </row>
    <row r="946" spans="1:1" s="427" customFormat="1" ht="12" hidden="1" customHeight="1">
      <c r="A946" s="426"/>
    </row>
    <row r="947" spans="1:1" s="427" customFormat="1" ht="12" hidden="1" customHeight="1">
      <c r="A947" s="426"/>
    </row>
    <row r="948" spans="1:1" s="427" customFormat="1" ht="12" hidden="1" customHeight="1">
      <c r="A948" s="426"/>
    </row>
    <row r="949" spans="1:1" s="427" customFormat="1" ht="12" hidden="1" customHeight="1">
      <c r="A949" s="426"/>
    </row>
    <row r="950" spans="1:1" s="427" customFormat="1" ht="12" hidden="1" customHeight="1">
      <c r="A950" s="426"/>
    </row>
    <row r="951" spans="1:1" s="427" customFormat="1" ht="12" hidden="1" customHeight="1">
      <c r="A951" s="426"/>
    </row>
    <row r="952" spans="1:1" s="427" customFormat="1" ht="12" hidden="1" customHeight="1">
      <c r="A952" s="426"/>
    </row>
    <row r="953" spans="1:1" s="427" customFormat="1" ht="12" hidden="1" customHeight="1">
      <c r="A953" s="426"/>
    </row>
    <row r="954" spans="1:1" s="427" customFormat="1" ht="12" hidden="1" customHeight="1">
      <c r="A954" s="426"/>
    </row>
    <row r="955" spans="1:1" s="427" customFormat="1" ht="12" hidden="1" customHeight="1">
      <c r="A955" s="426"/>
    </row>
    <row r="956" spans="1:1" s="427" customFormat="1" ht="12" hidden="1" customHeight="1">
      <c r="A956" s="426"/>
    </row>
    <row r="957" spans="1:1" s="427" customFormat="1" ht="12" hidden="1" customHeight="1">
      <c r="A957" s="426"/>
    </row>
    <row r="958" spans="1:1" s="427" customFormat="1" ht="12" hidden="1" customHeight="1">
      <c r="A958" s="426"/>
    </row>
    <row r="959" spans="1:1" s="427" customFormat="1" ht="12" hidden="1" customHeight="1">
      <c r="A959" s="426"/>
    </row>
    <row r="960" spans="1:1" s="427" customFormat="1" ht="12" hidden="1" customHeight="1">
      <c r="A960" s="426"/>
    </row>
    <row r="961" spans="1:1" s="427" customFormat="1" ht="12" hidden="1" customHeight="1">
      <c r="A961" s="426"/>
    </row>
    <row r="962" spans="1:1" s="427" customFormat="1" ht="12" hidden="1" customHeight="1">
      <c r="A962" s="426"/>
    </row>
    <row r="963" spans="1:1" s="427" customFormat="1" ht="12" hidden="1" customHeight="1">
      <c r="A963" s="426"/>
    </row>
    <row r="964" spans="1:1" s="427" customFormat="1" ht="12" hidden="1" customHeight="1">
      <c r="A964" s="426"/>
    </row>
    <row r="965" spans="1:1" s="427" customFormat="1" ht="12" hidden="1" customHeight="1">
      <c r="A965" s="426"/>
    </row>
    <row r="966" spans="1:1" s="427" customFormat="1" ht="12" hidden="1" customHeight="1">
      <c r="A966" s="426"/>
    </row>
    <row r="967" spans="1:1" s="427" customFormat="1" ht="12" hidden="1" customHeight="1">
      <c r="A967" s="426"/>
    </row>
    <row r="968" spans="1:1" s="427" customFormat="1" ht="12" hidden="1" customHeight="1">
      <c r="A968" s="426"/>
    </row>
    <row r="969" spans="1:1" s="427" customFormat="1" ht="12" hidden="1" customHeight="1">
      <c r="A969" s="426"/>
    </row>
    <row r="970" spans="1:1" s="427" customFormat="1" ht="12" hidden="1" customHeight="1">
      <c r="A970" s="426"/>
    </row>
    <row r="971" spans="1:1" s="427" customFormat="1" ht="12" hidden="1" customHeight="1">
      <c r="A971" s="426"/>
    </row>
    <row r="972" spans="1:1" s="427" customFormat="1" ht="12" hidden="1" customHeight="1">
      <c r="A972" s="426"/>
    </row>
    <row r="973" spans="1:1" s="427" customFormat="1" ht="12" hidden="1" customHeight="1">
      <c r="A973" s="426"/>
    </row>
    <row r="974" spans="1:1" s="427" customFormat="1" ht="12" hidden="1" customHeight="1">
      <c r="A974" s="426"/>
    </row>
    <row r="975" spans="1:1" s="427" customFormat="1" ht="12" hidden="1" customHeight="1">
      <c r="A975" s="426"/>
    </row>
    <row r="976" spans="1:1" s="427" customFormat="1" ht="12" hidden="1" customHeight="1">
      <c r="A976" s="426"/>
    </row>
    <row r="977" spans="1:1" s="427" customFormat="1" ht="12" hidden="1" customHeight="1">
      <c r="A977" s="426"/>
    </row>
    <row r="978" spans="1:1" s="427" customFormat="1" ht="12" hidden="1" customHeight="1">
      <c r="A978" s="426"/>
    </row>
    <row r="979" spans="1:1" s="427" customFormat="1" ht="12" hidden="1" customHeight="1">
      <c r="A979" s="426"/>
    </row>
    <row r="980" spans="1:1" s="427" customFormat="1" ht="12" hidden="1" customHeight="1">
      <c r="A980" s="426"/>
    </row>
    <row r="981" spans="1:1" s="427" customFormat="1" ht="12" hidden="1" customHeight="1">
      <c r="A981" s="426"/>
    </row>
    <row r="982" spans="1:1" s="427" customFormat="1" ht="12" hidden="1" customHeight="1">
      <c r="A982" s="426"/>
    </row>
    <row r="983" spans="1:1" s="427" customFormat="1" ht="12" hidden="1" customHeight="1">
      <c r="A983" s="426"/>
    </row>
    <row r="984" spans="1:1" s="427" customFormat="1" ht="12" hidden="1" customHeight="1">
      <c r="A984" s="426"/>
    </row>
    <row r="985" spans="1:1" s="427" customFormat="1" ht="12" hidden="1" customHeight="1">
      <c r="A985" s="426"/>
    </row>
    <row r="986" spans="1:1" s="427" customFormat="1" ht="12" hidden="1" customHeight="1">
      <c r="A986" s="426"/>
    </row>
    <row r="987" spans="1:1" s="427" customFormat="1" ht="12" hidden="1" customHeight="1">
      <c r="A987" s="426"/>
    </row>
    <row r="988" spans="1:1" s="427" customFormat="1" ht="12" hidden="1" customHeight="1">
      <c r="A988" s="426"/>
    </row>
    <row r="989" spans="1:1" s="427" customFormat="1" ht="12" hidden="1" customHeight="1">
      <c r="A989" s="426"/>
    </row>
    <row r="990" spans="1:1" s="427" customFormat="1" ht="12" hidden="1" customHeight="1">
      <c r="A990" s="426"/>
    </row>
    <row r="991" spans="1:1" s="427" customFormat="1" ht="12" hidden="1" customHeight="1">
      <c r="A991" s="426"/>
    </row>
    <row r="992" spans="1:1" s="427" customFormat="1" ht="12" hidden="1" customHeight="1">
      <c r="A992" s="426"/>
    </row>
    <row r="993" spans="1:1" s="427" customFormat="1" ht="12" hidden="1" customHeight="1">
      <c r="A993" s="426"/>
    </row>
    <row r="994" spans="1:1" s="427" customFormat="1" ht="12" hidden="1" customHeight="1">
      <c r="A994" s="426"/>
    </row>
    <row r="995" spans="1:1" s="427" customFormat="1" ht="12" hidden="1" customHeight="1">
      <c r="A995" s="426"/>
    </row>
    <row r="996" spans="1:1" s="427" customFormat="1" ht="12" hidden="1" customHeight="1">
      <c r="A996" s="426"/>
    </row>
    <row r="997" spans="1:1" s="427" customFormat="1" ht="12" hidden="1" customHeight="1">
      <c r="A997" s="426"/>
    </row>
    <row r="998" spans="1:1" s="427" customFormat="1" ht="12" hidden="1" customHeight="1">
      <c r="A998" s="426"/>
    </row>
    <row r="999" spans="1:1" s="427" customFormat="1" ht="12" hidden="1" customHeight="1">
      <c r="A999" s="426"/>
    </row>
    <row r="1000" spans="1:1" s="427" customFormat="1" ht="12" hidden="1" customHeight="1">
      <c r="A1000" s="426"/>
    </row>
    <row r="1001" spans="1:1" s="427" customFormat="1" ht="12" hidden="1" customHeight="1">
      <c r="A1001" s="426"/>
    </row>
    <row r="1002" spans="1:1" s="427" customFormat="1" ht="12" hidden="1" customHeight="1">
      <c r="A1002" s="426"/>
    </row>
    <row r="1003" spans="1:1" s="427" customFormat="1" ht="12" hidden="1" customHeight="1">
      <c r="A1003" s="426"/>
    </row>
    <row r="1004" spans="1:1" s="427" customFormat="1" ht="12" hidden="1" customHeight="1">
      <c r="A1004" s="426"/>
    </row>
    <row r="1005" spans="1:1" s="427" customFormat="1" ht="12" hidden="1" customHeight="1">
      <c r="A1005" s="426"/>
    </row>
    <row r="1006" spans="1:1" s="427" customFormat="1" ht="12" hidden="1" customHeight="1">
      <c r="A1006" s="426"/>
    </row>
    <row r="1007" spans="1:1" s="427" customFormat="1" ht="12" hidden="1" customHeight="1">
      <c r="A1007" s="426"/>
    </row>
    <row r="1008" spans="1:1" s="427" customFormat="1" ht="12" hidden="1" customHeight="1">
      <c r="A1008" s="426"/>
    </row>
    <row r="1009" spans="1:1" s="427" customFormat="1" ht="12" hidden="1" customHeight="1">
      <c r="A1009" s="426"/>
    </row>
    <row r="1010" spans="1:1" s="427" customFormat="1" ht="12" hidden="1" customHeight="1">
      <c r="A1010" s="426"/>
    </row>
    <row r="1011" spans="1:1" s="427" customFormat="1" ht="12" hidden="1" customHeight="1">
      <c r="A1011" s="426"/>
    </row>
    <row r="1012" spans="1:1" s="427" customFormat="1" ht="12" hidden="1" customHeight="1">
      <c r="A1012" s="426"/>
    </row>
    <row r="1013" spans="1:1" s="427" customFormat="1" ht="12" hidden="1" customHeight="1">
      <c r="A1013" s="426"/>
    </row>
    <row r="1014" spans="1:1" s="427" customFormat="1" ht="12" hidden="1" customHeight="1">
      <c r="A1014" s="426"/>
    </row>
    <row r="1015" spans="1:1" s="427" customFormat="1" ht="12" hidden="1" customHeight="1">
      <c r="A1015" s="426"/>
    </row>
    <row r="1016" spans="1:1" s="427" customFormat="1" ht="12" hidden="1" customHeight="1">
      <c r="A1016" s="426"/>
    </row>
    <row r="1017" spans="1:1" s="427" customFormat="1" ht="12" hidden="1" customHeight="1">
      <c r="A1017" s="426"/>
    </row>
    <row r="1018" spans="1:1" s="427" customFormat="1" ht="12" hidden="1" customHeight="1">
      <c r="A1018" s="426"/>
    </row>
    <row r="1019" spans="1:1" s="427" customFormat="1" ht="12" hidden="1" customHeight="1">
      <c r="A1019" s="426"/>
    </row>
    <row r="1020" spans="1:1" s="427" customFormat="1" ht="12" hidden="1" customHeight="1">
      <c r="A1020" s="426"/>
    </row>
    <row r="1021" spans="1:1" s="427" customFormat="1" ht="12" hidden="1" customHeight="1">
      <c r="A1021" s="426"/>
    </row>
    <row r="1022" spans="1:1" s="427" customFormat="1" ht="12" hidden="1" customHeight="1">
      <c r="A1022" s="426"/>
    </row>
    <row r="1023" spans="1:1" s="427" customFormat="1" ht="12" hidden="1" customHeight="1">
      <c r="A1023" s="426"/>
    </row>
    <row r="1024" spans="1:1" s="427" customFormat="1" ht="12" hidden="1" customHeight="1">
      <c r="A1024" s="426"/>
    </row>
    <row r="1025" spans="1:1" s="427" customFormat="1" ht="12" hidden="1" customHeight="1">
      <c r="A1025" s="426"/>
    </row>
    <row r="1026" spans="1:1" s="427" customFormat="1" ht="12" hidden="1" customHeight="1">
      <c r="A1026" s="426"/>
    </row>
    <row r="1027" spans="1:1" s="427" customFormat="1" ht="12" hidden="1" customHeight="1">
      <c r="A1027" s="426"/>
    </row>
    <row r="1028" spans="1:1" s="427" customFormat="1" ht="12" hidden="1" customHeight="1">
      <c r="A1028" s="426"/>
    </row>
    <row r="1029" spans="1:1" s="427" customFormat="1" ht="12" hidden="1" customHeight="1">
      <c r="A1029" s="426"/>
    </row>
    <row r="1030" spans="1:1" s="427" customFormat="1" ht="12" hidden="1" customHeight="1">
      <c r="A1030" s="426"/>
    </row>
    <row r="1031" spans="1:1" s="427" customFormat="1" ht="12" hidden="1" customHeight="1">
      <c r="A1031" s="426"/>
    </row>
    <row r="1032" spans="1:1" s="427" customFormat="1" ht="12" hidden="1" customHeight="1">
      <c r="A1032" s="426"/>
    </row>
    <row r="1033" spans="1:1" s="427" customFormat="1" ht="12" hidden="1" customHeight="1">
      <c r="A1033" s="426"/>
    </row>
    <row r="1034" spans="1:1" s="427" customFormat="1" ht="12" hidden="1" customHeight="1">
      <c r="A1034" s="426"/>
    </row>
    <row r="1035" spans="1:1" s="427" customFormat="1" ht="12" hidden="1" customHeight="1">
      <c r="A1035" s="426"/>
    </row>
    <row r="1036" spans="1:1" s="427" customFormat="1" ht="12" hidden="1" customHeight="1">
      <c r="A1036" s="426"/>
    </row>
    <row r="1037" spans="1:1" s="427" customFormat="1" ht="12" hidden="1" customHeight="1">
      <c r="A1037" s="426"/>
    </row>
    <row r="1038" spans="1:1" s="427" customFormat="1" ht="12" hidden="1" customHeight="1">
      <c r="A1038" s="426"/>
    </row>
    <row r="1039" spans="1:1" s="427" customFormat="1" ht="12" hidden="1" customHeight="1">
      <c r="A1039" s="426"/>
    </row>
    <row r="1040" spans="1:1" s="427" customFormat="1" ht="12" hidden="1" customHeight="1">
      <c r="A1040" s="426"/>
    </row>
    <row r="1041" spans="1:1" s="427" customFormat="1" ht="12" hidden="1" customHeight="1">
      <c r="A1041" s="426"/>
    </row>
    <row r="1042" spans="1:1" s="427" customFormat="1" ht="12" hidden="1" customHeight="1">
      <c r="A1042" s="426"/>
    </row>
    <row r="1043" spans="1:1" s="427" customFormat="1" ht="12" hidden="1" customHeight="1">
      <c r="A1043" s="426"/>
    </row>
    <row r="1044" spans="1:1" s="427" customFormat="1" ht="12" hidden="1" customHeight="1">
      <c r="A1044" s="426"/>
    </row>
    <row r="1045" spans="1:1" s="427" customFormat="1" ht="12" hidden="1" customHeight="1">
      <c r="A1045" s="426"/>
    </row>
    <row r="1046" spans="1:1" s="427" customFormat="1" ht="12" hidden="1" customHeight="1">
      <c r="A1046" s="426"/>
    </row>
    <row r="1047" spans="1:1" s="427" customFormat="1" ht="12" hidden="1" customHeight="1">
      <c r="A1047" s="426"/>
    </row>
    <row r="1048" spans="1:1" s="427" customFormat="1" ht="12" hidden="1" customHeight="1">
      <c r="A1048" s="426"/>
    </row>
    <row r="1049" spans="1:1" s="427" customFormat="1" ht="12" hidden="1" customHeight="1">
      <c r="A1049" s="426"/>
    </row>
    <row r="1050" spans="1:1" s="427" customFormat="1" ht="12" hidden="1" customHeight="1">
      <c r="A1050" s="426"/>
    </row>
    <row r="1051" spans="1:1" s="427" customFormat="1" ht="12" hidden="1" customHeight="1">
      <c r="A1051" s="426"/>
    </row>
    <row r="1052" spans="1:1" s="427" customFormat="1" ht="12" hidden="1" customHeight="1">
      <c r="A1052" s="426"/>
    </row>
    <row r="1053" spans="1:1" s="427" customFormat="1" ht="12" hidden="1" customHeight="1">
      <c r="A1053" s="426"/>
    </row>
    <row r="1054" spans="1:1" s="427" customFormat="1" ht="12" hidden="1" customHeight="1">
      <c r="A1054" s="426"/>
    </row>
    <row r="1055" spans="1:1" s="427" customFormat="1" ht="12" hidden="1" customHeight="1">
      <c r="A1055" s="426"/>
    </row>
    <row r="1056" spans="1:1" s="427" customFormat="1" ht="12" hidden="1" customHeight="1">
      <c r="A1056" s="426"/>
    </row>
    <row r="1057" spans="1:1" s="427" customFormat="1" ht="12" hidden="1" customHeight="1">
      <c r="A1057" s="426"/>
    </row>
    <row r="1058" spans="1:1" s="427" customFormat="1" ht="12" hidden="1" customHeight="1">
      <c r="A1058" s="426"/>
    </row>
    <row r="1059" spans="1:1" s="427" customFormat="1" ht="12" hidden="1" customHeight="1">
      <c r="A1059" s="426"/>
    </row>
    <row r="1060" spans="1:1" s="427" customFormat="1" ht="12" hidden="1" customHeight="1">
      <c r="A1060" s="426"/>
    </row>
    <row r="1061" spans="1:1" s="427" customFormat="1" ht="12" hidden="1" customHeight="1">
      <c r="A1061" s="426"/>
    </row>
    <row r="1062" spans="1:1" s="427" customFormat="1" ht="12" hidden="1" customHeight="1">
      <c r="A1062" s="426"/>
    </row>
    <row r="1063" spans="1:1" s="427" customFormat="1" ht="12" hidden="1" customHeight="1">
      <c r="A1063" s="426"/>
    </row>
    <row r="1064" spans="1:1" s="427" customFormat="1" ht="12" hidden="1" customHeight="1">
      <c r="A1064" s="426"/>
    </row>
    <row r="1065" spans="1:1" s="427" customFormat="1" ht="12" hidden="1" customHeight="1">
      <c r="A1065" s="426"/>
    </row>
    <row r="1066" spans="1:1" s="427" customFormat="1" ht="12" hidden="1" customHeight="1">
      <c r="A1066" s="426"/>
    </row>
    <row r="1067" spans="1:1" s="427" customFormat="1" ht="12" hidden="1" customHeight="1">
      <c r="A1067" s="426"/>
    </row>
    <row r="1068" spans="1:1" s="427" customFormat="1" ht="12" hidden="1" customHeight="1">
      <c r="A1068" s="426"/>
    </row>
    <row r="1069" spans="1:1" s="427" customFormat="1" ht="12" hidden="1" customHeight="1">
      <c r="A1069" s="426"/>
    </row>
    <row r="1070" spans="1:1" s="427" customFormat="1" ht="12" hidden="1" customHeight="1">
      <c r="A1070" s="426"/>
    </row>
    <row r="1071" spans="1:1" s="427" customFormat="1" ht="12" hidden="1" customHeight="1">
      <c r="A1071" s="426"/>
    </row>
    <row r="1072" spans="1:1" s="427" customFormat="1" ht="12" hidden="1" customHeight="1">
      <c r="A1072" s="426"/>
    </row>
    <row r="1073" spans="1:1" s="427" customFormat="1" ht="12" hidden="1" customHeight="1">
      <c r="A1073" s="426"/>
    </row>
    <row r="1074" spans="1:1" s="427" customFormat="1" ht="12" hidden="1" customHeight="1">
      <c r="A1074" s="426"/>
    </row>
    <row r="1075" spans="1:1" s="427" customFormat="1" ht="12" hidden="1" customHeight="1">
      <c r="A1075" s="426"/>
    </row>
    <row r="1076" spans="1:1" s="427" customFormat="1" ht="12" hidden="1" customHeight="1">
      <c r="A1076" s="426"/>
    </row>
    <row r="1077" spans="1:1" s="427" customFormat="1" ht="12" hidden="1" customHeight="1">
      <c r="A1077" s="426"/>
    </row>
    <row r="1078" spans="1:1" s="427" customFormat="1" ht="12" hidden="1" customHeight="1">
      <c r="A1078" s="426"/>
    </row>
    <row r="1079" spans="1:1" s="427" customFormat="1" ht="12" hidden="1" customHeight="1">
      <c r="A1079" s="426"/>
    </row>
    <row r="1080" spans="1:1" s="427" customFormat="1" ht="12" hidden="1" customHeight="1">
      <c r="A1080" s="426"/>
    </row>
    <row r="1081" spans="1:1" s="427" customFormat="1" ht="12" hidden="1" customHeight="1">
      <c r="A1081" s="426"/>
    </row>
    <row r="1082" spans="1:1" s="427" customFormat="1" ht="12" hidden="1" customHeight="1">
      <c r="A1082" s="426"/>
    </row>
    <row r="1083" spans="1:1" s="427" customFormat="1" ht="12" hidden="1" customHeight="1">
      <c r="A1083" s="426"/>
    </row>
    <row r="1084" spans="1:1" s="427" customFormat="1" ht="12" hidden="1" customHeight="1">
      <c r="A1084" s="426"/>
    </row>
    <row r="1085" spans="1:1" s="427" customFormat="1" ht="12" hidden="1" customHeight="1">
      <c r="A1085" s="426"/>
    </row>
    <row r="1086" spans="1:1" s="427" customFormat="1" ht="12" hidden="1" customHeight="1">
      <c r="A1086" s="426"/>
    </row>
    <row r="1087" spans="1:1" s="427" customFormat="1" ht="12" hidden="1" customHeight="1">
      <c r="A1087" s="426"/>
    </row>
    <row r="1088" spans="1:1" s="427" customFormat="1" ht="12" hidden="1" customHeight="1">
      <c r="A1088" s="426"/>
    </row>
    <row r="1089" spans="1:1" s="427" customFormat="1" ht="12" hidden="1" customHeight="1">
      <c r="A1089" s="426"/>
    </row>
    <row r="1090" spans="1:1" s="427" customFormat="1" ht="12" hidden="1" customHeight="1">
      <c r="A1090" s="426"/>
    </row>
    <row r="1091" spans="1:1" s="427" customFormat="1" ht="12" hidden="1" customHeight="1">
      <c r="A1091" s="426"/>
    </row>
    <row r="1092" spans="1:1" s="427" customFormat="1" ht="12" hidden="1" customHeight="1">
      <c r="A1092" s="426"/>
    </row>
    <row r="1093" spans="1:1" s="427" customFormat="1" ht="12" hidden="1" customHeight="1">
      <c r="A1093" s="426"/>
    </row>
    <row r="1094" spans="1:1" s="427" customFormat="1" ht="12" hidden="1" customHeight="1">
      <c r="A1094" s="426"/>
    </row>
    <row r="1095" spans="1:1" s="427" customFormat="1" ht="12" hidden="1" customHeight="1">
      <c r="A1095" s="426"/>
    </row>
    <row r="1096" spans="1:1" s="427" customFormat="1" ht="12" hidden="1" customHeight="1">
      <c r="A1096" s="426"/>
    </row>
    <row r="1097" spans="1:1" s="427" customFormat="1" ht="12" hidden="1" customHeight="1">
      <c r="A1097" s="426"/>
    </row>
    <row r="1098" spans="1:1" s="427" customFormat="1" ht="12" hidden="1" customHeight="1">
      <c r="A1098" s="426"/>
    </row>
    <row r="1099" spans="1:1" s="427" customFormat="1" ht="12" hidden="1" customHeight="1">
      <c r="A1099" s="426"/>
    </row>
    <row r="1100" spans="1:1" s="427" customFormat="1" ht="12" hidden="1" customHeight="1">
      <c r="A1100" s="426"/>
    </row>
    <row r="1101" spans="1:1" s="427" customFormat="1" ht="12" hidden="1" customHeight="1">
      <c r="A1101" s="426"/>
    </row>
    <row r="1102" spans="1:1" s="427" customFormat="1" ht="12" hidden="1" customHeight="1">
      <c r="A1102" s="426"/>
    </row>
    <row r="1103" spans="1:1" s="427" customFormat="1" ht="12" hidden="1" customHeight="1">
      <c r="A1103" s="426"/>
    </row>
    <row r="1104" spans="1:1" s="427" customFormat="1" ht="12" hidden="1" customHeight="1">
      <c r="A1104" s="426"/>
    </row>
    <row r="1105" spans="1:1" s="427" customFormat="1" ht="12" hidden="1" customHeight="1">
      <c r="A1105" s="426"/>
    </row>
    <row r="1106" spans="1:1" s="427" customFormat="1" ht="12" hidden="1" customHeight="1">
      <c r="A1106" s="426"/>
    </row>
    <row r="1107" spans="1:1" s="427" customFormat="1" ht="12" hidden="1" customHeight="1">
      <c r="A1107" s="426"/>
    </row>
    <row r="1108" spans="1:1" s="427" customFormat="1" ht="12" hidden="1" customHeight="1">
      <c r="A1108" s="426"/>
    </row>
    <row r="1109" spans="1:1" s="427" customFormat="1" ht="12" hidden="1" customHeight="1">
      <c r="A1109" s="426"/>
    </row>
    <row r="1110" spans="1:1" s="427" customFormat="1" ht="12" hidden="1" customHeight="1">
      <c r="A1110" s="426"/>
    </row>
    <row r="1111" spans="1:1" s="427" customFormat="1" ht="12" hidden="1" customHeight="1">
      <c r="A1111" s="426"/>
    </row>
    <row r="1112" spans="1:1" s="427" customFormat="1" ht="12" hidden="1" customHeight="1">
      <c r="A1112" s="426"/>
    </row>
    <row r="1113" spans="1:1" s="427" customFormat="1" ht="12" hidden="1" customHeight="1">
      <c r="A1113" s="426"/>
    </row>
    <row r="1114" spans="1:1" s="427" customFormat="1" ht="12" hidden="1" customHeight="1">
      <c r="A1114" s="426"/>
    </row>
    <row r="1115" spans="1:1" s="427" customFormat="1" ht="12" hidden="1" customHeight="1">
      <c r="A1115" s="426"/>
    </row>
    <row r="1116" spans="1:1" s="427" customFormat="1" ht="12" hidden="1" customHeight="1">
      <c r="A1116" s="426"/>
    </row>
    <row r="1117" spans="1:1" s="427" customFormat="1" ht="12" hidden="1" customHeight="1">
      <c r="A1117" s="426"/>
    </row>
    <row r="1118" spans="1:1" s="427" customFormat="1" ht="12" hidden="1" customHeight="1">
      <c r="A1118" s="426"/>
    </row>
    <row r="1119" spans="1:1" s="427" customFormat="1" ht="12" hidden="1" customHeight="1">
      <c r="A1119" s="426"/>
    </row>
    <row r="1120" spans="1:1" s="427" customFormat="1" ht="12" hidden="1" customHeight="1">
      <c r="A1120" s="426"/>
    </row>
    <row r="1121" spans="1:1" s="427" customFormat="1" ht="12" hidden="1" customHeight="1">
      <c r="A1121" s="426"/>
    </row>
    <row r="1122" spans="1:1" s="427" customFormat="1" ht="12" hidden="1" customHeight="1">
      <c r="A1122" s="426"/>
    </row>
    <row r="1123" spans="1:1" s="427" customFormat="1" ht="12" hidden="1" customHeight="1">
      <c r="A1123" s="426"/>
    </row>
    <row r="1124" spans="1:1" s="427" customFormat="1" ht="12" hidden="1" customHeight="1">
      <c r="A1124" s="426"/>
    </row>
    <row r="1125" spans="1:1" s="427" customFormat="1" ht="12" hidden="1" customHeight="1">
      <c r="A1125" s="426"/>
    </row>
    <row r="1126" spans="1:1" s="427" customFormat="1" ht="12" hidden="1" customHeight="1">
      <c r="A1126" s="426"/>
    </row>
    <row r="1127" spans="1:1" s="427" customFormat="1" ht="12" hidden="1" customHeight="1">
      <c r="A1127" s="426"/>
    </row>
    <row r="1128" spans="1:1" s="427" customFormat="1" ht="12" hidden="1" customHeight="1">
      <c r="A1128" s="426"/>
    </row>
    <row r="1129" spans="1:1" s="427" customFormat="1" ht="12" hidden="1" customHeight="1">
      <c r="A1129" s="426"/>
    </row>
    <row r="1130" spans="1:1" s="427" customFormat="1" ht="12" hidden="1" customHeight="1">
      <c r="A1130" s="426"/>
    </row>
    <row r="1131" spans="1:1" s="427" customFormat="1" ht="12" hidden="1" customHeight="1">
      <c r="A1131" s="426"/>
    </row>
    <row r="1132" spans="1:1" s="427" customFormat="1" ht="12" hidden="1" customHeight="1">
      <c r="A1132" s="426"/>
    </row>
    <row r="1133" spans="1:1" s="427" customFormat="1" ht="12" hidden="1" customHeight="1">
      <c r="A1133" s="426"/>
    </row>
    <row r="1134" spans="1:1" s="427" customFormat="1" ht="12" hidden="1" customHeight="1">
      <c r="A1134" s="426"/>
    </row>
    <row r="1135" spans="1:1" s="427" customFormat="1" ht="12" hidden="1" customHeight="1">
      <c r="A1135" s="426"/>
    </row>
    <row r="1136" spans="1:1" s="427" customFormat="1" ht="12" hidden="1" customHeight="1">
      <c r="A1136" s="426"/>
    </row>
    <row r="1137" spans="1:1" s="427" customFormat="1" ht="12" hidden="1" customHeight="1">
      <c r="A1137" s="426"/>
    </row>
    <row r="1138" spans="1:1" s="427" customFormat="1" ht="12" hidden="1" customHeight="1">
      <c r="A1138" s="426"/>
    </row>
    <row r="1139" spans="1:1" s="427" customFormat="1" ht="12" hidden="1" customHeight="1">
      <c r="A1139" s="426"/>
    </row>
    <row r="1140" spans="1:1" s="427" customFormat="1" ht="12" hidden="1" customHeight="1">
      <c r="A1140" s="426"/>
    </row>
    <row r="1141" spans="1:1" s="427" customFormat="1" ht="12" hidden="1" customHeight="1">
      <c r="A1141" s="426"/>
    </row>
    <row r="1142" spans="1:1" s="427" customFormat="1" ht="12" hidden="1" customHeight="1">
      <c r="A1142" s="426"/>
    </row>
    <row r="1143" spans="1:1" s="427" customFormat="1" ht="12" hidden="1" customHeight="1">
      <c r="A1143" s="426"/>
    </row>
    <row r="1144" spans="1:1" s="427" customFormat="1" ht="12" hidden="1" customHeight="1">
      <c r="A1144" s="426"/>
    </row>
    <row r="1145" spans="1:1" s="427" customFormat="1" ht="12" hidden="1" customHeight="1">
      <c r="A1145" s="426"/>
    </row>
    <row r="1146" spans="1:1" s="427" customFormat="1" ht="12" hidden="1" customHeight="1">
      <c r="A1146" s="426"/>
    </row>
    <row r="1147" spans="1:1" s="427" customFormat="1" ht="12" hidden="1" customHeight="1">
      <c r="A1147" s="426"/>
    </row>
    <row r="1148" spans="1:1" s="427" customFormat="1" ht="12" hidden="1" customHeight="1">
      <c r="A1148" s="426"/>
    </row>
    <row r="1149" spans="1:1" s="427" customFormat="1" ht="12" hidden="1" customHeight="1">
      <c r="A1149" s="426"/>
    </row>
    <row r="1150" spans="1:1" s="427" customFormat="1" ht="12" hidden="1" customHeight="1">
      <c r="A1150" s="426"/>
    </row>
    <row r="1151" spans="1:1" s="427" customFormat="1" ht="12" hidden="1" customHeight="1">
      <c r="A1151" s="426"/>
    </row>
    <row r="1152" spans="1:1" s="427" customFormat="1" ht="12" hidden="1" customHeight="1">
      <c r="A1152" s="426"/>
    </row>
    <row r="1153" spans="1:1" s="427" customFormat="1" ht="12" hidden="1" customHeight="1">
      <c r="A1153" s="426"/>
    </row>
    <row r="1154" spans="1:1" s="427" customFormat="1" ht="12" hidden="1" customHeight="1">
      <c r="A1154" s="426"/>
    </row>
    <row r="1155" spans="1:1" s="427" customFormat="1" ht="12" hidden="1" customHeight="1">
      <c r="A1155" s="426"/>
    </row>
    <row r="1156" spans="1:1" s="427" customFormat="1" ht="12" hidden="1" customHeight="1">
      <c r="A1156" s="426"/>
    </row>
    <row r="1157" spans="1:1" s="427" customFormat="1" ht="12" hidden="1" customHeight="1">
      <c r="A1157" s="426"/>
    </row>
    <row r="1158" spans="1:1" s="427" customFormat="1" ht="12" hidden="1" customHeight="1">
      <c r="A1158" s="426"/>
    </row>
    <row r="1159" spans="1:1" s="427" customFormat="1" ht="12" hidden="1" customHeight="1">
      <c r="A1159" s="426"/>
    </row>
    <row r="1160" spans="1:1" s="427" customFormat="1" ht="12" hidden="1" customHeight="1">
      <c r="A1160" s="426"/>
    </row>
    <row r="1161" spans="1:1" s="427" customFormat="1" ht="12" hidden="1" customHeight="1">
      <c r="A1161" s="426"/>
    </row>
    <row r="1162" spans="1:1" s="427" customFormat="1" ht="12" hidden="1" customHeight="1">
      <c r="A1162" s="426"/>
    </row>
    <row r="1163" spans="1:1" s="427" customFormat="1" ht="12" hidden="1" customHeight="1">
      <c r="A1163" s="426"/>
    </row>
    <row r="1164" spans="1:1" s="427" customFormat="1" ht="12" hidden="1" customHeight="1">
      <c r="A1164" s="426"/>
    </row>
    <row r="1165" spans="1:1" s="427" customFormat="1" ht="12" hidden="1" customHeight="1">
      <c r="A1165" s="426"/>
    </row>
    <row r="1166" spans="1:1" s="427" customFormat="1" ht="12" hidden="1" customHeight="1">
      <c r="A1166" s="426"/>
    </row>
    <row r="1167" spans="1:1" s="427" customFormat="1" ht="12" hidden="1" customHeight="1">
      <c r="A1167" s="426"/>
    </row>
    <row r="1168" spans="1:1" s="427" customFormat="1" ht="12" hidden="1" customHeight="1">
      <c r="A1168" s="426"/>
    </row>
    <row r="1169" spans="1:1" s="427" customFormat="1" ht="12" hidden="1" customHeight="1">
      <c r="A1169" s="426"/>
    </row>
    <row r="1170" spans="1:1" s="427" customFormat="1" ht="12" hidden="1" customHeight="1">
      <c r="A1170" s="426"/>
    </row>
    <row r="1171" spans="1:1" s="427" customFormat="1" ht="12" hidden="1" customHeight="1">
      <c r="A1171" s="426"/>
    </row>
    <row r="1172" spans="1:1" s="427" customFormat="1" ht="12" hidden="1" customHeight="1">
      <c r="A1172" s="426"/>
    </row>
    <row r="1173" spans="1:1" s="427" customFormat="1" ht="12" hidden="1" customHeight="1">
      <c r="A1173" s="426"/>
    </row>
    <row r="1174" spans="1:1" s="427" customFormat="1" ht="12" hidden="1" customHeight="1">
      <c r="A1174" s="426"/>
    </row>
    <row r="1175" spans="1:1" s="427" customFormat="1" ht="12" hidden="1" customHeight="1">
      <c r="A1175" s="426"/>
    </row>
    <row r="1176" spans="1:1" s="427" customFormat="1" ht="12" hidden="1" customHeight="1">
      <c r="A1176" s="426"/>
    </row>
    <row r="1177" spans="1:1" s="427" customFormat="1" ht="12" hidden="1" customHeight="1">
      <c r="A1177" s="426"/>
    </row>
    <row r="1178" spans="1:1" s="427" customFormat="1" ht="12" hidden="1" customHeight="1">
      <c r="A1178" s="426"/>
    </row>
    <row r="1179" spans="1:1" s="427" customFormat="1" ht="12" hidden="1" customHeight="1">
      <c r="A1179" s="426"/>
    </row>
    <row r="1180" spans="1:1" s="427" customFormat="1" ht="12" hidden="1" customHeight="1">
      <c r="A1180" s="426"/>
    </row>
    <row r="1181" spans="1:1" s="427" customFormat="1" ht="12" hidden="1" customHeight="1">
      <c r="A1181" s="426"/>
    </row>
    <row r="1182" spans="1:1" s="427" customFormat="1" ht="12" hidden="1" customHeight="1">
      <c r="A1182" s="426"/>
    </row>
    <row r="1183" spans="1:1" s="427" customFormat="1" ht="12" hidden="1" customHeight="1">
      <c r="A1183" s="426"/>
    </row>
    <row r="1184" spans="1:1" s="427" customFormat="1" ht="12" hidden="1" customHeight="1">
      <c r="A1184" s="426"/>
    </row>
    <row r="1185" spans="1:1" s="427" customFormat="1" ht="12" hidden="1" customHeight="1">
      <c r="A1185" s="426"/>
    </row>
    <row r="1186" spans="1:1" s="427" customFormat="1" ht="12" hidden="1" customHeight="1">
      <c r="A1186" s="426"/>
    </row>
    <row r="1187" spans="1:1" s="427" customFormat="1" ht="12" hidden="1" customHeight="1">
      <c r="A1187" s="426"/>
    </row>
    <row r="1188" spans="1:1" s="427" customFormat="1" ht="12" hidden="1" customHeight="1">
      <c r="A1188" s="426"/>
    </row>
    <row r="1189" spans="1:1" s="427" customFormat="1" ht="12" hidden="1" customHeight="1">
      <c r="A1189" s="426"/>
    </row>
    <row r="1190" spans="1:1" s="427" customFormat="1" ht="12" hidden="1" customHeight="1">
      <c r="A1190" s="426"/>
    </row>
    <row r="1191" spans="1:1" s="427" customFormat="1" ht="12" hidden="1" customHeight="1">
      <c r="A1191" s="426"/>
    </row>
    <row r="1192" spans="1:1" s="427" customFormat="1" ht="12" hidden="1" customHeight="1">
      <c r="A1192" s="426"/>
    </row>
    <row r="1193" spans="1:1" s="427" customFormat="1" ht="12" hidden="1" customHeight="1">
      <c r="A1193" s="426"/>
    </row>
    <row r="1194" spans="1:1" s="427" customFormat="1" ht="12" hidden="1" customHeight="1">
      <c r="A1194" s="426"/>
    </row>
    <row r="1195" spans="1:1" s="427" customFormat="1" ht="12" hidden="1" customHeight="1">
      <c r="A1195" s="426"/>
    </row>
    <row r="1196" spans="1:1" s="427" customFormat="1" ht="12" hidden="1" customHeight="1">
      <c r="A1196" s="426"/>
    </row>
    <row r="1197" spans="1:1" s="427" customFormat="1" ht="12" hidden="1" customHeight="1">
      <c r="A1197" s="426"/>
    </row>
    <row r="1198" spans="1:1" s="427" customFormat="1" ht="12" hidden="1" customHeight="1">
      <c r="A1198" s="426"/>
    </row>
    <row r="1199" spans="1:1" s="427" customFormat="1" ht="12" hidden="1" customHeight="1">
      <c r="A1199" s="426"/>
    </row>
    <row r="1200" spans="1:1" s="427" customFormat="1" ht="12" hidden="1" customHeight="1">
      <c r="A1200" s="426"/>
    </row>
    <row r="1201" spans="1:1" s="427" customFormat="1" ht="12" hidden="1" customHeight="1">
      <c r="A1201" s="426"/>
    </row>
    <row r="1202" spans="1:1" s="427" customFormat="1" ht="12" hidden="1" customHeight="1">
      <c r="A1202" s="426"/>
    </row>
    <row r="1203" spans="1:1" s="427" customFormat="1" ht="12" hidden="1" customHeight="1">
      <c r="A1203" s="426"/>
    </row>
    <row r="1204" spans="1:1" s="427" customFormat="1" ht="12" hidden="1" customHeight="1">
      <c r="A1204" s="426"/>
    </row>
    <row r="1205" spans="1:1" s="427" customFormat="1" ht="12" hidden="1" customHeight="1">
      <c r="A1205" s="426"/>
    </row>
    <row r="1206" spans="1:1" s="427" customFormat="1" ht="12" hidden="1" customHeight="1">
      <c r="A1206" s="426"/>
    </row>
    <row r="1207" spans="1:1" s="427" customFormat="1" ht="12" hidden="1" customHeight="1">
      <c r="A1207" s="426"/>
    </row>
    <row r="1208" spans="1:1" s="427" customFormat="1" ht="12" hidden="1" customHeight="1">
      <c r="A1208" s="426"/>
    </row>
    <row r="1209" spans="1:1" s="427" customFormat="1" ht="12" hidden="1" customHeight="1">
      <c r="A1209" s="426"/>
    </row>
    <row r="1210" spans="1:1" s="427" customFormat="1" ht="12" hidden="1" customHeight="1">
      <c r="A1210" s="426"/>
    </row>
    <row r="1211" spans="1:1" s="427" customFormat="1" ht="12" hidden="1" customHeight="1">
      <c r="A1211" s="426"/>
    </row>
    <row r="1212" spans="1:1" s="427" customFormat="1" ht="12" hidden="1" customHeight="1">
      <c r="A1212" s="426"/>
    </row>
    <row r="1213" spans="1:1" s="427" customFormat="1" ht="12" hidden="1" customHeight="1">
      <c r="A1213" s="426"/>
    </row>
    <row r="1214" spans="1:1" s="427" customFormat="1" ht="12" hidden="1" customHeight="1">
      <c r="A1214" s="426"/>
    </row>
    <row r="1215" spans="1:1" s="427" customFormat="1" ht="12" hidden="1" customHeight="1">
      <c r="A1215" s="426"/>
    </row>
    <row r="1216" spans="1:1" s="427" customFormat="1" ht="12" hidden="1" customHeight="1">
      <c r="A1216" s="426"/>
    </row>
    <row r="1217" spans="1:1" s="427" customFormat="1" ht="12" hidden="1" customHeight="1">
      <c r="A1217" s="426"/>
    </row>
    <row r="1218" spans="1:1" s="427" customFormat="1" ht="12" hidden="1" customHeight="1">
      <c r="A1218" s="426"/>
    </row>
    <row r="1219" spans="1:1" s="427" customFormat="1" ht="12" hidden="1" customHeight="1">
      <c r="A1219" s="426"/>
    </row>
    <row r="1220" spans="1:1" s="427" customFormat="1" ht="12" hidden="1" customHeight="1">
      <c r="A1220" s="426"/>
    </row>
    <row r="1221" spans="1:1" s="427" customFormat="1" ht="12" hidden="1" customHeight="1">
      <c r="A1221" s="426"/>
    </row>
    <row r="1222" spans="1:1" s="427" customFormat="1" ht="12" hidden="1" customHeight="1">
      <c r="A1222" s="426"/>
    </row>
    <row r="1223" spans="1:1" s="427" customFormat="1" ht="12" hidden="1" customHeight="1">
      <c r="A1223" s="426"/>
    </row>
    <row r="1224" spans="1:1" s="427" customFormat="1" ht="12" hidden="1" customHeight="1">
      <c r="A1224" s="426"/>
    </row>
    <row r="1225" spans="1:1" s="427" customFormat="1" ht="12" hidden="1" customHeight="1">
      <c r="A1225" s="426"/>
    </row>
    <row r="1226" spans="1:1" s="427" customFormat="1" ht="12" hidden="1" customHeight="1">
      <c r="A1226" s="426"/>
    </row>
    <row r="1227" spans="1:1" s="427" customFormat="1" ht="12" hidden="1" customHeight="1">
      <c r="A1227" s="426"/>
    </row>
    <row r="1228" spans="1:1" s="427" customFormat="1" ht="12" hidden="1" customHeight="1">
      <c r="A1228" s="426"/>
    </row>
    <row r="1229" spans="1:1" s="427" customFormat="1" ht="12" hidden="1" customHeight="1">
      <c r="A1229" s="426"/>
    </row>
    <row r="1230" spans="1:1" s="427" customFormat="1" ht="12" hidden="1" customHeight="1">
      <c r="A1230" s="426"/>
    </row>
    <row r="1231" spans="1:1" s="427" customFormat="1" ht="12" hidden="1" customHeight="1">
      <c r="A1231" s="426"/>
    </row>
    <row r="1232" spans="1:1" s="427" customFormat="1" ht="12" hidden="1" customHeight="1">
      <c r="A1232" s="426"/>
    </row>
    <row r="1233" spans="1:1" s="427" customFormat="1" ht="12" hidden="1" customHeight="1">
      <c r="A1233" s="426"/>
    </row>
    <row r="1234" spans="1:1" s="427" customFormat="1" ht="12" hidden="1" customHeight="1">
      <c r="A1234" s="426"/>
    </row>
    <row r="1235" spans="1:1" s="427" customFormat="1" ht="12" hidden="1" customHeight="1">
      <c r="A1235" s="426"/>
    </row>
    <row r="1236" spans="1:1" s="427" customFormat="1" ht="12" hidden="1" customHeight="1">
      <c r="A1236" s="426"/>
    </row>
    <row r="1237" spans="1:1" s="427" customFormat="1" ht="12" hidden="1" customHeight="1">
      <c r="A1237" s="426"/>
    </row>
    <row r="1238" spans="1:1" s="427" customFormat="1" ht="12" hidden="1" customHeight="1">
      <c r="A1238" s="426"/>
    </row>
    <row r="1239" spans="1:1" s="427" customFormat="1" ht="12" hidden="1" customHeight="1">
      <c r="A1239" s="426"/>
    </row>
    <row r="1240" spans="1:1" s="427" customFormat="1" ht="12" hidden="1" customHeight="1">
      <c r="A1240" s="426"/>
    </row>
    <row r="1241" spans="1:1" s="427" customFormat="1" ht="12" hidden="1" customHeight="1">
      <c r="A1241" s="426"/>
    </row>
    <row r="1242" spans="1:1" s="427" customFormat="1" ht="12" hidden="1" customHeight="1">
      <c r="A1242" s="426"/>
    </row>
    <row r="1243" spans="1:1" s="427" customFormat="1" ht="12" hidden="1" customHeight="1">
      <c r="A1243" s="426"/>
    </row>
    <row r="1244" spans="1:1" s="427" customFormat="1" ht="12" hidden="1" customHeight="1">
      <c r="A1244" s="426"/>
    </row>
    <row r="1245" spans="1:1" s="427" customFormat="1" ht="12" hidden="1" customHeight="1">
      <c r="A1245" s="426"/>
    </row>
    <row r="1246" spans="1:1" s="427" customFormat="1" ht="12" hidden="1" customHeight="1">
      <c r="A1246" s="426"/>
    </row>
    <row r="1247" spans="1:1" s="427" customFormat="1" ht="12" hidden="1" customHeight="1">
      <c r="A1247" s="426"/>
    </row>
    <row r="1248" spans="1:1" s="427" customFormat="1" ht="12" hidden="1" customHeight="1">
      <c r="A1248" s="426"/>
    </row>
    <row r="1249" spans="1:1" s="427" customFormat="1" ht="12" hidden="1" customHeight="1">
      <c r="A1249" s="426"/>
    </row>
    <row r="1250" spans="1:1" s="427" customFormat="1" ht="12" hidden="1" customHeight="1">
      <c r="A1250" s="426"/>
    </row>
    <row r="1251" spans="1:1" s="427" customFormat="1" ht="12" hidden="1" customHeight="1">
      <c r="A1251" s="426"/>
    </row>
    <row r="1252" spans="1:1" s="427" customFormat="1" ht="12" hidden="1" customHeight="1">
      <c r="A1252" s="426"/>
    </row>
    <row r="1253" spans="1:1" s="427" customFormat="1" ht="12" hidden="1" customHeight="1">
      <c r="A1253" s="426"/>
    </row>
    <row r="1254" spans="1:1" s="427" customFormat="1" ht="12" hidden="1" customHeight="1">
      <c r="A1254" s="426"/>
    </row>
    <row r="1255" spans="1:1" s="427" customFormat="1" ht="12" hidden="1" customHeight="1">
      <c r="A1255" s="426"/>
    </row>
    <row r="1256" spans="1:1" s="427" customFormat="1" ht="12" hidden="1" customHeight="1">
      <c r="A1256" s="426"/>
    </row>
    <row r="1257" spans="1:1" s="427" customFormat="1" ht="12" hidden="1" customHeight="1">
      <c r="A1257" s="426"/>
    </row>
    <row r="1258" spans="1:1" s="427" customFormat="1" ht="12" hidden="1" customHeight="1">
      <c r="A1258" s="426"/>
    </row>
    <row r="1259" spans="1:1" s="427" customFormat="1" ht="12" hidden="1" customHeight="1">
      <c r="A1259" s="426"/>
    </row>
    <row r="1260" spans="1:1" s="427" customFormat="1" ht="12" hidden="1" customHeight="1">
      <c r="A1260" s="426"/>
    </row>
    <row r="1261" spans="1:1" s="427" customFormat="1" ht="12" hidden="1" customHeight="1">
      <c r="A1261" s="426"/>
    </row>
    <row r="1262" spans="1:1" s="427" customFormat="1" ht="12" hidden="1" customHeight="1">
      <c r="A1262" s="426"/>
    </row>
    <row r="1263" spans="1:1" s="427" customFormat="1" ht="12" hidden="1" customHeight="1">
      <c r="A1263" s="426"/>
    </row>
    <row r="1264" spans="1:1" s="427" customFormat="1" ht="12" hidden="1" customHeight="1">
      <c r="A1264" s="426"/>
    </row>
    <row r="1265" spans="1:1" s="427" customFormat="1" ht="12" hidden="1" customHeight="1">
      <c r="A1265" s="426"/>
    </row>
    <row r="1266" spans="1:1" s="427" customFormat="1" ht="12" hidden="1" customHeight="1">
      <c r="A1266" s="426"/>
    </row>
    <row r="1267" spans="1:1" s="427" customFormat="1" ht="12" hidden="1" customHeight="1">
      <c r="A1267" s="426"/>
    </row>
    <row r="1268" spans="1:1" s="427" customFormat="1" ht="12" hidden="1" customHeight="1">
      <c r="A1268" s="426"/>
    </row>
    <row r="1269" spans="1:1" s="427" customFormat="1" ht="12" hidden="1" customHeight="1">
      <c r="A1269" s="426"/>
    </row>
    <row r="1270" spans="1:1" s="427" customFormat="1" ht="12" hidden="1" customHeight="1">
      <c r="A1270" s="426"/>
    </row>
    <row r="1271" spans="1:1" s="427" customFormat="1" ht="12" hidden="1" customHeight="1">
      <c r="A1271" s="426"/>
    </row>
    <row r="1272" spans="1:1" s="427" customFormat="1" ht="12" hidden="1" customHeight="1">
      <c r="A1272" s="426"/>
    </row>
    <row r="1273" spans="1:1" s="427" customFormat="1" ht="12" hidden="1" customHeight="1">
      <c r="A1273" s="426"/>
    </row>
    <row r="1274" spans="1:1" s="427" customFormat="1" ht="12" hidden="1" customHeight="1">
      <c r="A1274" s="426"/>
    </row>
    <row r="1275" spans="1:1" s="427" customFormat="1" ht="12" hidden="1" customHeight="1">
      <c r="A1275" s="426"/>
    </row>
    <row r="1276" spans="1:1" s="427" customFormat="1" ht="12" hidden="1" customHeight="1">
      <c r="A1276" s="426"/>
    </row>
    <row r="1277" spans="1:1" s="427" customFormat="1" ht="12" hidden="1" customHeight="1">
      <c r="A1277" s="426"/>
    </row>
    <row r="1278" spans="1:1" s="427" customFormat="1" ht="12" hidden="1" customHeight="1">
      <c r="A1278" s="426"/>
    </row>
    <row r="1279" spans="1:1" s="427" customFormat="1" ht="12" hidden="1" customHeight="1">
      <c r="A1279" s="426"/>
    </row>
    <row r="1280" spans="1:1" s="427" customFormat="1" ht="12" hidden="1" customHeight="1">
      <c r="A1280" s="426"/>
    </row>
    <row r="1281" spans="1:1" s="427" customFormat="1" ht="12" hidden="1" customHeight="1">
      <c r="A1281" s="426"/>
    </row>
    <row r="1282" spans="1:1" s="427" customFormat="1" ht="12" hidden="1" customHeight="1">
      <c r="A1282" s="426"/>
    </row>
    <row r="1283" spans="1:1" s="427" customFormat="1" ht="12" hidden="1" customHeight="1">
      <c r="A1283" s="426"/>
    </row>
    <row r="1284" spans="1:1" s="427" customFormat="1" ht="12" hidden="1" customHeight="1">
      <c r="A1284" s="426"/>
    </row>
    <row r="1285" spans="1:1" s="427" customFormat="1" ht="12" hidden="1" customHeight="1">
      <c r="A1285" s="426"/>
    </row>
    <row r="1286" spans="1:1" s="427" customFormat="1" ht="12" hidden="1" customHeight="1">
      <c r="A1286" s="426"/>
    </row>
    <row r="1287" spans="1:1" s="427" customFormat="1" ht="12" hidden="1" customHeight="1">
      <c r="A1287" s="426"/>
    </row>
    <row r="1288" spans="1:1" s="427" customFormat="1" ht="12" hidden="1" customHeight="1">
      <c r="A1288" s="426"/>
    </row>
    <row r="1289" spans="1:1" s="427" customFormat="1" ht="12" hidden="1" customHeight="1">
      <c r="A1289" s="426"/>
    </row>
    <row r="1290" spans="1:1" s="427" customFormat="1" ht="12" hidden="1" customHeight="1">
      <c r="A1290" s="426"/>
    </row>
    <row r="1291" spans="1:1" s="427" customFormat="1" ht="12" hidden="1" customHeight="1">
      <c r="A1291" s="426"/>
    </row>
    <row r="1292" spans="1:1" s="427" customFormat="1" ht="12" hidden="1" customHeight="1">
      <c r="A1292" s="426"/>
    </row>
    <row r="1293" spans="1:1" s="427" customFormat="1" ht="12" hidden="1" customHeight="1">
      <c r="A1293" s="426"/>
    </row>
    <row r="1294" spans="1:1" s="427" customFormat="1" ht="12" hidden="1" customHeight="1">
      <c r="A1294" s="426"/>
    </row>
    <row r="1295" spans="1:1" s="427" customFormat="1" ht="12" hidden="1" customHeight="1">
      <c r="A1295" s="426"/>
    </row>
    <row r="1296" spans="1:1" s="427" customFormat="1" ht="12" hidden="1" customHeight="1">
      <c r="A1296" s="426"/>
    </row>
    <row r="1297" spans="1:1" s="427" customFormat="1" ht="12" hidden="1" customHeight="1">
      <c r="A1297" s="426"/>
    </row>
    <row r="1298" spans="1:1" s="427" customFormat="1" ht="12" hidden="1" customHeight="1">
      <c r="A1298" s="426"/>
    </row>
    <row r="1299" spans="1:1" s="427" customFormat="1" ht="12" hidden="1" customHeight="1">
      <c r="A1299" s="426"/>
    </row>
    <row r="1300" spans="1:1" s="427" customFormat="1" ht="12" hidden="1" customHeight="1">
      <c r="A1300" s="426"/>
    </row>
    <row r="1301" spans="1:1" s="427" customFormat="1" ht="12" hidden="1" customHeight="1">
      <c r="A1301" s="426"/>
    </row>
    <row r="1302" spans="1:1" s="427" customFormat="1" ht="12" hidden="1" customHeight="1">
      <c r="A1302" s="426"/>
    </row>
    <row r="1303" spans="1:1" s="427" customFormat="1" ht="12" hidden="1" customHeight="1">
      <c r="A1303" s="426"/>
    </row>
    <row r="1304" spans="1:1" s="427" customFormat="1" ht="12" hidden="1" customHeight="1">
      <c r="A1304" s="426"/>
    </row>
    <row r="1305" spans="1:1" s="427" customFormat="1" ht="12" hidden="1" customHeight="1">
      <c r="A1305" s="426"/>
    </row>
    <row r="1306" spans="1:1" s="427" customFormat="1" ht="12" hidden="1" customHeight="1">
      <c r="A1306" s="426"/>
    </row>
    <row r="1307" spans="1:1" s="427" customFormat="1" ht="12" hidden="1" customHeight="1">
      <c r="A1307" s="426"/>
    </row>
    <row r="1308" spans="1:1" s="427" customFormat="1" ht="12" hidden="1" customHeight="1">
      <c r="A1308" s="426"/>
    </row>
    <row r="1309" spans="1:1" s="427" customFormat="1" ht="12" hidden="1" customHeight="1">
      <c r="A1309" s="426"/>
    </row>
    <row r="1310" spans="1:1" s="427" customFormat="1" ht="12" hidden="1" customHeight="1">
      <c r="A1310" s="426"/>
    </row>
    <row r="1311" spans="1:1" s="427" customFormat="1" ht="12" hidden="1" customHeight="1">
      <c r="A1311" s="426"/>
    </row>
    <row r="1312" spans="1:1" s="427" customFormat="1" ht="12" hidden="1" customHeight="1">
      <c r="A1312" s="426"/>
    </row>
    <row r="1313" spans="1:1" s="427" customFormat="1" ht="12" hidden="1" customHeight="1">
      <c r="A1313" s="426"/>
    </row>
    <row r="1314" spans="1:1" s="427" customFormat="1" ht="12" hidden="1" customHeight="1">
      <c r="A1314" s="426"/>
    </row>
    <row r="1315" spans="1:1" s="427" customFormat="1" ht="12" hidden="1" customHeight="1">
      <c r="A1315" s="426"/>
    </row>
    <row r="1316" spans="1:1" s="427" customFormat="1" ht="12" hidden="1" customHeight="1">
      <c r="A1316" s="426"/>
    </row>
    <row r="1317" spans="1:1" s="427" customFormat="1" ht="12" hidden="1" customHeight="1">
      <c r="A1317" s="426"/>
    </row>
    <row r="1318" spans="1:1" s="427" customFormat="1" ht="12" hidden="1" customHeight="1">
      <c r="A1318" s="426"/>
    </row>
    <row r="1319" spans="1:1" s="427" customFormat="1" ht="12" hidden="1" customHeight="1">
      <c r="A1319" s="426"/>
    </row>
    <row r="1320" spans="1:1" s="427" customFormat="1" ht="12" hidden="1" customHeight="1">
      <c r="A1320" s="426"/>
    </row>
    <row r="1321" spans="1:1" s="427" customFormat="1" ht="12" hidden="1" customHeight="1">
      <c r="A1321" s="426"/>
    </row>
    <row r="1322" spans="1:1" s="427" customFormat="1" ht="12" hidden="1" customHeight="1">
      <c r="A1322" s="426"/>
    </row>
    <row r="1323" spans="1:1" s="427" customFormat="1" ht="12" hidden="1" customHeight="1">
      <c r="A1323" s="426"/>
    </row>
    <row r="1324" spans="1:1" s="427" customFormat="1" ht="12" hidden="1" customHeight="1">
      <c r="A1324" s="426"/>
    </row>
    <row r="1325" spans="1:1" s="427" customFormat="1" ht="12" hidden="1" customHeight="1">
      <c r="A1325" s="426"/>
    </row>
    <row r="1326" spans="1:1" s="427" customFormat="1" ht="12" hidden="1" customHeight="1">
      <c r="A1326" s="426"/>
    </row>
    <row r="1327" spans="1:1" s="427" customFormat="1" ht="12" hidden="1" customHeight="1">
      <c r="A1327" s="426"/>
    </row>
    <row r="1328" spans="1:1" s="427" customFormat="1" ht="12" hidden="1" customHeight="1">
      <c r="A1328" s="426"/>
    </row>
    <row r="1329" spans="1:1" s="427" customFormat="1" ht="12" hidden="1" customHeight="1">
      <c r="A1329" s="426"/>
    </row>
    <row r="1330" spans="1:1" s="427" customFormat="1" ht="12" hidden="1" customHeight="1">
      <c r="A1330" s="426"/>
    </row>
    <row r="1331" spans="1:1" s="427" customFormat="1" ht="12" hidden="1" customHeight="1">
      <c r="A1331" s="426"/>
    </row>
    <row r="1332" spans="1:1" s="427" customFormat="1" ht="12" hidden="1" customHeight="1">
      <c r="A1332" s="426"/>
    </row>
    <row r="1333" spans="1:1" s="427" customFormat="1" ht="12" hidden="1" customHeight="1">
      <c r="A1333" s="426"/>
    </row>
    <row r="1334" spans="1:1" s="427" customFormat="1" ht="12" hidden="1" customHeight="1">
      <c r="A1334" s="426"/>
    </row>
    <row r="1335" spans="1:1" s="427" customFormat="1" ht="12" hidden="1" customHeight="1">
      <c r="A1335" s="426"/>
    </row>
    <row r="1336" spans="1:1" s="427" customFormat="1" ht="12" hidden="1" customHeight="1">
      <c r="A1336" s="426"/>
    </row>
    <row r="1337" spans="1:1" s="427" customFormat="1" ht="12" hidden="1" customHeight="1">
      <c r="A1337" s="426"/>
    </row>
    <row r="1338" spans="1:1" s="427" customFormat="1" ht="12" hidden="1" customHeight="1">
      <c r="A1338" s="426"/>
    </row>
    <row r="1339" spans="1:1" s="427" customFormat="1" ht="12" hidden="1" customHeight="1">
      <c r="A1339" s="426"/>
    </row>
    <row r="1340" spans="1:1" s="427" customFormat="1" ht="12" hidden="1" customHeight="1">
      <c r="A1340" s="426"/>
    </row>
    <row r="1341" spans="1:1" s="427" customFormat="1" ht="12" hidden="1" customHeight="1">
      <c r="A1341" s="426"/>
    </row>
    <row r="1342" spans="1:1" s="427" customFormat="1" ht="12" hidden="1" customHeight="1">
      <c r="A1342" s="426"/>
    </row>
    <row r="1343" spans="1:1" s="427" customFormat="1" ht="12" hidden="1" customHeight="1">
      <c r="A1343" s="426"/>
    </row>
    <row r="1344" spans="1:1" s="427" customFormat="1" ht="12" hidden="1" customHeight="1">
      <c r="A1344" s="426"/>
    </row>
    <row r="1345" spans="1:1" s="427" customFormat="1" ht="12" hidden="1" customHeight="1">
      <c r="A1345" s="426"/>
    </row>
    <row r="1346" spans="1:1" s="427" customFormat="1" ht="12" hidden="1" customHeight="1">
      <c r="A1346" s="426"/>
    </row>
    <row r="1347" spans="1:1" s="427" customFormat="1" ht="12" hidden="1" customHeight="1">
      <c r="A1347" s="426"/>
    </row>
    <row r="1348" spans="1:1" s="427" customFormat="1" ht="12" hidden="1" customHeight="1">
      <c r="A1348" s="426"/>
    </row>
    <row r="1349" spans="1:1" s="427" customFormat="1" ht="12" hidden="1" customHeight="1">
      <c r="A1349" s="426"/>
    </row>
    <row r="1350" spans="1:1" s="427" customFormat="1" ht="12" hidden="1" customHeight="1">
      <c r="A1350" s="426"/>
    </row>
    <row r="1351" spans="1:1" s="427" customFormat="1" ht="12" hidden="1" customHeight="1">
      <c r="A1351" s="426"/>
    </row>
    <row r="1352" spans="1:1" s="427" customFormat="1" ht="12" hidden="1" customHeight="1">
      <c r="A1352" s="426"/>
    </row>
    <row r="1353" spans="1:1" s="427" customFormat="1" ht="12" hidden="1" customHeight="1">
      <c r="A1353" s="426"/>
    </row>
    <row r="1354" spans="1:1" s="427" customFormat="1" ht="12" hidden="1" customHeight="1">
      <c r="A1354" s="426"/>
    </row>
    <row r="1355" spans="1:1" s="427" customFormat="1" ht="12" hidden="1" customHeight="1">
      <c r="A1355" s="426"/>
    </row>
    <row r="1356" spans="1:1" s="427" customFormat="1" ht="12" hidden="1" customHeight="1">
      <c r="A1356" s="426"/>
    </row>
    <row r="1357" spans="1:1" s="427" customFormat="1" ht="12" hidden="1" customHeight="1">
      <c r="A1357" s="426"/>
    </row>
    <row r="1358" spans="1:1" s="427" customFormat="1" ht="12" hidden="1" customHeight="1">
      <c r="A1358" s="426"/>
    </row>
    <row r="1359" spans="1:1" s="427" customFormat="1" ht="12" hidden="1" customHeight="1">
      <c r="A1359" s="426"/>
    </row>
    <row r="1360" spans="1:1" s="427" customFormat="1" ht="12" hidden="1" customHeight="1">
      <c r="A1360" s="426"/>
    </row>
    <row r="1361" spans="1:1" s="427" customFormat="1" ht="12" hidden="1" customHeight="1">
      <c r="A1361" s="426"/>
    </row>
    <row r="1362" spans="1:1" s="427" customFormat="1" ht="12" hidden="1" customHeight="1">
      <c r="A1362" s="426"/>
    </row>
    <row r="1363" spans="1:1" s="427" customFormat="1" ht="12" hidden="1" customHeight="1">
      <c r="A1363" s="426"/>
    </row>
    <row r="1364" spans="1:1" s="427" customFormat="1" ht="12" hidden="1" customHeight="1">
      <c r="A1364" s="426"/>
    </row>
    <row r="1365" spans="1:1" s="427" customFormat="1" ht="12" hidden="1" customHeight="1">
      <c r="A1365" s="426"/>
    </row>
    <row r="1366" spans="1:1" s="427" customFormat="1" ht="12" hidden="1" customHeight="1">
      <c r="A1366" s="426"/>
    </row>
    <row r="1367" spans="1:1" s="427" customFormat="1" ht="12" hidden="1" customHeight="1">
      <c r="A1367" s="426"/>
    </row>
    <row r="1368" spans="1:1" s="427" customFormat="1" ht="12" hidden="1" customHeight="1">
      <c r="A1368" s="426"/>
    </row>
    <row r="1369" spans="1:1" s="427" customFormat="1" ht="12" hidden="1" customHeight="1">
      <c r="A1369" s="426"/>
    </row>
    <row r="1370" spans="1:1" s="427" customFormat="1" ht="12" hidden="1" customHeight="1">
      <c r="A1370" s="426"/>
    </row>
    <row r="1371" spans="1:1" s="427" customFormat="1" ht="12" hidden="1" customHeight="1">
      <c r="A1371" s="426"/>
    </row>
    <row r="1372" spans="1:1" s="427" customFormat="1" ht="12" hidden="1" customHeight="1">
      <c r="A1372" s="426"/>
    </row>
    <row r="1373" spans="1:1" s="427" customFormat="1" ht="12" hidden="1" customHeight="1">
      <c r="A1373" s="426"/>
    </row>
    <row r="1374" spans="1:1" s="427" customFormat="1" ht="12" hidden="1" customHeight="1">
      <c r="A1374" s="426"/>
    </row>
    <row r="1375" spans="1:1" s="427" customFormat="1" ht="12" hidden="1" customHeight="1">
      <c r="A1375" s="426"/>
    </row>
    <row r="1376" spans="1:1" s="427" customFormat="1" ht="12" hidden="1" customHeight="1">
      <c r="A1376" s="426"/>
    </row>
    <row r="1377" spans="1:1" s="427" customFormat="1" ht="12" hidden="1" customHeight="1">
      <c r="A1377" s="426"/>
    </row>
    <row r="1378" spans="1:1" s="427" customFormat="1" ht="12" hidden="1" customHeight="1">
      <c r="A1378" s="426"/>
    </row>
    <row r="1379" spans="1:1" s="427" customFormat="1" ht="12" hidden="1" customHeight="1">
      <c r="A1379" s="426"/>
    </row>
    <row r="1380" spans="1:1" s="427" customFormat="1" ht="12" hidden="1" customHeight="1">
      <c r="A1380" s="426"/>
    </row>
    <row r="1381" spans="1:1" s="427" customFormat="1" ht="12" hidden="1" customHeight="1">
      <c r="A1381" s="426"/>
    </row>
    <row r="1382" spans="1:1" s="427" customFormat="1" ht="12" hidden="1" customHeight="1">
      <c r="A1382" s="426"/>
    </row>
    <row r="1383" spans="1:1" s="427" customFormat="1" ht="12" hidden="1" customHeight="1">
      <c r="A1383" s="426"/>
    </row>
    <row r="1384" spans="1:1" s="427" customFormat="1" ht="12" hidden="1" customHeight="1">
      <c r="A1384" s="426"/>
    </row>
    <row r="1385" spans="1:1" s="427" customFormat="1" ht="12" hidden="1" customHeight="1">
      <c r="A1385" s="426"/>
    </row>
    <row r="1386" spans="1:1" s="427" customFormat="1" ht="12" hidden="1" customHeight="1">
      <c r="A1386" s="426"/>
    </row>
    <row r="1387" spans="1:1" s="427" customFormat="1" ht="12" hidden="1" customHeight="1">
      <c r="A1387" s="426"/>
    </row>
    <row r="1388" spans="1:1" s="427" customFormat="1" ht="12" hidden="1" customHeight="1">
      <c r="A1388" s="426"/>
    </row>
    <row r="1389" spans="1:1" s="427" customFormat="1" ht="12" hidden="1" customHeight="1">
      <c r="A1389" s="426"/>
    </row>
    <row r="1390" spans="1:1" s="427" customFormat="1" ht="12" hidden="1" customHeight="1">
      <c r="A1390" s="426"/>
    </row>
    <row r="1391" spans="1:1" s="427" customFormat="1" ht="12" hidden="1" customHeight="1">
      <c r="A1391" s="426"/>
    </row>
    <row r="1392" spans="1:1" s="427" customFormat="1" ht="12" hidden="1" customHeight="1">
      <c r="A1392" s="426"/>
    </row>
    <row r="1393" spans="1:1" s="427" customFormat="1" ht="12" hidden="1" customHeight="1">
      <c r="A1393" s="426"/>
    </row>
    <row r="1394" spans="1:1" s="427" customFormat="1" ht="12" hidden="1" customHeight="1">
      <c r="A1394" s="426"/>
    </row>
    <row r="1395" spans="1:1" s="427" customFormat="1" ht="12" hidden="1" customHeight="1">
      <c r="A1395" s="426"/>
    </row>
    <row r="1396" spans="1:1" s="427" customFormat="1" ht="12" hidden="1" customHeight="1">
      <c r="A1396" s="426"/>
    </row>
    <row r="1397" spans="1:1" s="427" customFormat="1" ht="12" hidden="1" customHeight="1">
      <c r="A1397" s="426"/>
    </row>
    <row r="1398" spans="1:1" s="427" customFormat="1" ht="12" hidden="1" customHeight="1">
      <c r="A1398" s="426"/>
    </row>
    <row r="1399" spans="1:1" s="427" customFormat="1" ht="12" hidden="1" customHeight="1">
      <c r="A1399" s="426"/>
    </row>
    <row r="1400" spans="1:1" s="427" customFormat="1" ht="12" hidden="1" customHeight="1">
      <c r="A1400" s="426"/>
    </row>
    <row r="1401" spans="1:1" s="427" customFormat="1" ht="12" hidden="1" customHeight="1">
      <c r="A1401" s="426"/>
    </row>
    <row r="1402" spans="1:1" s="427" customFormat="1" ht="12" hidden="1" customHeight="1">
      <c r="A1402" s="426"/>
    </row>
    <row r="1403" spans="1:1" s="427" customFormat="1" ht="12" hidden="1" customHeight="1">
      <c r="A1403" s="426"/>
    </row>
    <row r="1404" spans="1:1" s="427" customFormat="1" ht="12" hidden="1" customHeight="1">
      <c r="A1404" s="426"/>
    </row>
    <row r="1405" spans="1:1" s="427" customFormat="1" ht="12" hidden="1" customHeight="1">
      <c r="A1405" s="426"/>
    </row>
    <row r="1406" spans="1:1" s="427" customFormat="1" ht="12" hidden="1" customHeight="1">
      <c r="A1406" s="426"/>
    </row>
    <row r="1407" spans="1:1" s="427" customFormat="1" ht="12" hidden="1" customHeight="1">
      <c r="A1407" s="426"/>
    </row>
    <row r="1408" spans="1:1" s="427" customFormat="1" ht="12" hidden="1" customHeight="1">
      <c r="A1408" s="426"/>
    </row>
    <row r="1409" spans="1:1" s="427" customFormat="1" ht="12" hidden="1" customHeight="1">
      <c r="A1409" s="426"/>
    </row>
    <row r="1410" spans="1:1" s="427" customFormat="1" ht="12" hidden="1" customHeight="1">
      <c r="A1410" s="426"/>
    </row>
    <row r="1411" spans="1:1" s="427" customFormat="1" ht="12" hidden="1" customHeight="1">
      <c r="A1411" s="426"/>
    </row>
    <row r="1412" spans="1:1" s="427" customFormat="1" ht="12" hidden="1" customHeight="1">
      <c r="A1412" s="426"/>
    </row>
    <row r="1413" spans="1:1" s="427" customFormat="1" ht="12" hidden="1" customHeight="1">
      <c r="A1413" s="426"/>
    </row>
    <row r="1414" spans="1:1" s="427" customFormat="1" ht="12" hidden="1" customHeight="1">
      <c r="A1414" s="426"/>
    </row>
    <row r="1415" spans="1:1" s="427" customFormat="1" ht="12" hidden="1" customHeight="1">
      <c r="A1415" s="426"/>
    </row>
    <row r="1416" spans="1:1" s="427" customFormat="1" ht="12" hidden="1" customHeight="1">
      <c r="A1416" s="426"/>
    </row>
    <row r="1417" spans="1:1" s="427" customFormat="1" ht="12" hidden="1" customHeight="1">
      <c r="A1417" s="426"/>
    </row>
    <row r="1418" spans="1:1" s="427" customFormat="1" ht="12" hidden="1" customHeight="1">
      <c r="A1418" s="426"/>
    </row>
    <row r="1419" spans="1:1" s="427" customFormat="1" ht="12" hidden="1" customHeight="1">
      <c r="A1419" s="426"/>
    </row>
    <row r="1420" spans="1:1" s="427" customFormat="1" ht="12" hidden="1" customHeight="1">
      <c r="A1420" s="426"/>
    </row>
    <row r="1421" spans="1:1" s="427" customFormat="1" ht="12" hidden="1" customHeight="1">
      <c r="A1421" s="426"/>
    </row>
    <row r="1422" spans="1:1" s="427" customFormat="1" ht="12" hidden="1" customHeight="1">
      <c r="A1422" s="426"/>
    </row>
    <row r="1423" spans="1:1" s="427" customFormat="1" ht="12" hidden="1" customHeight="1">
      <c r="A1423" s="426"/>
    </row>
    <row r="1424" spans="1:1" s="427" customFormat="1" ht="12" hidden="1" customHeight="1">
      <c r="A1424" s="426"/>
    </row>
    <row r="1425" spans="1:1" s="427" customFormat="1" ht="12" hidden="1" customHeight="1">
      <c r="A1425" s="426"/>
    </row>
    <row r="1426" spans="1:1" s="427" customFormat="1" ht="12" hidden="1" customHeight="1">
      <c r="A1426" s="426"/>
    </row>
    <row r="1427" spans="1:1" s="427" customFormat="1" ht="12" hidden="1" customHeight="1">
      <c r="A1427" s="426"/>
    </row>
    <row r="1428" spans="1:1" s="427" customFormat="1" ht="12" hidden="1" customHeight="1">
      <c r="A1428" s="426"/>
    </row>
    <row r="1429" spans="1:1" s="427" customFormat="1" ht="12" hidden="1" customHeight="1">
      <c r="A1429" s="426"/>
    </row>
    <row r="1430" spans="1:1" s="427" customFormat="1" ht="12" hidden="1" customHeight="1">
      <c r="A1430" s="426"/>
    </row>
    <row r="1431" spans="1:1" s="427" customFormat="1" ht="12" hidden="1" customHeight="1">
      <c r="A1431" s="426"/>
    </row>
    <row r="1432" spans="1:1" s="427" customFormat="1" ht="12" hidden="1" customHeight="1">
      <c r="A1432" s="426"/>
    </row>
    <row r="1433" spans="1:1" s="427" customFormat="1" ht="12" hidden="1" customHeight="1">
      <c r="A1433" s="426"/>
    </row>
    <row r="1434" spans="1:1" s="427" customFormat="1" ht="12" hidden="1" customHeight="1">
      <c r="A1434" s="426"/>
    </row>
    <row r="1435" spans="1:1" s="427" customFormat="1" ht="12" hidden="1" customHeight="1">
      <c r="A1435" s="426"/>
    </row>
    <row r="1436" spans="1:1" s="427" customFormat="1" ht="12" hidden="1" customHeight="1">
      <c r="A1436" s="426"/>
    </row>
    <row r="1437" spans="1:1" s="427" customFormat="1" ht="12" hidden="1" customHeight="1">
      <c r="A1437" s="426"/>
    </row>
    <row r="1438" spans="1:1" s="427" customFormat="1" ht="12" hidden="1" customHeight="1">
      <c r="A1438" s="426"/>
    </row>
    <row r="1439" spans="1:1" s="427" customFormat="1" ht="12" hidden="1" customHeight="1">
      <c r="A1439" s="426"/>
    </row>
    <row r="1440" spans="1:1" s="427" customFormat="1" ht="12" hidden="1" customHeight="1">
      <c r="A1440" s="426"/>
    </row>
    <row r="1441" spans="1:1" s="427" customFormat="1" ht="12" hidden="1" customHeight="1">
      <c r="A1441" s="426"/>
    </row>
    <row r="1442" spans="1:1" s="427" customFormat="1" ht="12" hidden="1" customHeight="1">
      <c r="A1442" s="426"/>
    </row>
    <row r="1443" spans="1:1" s="427" customFormat="1" ht="12" hidden="1" customHeight="1">
      <c r="A1443" s="426"/>
    </row>
    <row r="1444" spans="1:1" s="427" customFormat="1" ht="12" hidden="1" customHeight="1">
      <c r="A1444" s="426"/>
    </row>
    <row r="1445" spans="1:1" s="427" customFormat="1" ht="12" hidden="1" customHeight="1">
      <c r="A1445" s="426"/>
    </row>
    <row r="1446" spans="1:1" s="427" customFormat="1" ht="12" hidden="1" customHeight="1">
      <c r="A1446" s="426"/>
    </row>
    <row r="1447" spans="1:1" s="427" customFormat="1" ht="12" hidden="1" customHeight="1">
      <c r="A1447" s="426"/>
    </row>
    <row r="1448" spans="1:1" s="427" customFormat="1" ht="12" hidden="1" customHeight="1">
      <c r="A1448" s="426"/>
    </row>
    <row r="1449" spans="1:1" s="427" customFormat="1" ht="12" hidden="1" customHeight="1">
      <c r="A1449" s="426"/>
    </row>
    <row r="1450" spans="1:1" s="427" customFormat="1" ht="12" hidden="1" customHeight="1">
      <c r="A1450" s="426"/>
    </row>
    <row r="1451" spans="1:1" s="427" customFormat="1" ht="12" hidden="1" customHeight="1">
      <c r="A1451" s="426"/>
    </row>
    <row r="1452" spans="1:1" s="427" customFormat="1" ht="12" hidden="1" customHeight="1">
      <c r="A1452" s="426"/>
    </row>
    <row r="1453" spans="1:1" s="427" customFormat="1" ht="12" hidden="1" customHeight="1">
      <c r="A1453" s="426"/>
    </row>
    <row r="1454" spans="1:1" s="427" customFormat="1" ht="12" hidden="1" customHeight="1">
      <c r="A1454" s="426"/>
    </row>
    <row r="1455" spans="1:1" s="427" customFormat="1" ht="12" hidden="1" customHeight="1">
      <c r="A1455" s="426"/>
    </row>
    <row r="1456" spans="1:1" s="427" customFormat="1" ht="12" hidden="1" customHeight="1">
      <c r="A1456" s="426"/>
    </row>
    <row r="1457" spans="1:1" s="427" customFormat="1" ht="12" hidden="1" customHeight="1">
      <c r="A1457" s="426"/>
    </row>
    <row r="1458" spans="1:1" s="427" customFormat="1" ht="12" hidden="1" customHeight="1">
      <c r="A1458" s="426"/>
    </row>
    <row r="1459" spans="1:1" s="427" customFormat="1" ht="12" hidden="1" customHeight="1">
      <c r="A1459" s="426"/>
    </row>
    <row r="1460" spans="1:1" s="427" customFormat="1" ht="12" hidden="1" customHeight="1">
      <c r="A1460" s="426"/>
    </row>
    <row r="1461" spans="1:1" s="427" customFormat="1" ht="12" hidden="1" customHeight="1">
      <c r="A1461" s="426"/>
    </row>
    <row r="1462" spans="1:1" s="427" customFormat="1" ht="12" hidden="1" customHeight="1">
      <c r="A1462" s="426"/>
    </row>
    <row r="1463" spans="1:1" s="427" customFormat="1" ht="12" hidden="1" customHeight="1">
      <c r="A1463" s="426"/>
    </row>
    <row r="1464" spans="1:1" s="427" customFormat="1" ht="12" hidden="1" customHeight="1">
      <c r="A1464" s="426"/>
    </row>
    <row r="1465" spans="1:1" s="427" customFormat="1" ht="12" hidden="1" customHeight="1">
      <c r="A1465" s="426"/>
    </row>
    <row r="1466" spans="1:1" s="427" customFormat="1" ht="12" hidden="1" customHeight="1">
      <c r="A1466" s="426"/>
    </row>
    <row r="1467" spans="1:1" s="427" customFormat="1" ht="12" hidden="1" customHeight="1">
      <c r="A1467" s="426"/>
    </row>
    <row r="1468" spans="1:1" s="427" customFormat="1" ht="12" hidden="1" customHeight="1">
      <c r="A1468" s="426"/>
    </row>
    <row r="1469" spans="1:1" s="427" customFormat="1" ht="12" hidden="1" customHeight="1">
      <c r="A1469" s="426"/>
    </row>
    <row r="1470" spans="1:1" s="427" customFormat="1" ht="12" hidden="1" customHeight="1">
      <c r="A1470" s="426"/>
    </row>
    <row r="1471" spans="1:1" s="427" customFormat="1" ht="12" hidden="1" customHeight="1">
      <c r="A1471" s="426"/>
    </row>
    <row r="1472" spans="1:1" s="427" customFormat="1" ht="12" hidden="1" customHeight="1">
      <c r="A1472" s="426"/>
    </row>
    <row r="1473" spans="1:1" s="427" customFormat="1" ht="12" hidden="1" customHeight="1">
      <c r="A1473" s="426"/>
    </row>
    <row r="1474" spans="1:1" s="427" customFormat="1" ht="12" hidden="1" customHeight="1">
      <c r="A1474" s="426"/>
    </row>
    <row r="1475" spans="1:1" s="427" customFormat="1" ht="12" hidden="1" customHeight="1">
      <c r="A1475" s="426"/>
    </row>
    <row r="1476" spans="1:1" s="427" customFormat="1" ht="12" hidden="1" customHeight="1">
      <c r="A1476" s="426"/>
    </row>
    <row r="1477" spans="1:1" s="427" customFormat="1" ht="12" hidden="1" customHeight="1">
      <c r="A1477" s="426"/>
    </row>
    <row r="1478" spans="1:1" s="427" customFormat="1" ht="12" hidden="1" customHeight="1">
      <c r="A1478" s="426"/>
    </row>
    <row r="1479" spans="1:1" s="427" customFormat="1" ht="12" hidden="1" customHeight="1">
      <c r="A1479" s="426"/>
    </row>
    <row r="1480" spans="1:1" s="427" customFormat="1" ht="12" hidden="1" customHeight="1">
      <c r="A1480" s="426"/>
    </row>
    <row r="1481" spans="1:1" s="427" customFormat="1" ht="12" hidden="1" customHeight="1">
      <c r="A1481" s="426"/>
    </row>
    <row r="1482" spans="1:1" s="427" customFormat="1" ht="12" hidden="1" customHeight="1">
      <c r="A1482" s="426"/>
    </row>
    <row r="1483" spans="1:1" s="427" customFormat="1" ht="12" hidden="1" customHeight="1">
      <c r="A1483" s="426"/>
    </row>
    <row r="1484" spans="1:1" s="427" customFormat="1" ht="12" hidden="1" customHeight="1">
      <c r="A1484" s="426"/>
    </row>
    <row r="1485" spans="1:1" s="427" customFormat="1" ht="12" hidden="1" customHeight="1">
      <c r="A1485" s="426"/>
    </row>
    <row r="1486" spans="1:1" s="427" customFormat="1" ht="12" hidden="1" customHeight="1">
      <c r="A1486" s="426"/>
    </row>
    <row r="1487" spans="1:1" s="427" customFormat="1" ht="12" hidden="1" customHeight="1">
      <c r="A1487" s="426"/>
    </row>
    <row r="1488" spans="1:1" s="427" customFormat="1" ht="12" hidden="1" customHeight="1">
      <c r="A1488" s="426"/>
    </row>
    <row r="1489" spans="1:1" s="427" customFormat="1" ht="12" hidden="1" customHeight="1">
      <c r="A1489" s="426"/>
    </row>
    <row r="1490" spans="1:1" s="427" customFormat="1" ht="12" hidden="1" customHeight="1">
      <c r="A1490" s="426"/>
    </row>
    <row r="1491" spans="1:1" s="427" customFormat="1" ht="12" hidden="1" customHeight="1">
      <c r="A1491" s="426"/>
    </row>
    <row r="1492" spans="1:1" s="427" customFormat="1" ht="12" hidden="1" customHeight="1">
      <c r="A1492" s="426"/>
    </row>
    <row r="1493" spans="1:1" s="427" customFormat="1" ht="12" hidden="1" customHeight="1">
      <c r="A1493" s="426"/>
    </row>
    <row r="1494" spans="1:1" s="427" customFormat="1" ht="12" hidden="1" customHeight="1">
      <c r="A1494" s="426"/>
    </row>
    <row r="1495" spans="1:1" s="427" customFormat="1" ht="12" hidden="1" customHeight="1">
      <c r="A1495" s="426"/>
    </row>
    <row r="1496" spans="1:1" s="427" customFormat="1" ht="12" hidden="1" customHeight="1">
      <c r="A1496" s="426"/>
    </row>
    <row r="1497" spans="1:1" s="427" customFormat="1" ht="12" hidden="1" customHeight="1">
      <c r="A1497" s="426"/>
    </row>
    <row r="1498" spans="1:1" s="427" customFormat="1" ht="12" hidden="1" customHeight="1">
      <c r="A1498" s="426"/>
    </row>
    <row r="1499" spans="1:1" s="427" customFormat="1" ht="12" hidden="1" customHeight="1">
      <c r="A1499" s="426"/>
    </row>
    <row r="1500" spans="1:1" s="427" customFormat="1" ht="12" hidden="1" customHeight="1">
      <c r="A1500" s="426"/>
    </row>
    <row r="1501" spans="1:1" s="427" customFormat="1" ht="12" hidden="1" customHeight="1">
      <c r="A1501" s="426"/>
    </row>
    <row r="1502" spans="1:1" s="427" customFormat="1" ht="12" hidden="1" customHeight="1">
      <c r="A1502" s="426"/>
    </row>
    <row r="1503" spans="1:1" s="427" customFormat="1" ht="12" hidden="1" customHeight="1">
      <c r="A1503" s="426"/>
    </row>
    <row r="1504" spans="1:1" s="427" customFormat="1" ht="12" hidden="1" customHeight="1">
      <c r="A1504" s="426"/>
    </row>
    <row r="1505" spans="1:1" s="427" customFormat="1" ht="12" hidden="1" customHeight="1">
      <c r="A1505" s="426"/>
    </row>
    <row r="1506" spans="1:1" s="427" customFormat="1" ht="12" hidden="1" customHeight="1">
      <c r="A1506" s="426"/>
    </row>
    <row r="1507" spans="1:1" s="427" customFormat="1" ht="12" hidden="1" customHeight="1">
      <c r="A1507" s="426"/>
    </row>
    <row r="1508" spans="1:1" s="427" customFormat="1" ht="12" hidden="1" customHeight="1">
      <c r="A1508" s="426"/>
    </row>
    <row r="1509" spans="1:1" s="427" customFormat="1" ht="12" hidden="1" customHeight="1">
      <c r="A1509" s="426"/>
    </row>
    <row r="1510" spans="1:1" s="427" customFormat="1" ht="12" hidden="1" customHeight="1">
      <c r="A1510" s="426"/>
    </row>
    <row r="1511" spans="1:1" s="427" customFormat="1" ht="12" hidden="1" customHeight="1">
      <c r="A1511" s="426"/>
    </row>
    <row r="1512" spans="1:1" s="427" customFormat="1" ht="12" hidden="1" customHeight="1">
      <c r="A1512" s="426"/>
    </row>
    <row r="1513" spans="1:1" s="427" customFormat="1" ht="12" hidden="1" customHeight="1">
      <c r="A1513" s="426"/>
    </row>
    <row r="1514" spans="1:1" s="427" customFormat="1" ht="12" hidden="1" customHeight="1">
      <c r="A1514" s="426"/>
    </row>
    <row r="1515" spans="1:1" s="427" customFormat="1" ht="12" hidden="1" customHeight="1">
      <c r="A1515" s="426"/>
    </row>
    <row r="1516" spans="1:1" s="427" customFormat="1" ht="12" hidden="1" customHeight="1">
      <c r="A1516" s="426"/>
    </row>
    <row r="1517" spans="1:1" s="427" customFormat="1" ht="12" hidden="1" customHeight="1">
      <c r="A1517" s="426"/>
    </row>
    <row r="1518" spans="1:1" s="427" customFormat="1" ht="12" hidden="1" customHeight="1">
      <c r="A1518" s="426"/>
    </row>
    <row r="1519" spans="1:1" s="427" customFormat="1" ht="12" hidden="1" customHeight="1">
      <c r="A1519" s="426"/>
    </row>
    <row r="1520" spans="1:1" s="427" customFormat="1" ht="12" hidden="1" customHeight="1">
      <c r="A1520" s="426"/>
    </row>
    <row r="1521" spans="1:1" s="427" customFormat="1" ht="12" hidden="1" customHeight="1">
      <c r="A1521" s="426"/>
    </row>
    <row r="1522" spans="1:1" s="427" customFormat="1" ht="12" hidden="1" customHeight="1">
      <c r="A1522" s="426"/>
    </row>
    <row r="1523" spans="1:1" s="427" customFormat="1" ht="12" hidden="1" customHeight="1">
      <c r="A1523" s="426"/>
    </row>
    <row r="1524" spans="1:1" s="427" customFormat="1" ht="12" hidden="1" customHeight="1">
      <c r="A1524" s="426"/>
    </row>
    <row r="1525" spans="1:1" s="427" customFormat="1" ht="12" hidden="1" customHeight="1">
      <c r="A1525" s="426"/>
    </row>
    <row r="1526" spans="1:1" s="427" customFormat="1" ht="12" hidden="1" customHeight="1">
      <c r="A1526" s="426"/>
    </row>
    <row r="1527" spans="1:1" s="427" customFormat="1" ht="12" hidden="1" customHeight="1">
      <c r="A1527" s="426"/>
    </row>
    <row r="1528" spans="1:1" s="427" customFormat="1" ht="12" hidden="1" customHeight="1">
      <c r="A1528" s="426"/>
    </row>
    <row r="1529" spans="1:1" s="427" customFormat="1" ht="12" hidden="1" customHeight="1">
      <c r="A1529" s="426"/>
    </row>
    <row r="1530" spans="1:1" s="427" customFormat="1" ht="12" hidden="1" customHeight="1">
      <c r="A1530" s="426"/>
    </row>
    <row r="1531" spans="1:1" s="427" customFormat="1" ht="12" hidden="1" customHeight="1">
      <c r="A1531" s="426"/>
    </row>
    <row r="1532" spans="1:1" s="427" customFormat="1" ht="12" hidden="1" customHeight="1">
      <c r="A1532" s="426"/>
    </row>
    <row r="1533" spans="1:1" s="427" customFormat="1" ht="12" hidden="1" customHeight="1">
      <c r="A1533" s="426"/>
    </row>
    <row r="1534" spans="1:1" s="427" customFormat="1" ht="12" hidden="1" customHeight="1">
      <c r="A1534" s="426"/>
    </row>
    <row r="1535" spans="1:1" s="427" customFormat="1" ht="12" hidden="1" customHeight="1">
      <c r="A1535" s="426"/>
    </row>
    <row r="1536" spans="1:1" s="427" customFormat="1" ht="12" hidden="1" customHeight="1">
      <c r="A1536" s="426"/>
    </row>
    <row r="1537" spans="1:1" s="427" customFormat="1" ht="12" hidden="1" customHeight="1">
      <c r="A1537" s="426"/>
    </row>
    <row r="1538" spans="1:1" s="427" customFormat="1" ht="12" hidden="1" customHeight="1">
      <c r="A1538" s="426"/>
    </row>
    <row r="1539" spans="1:1" s="427" customFormat="1" ht="12" hidden="1" customHeight="1">
      <c r="A1539" s="426"/>
    </row>
    <row r="1540" spans="1:1" s="427" customFormat="1" ht="12" hidden="1" customHeight="1">
      <c r="A1540" s="426"/>
    </row>
    <row r="1541" spans="1:1" s="427" customFormat="1" ht="12" hidden="1" customHeight="1">
      <c r="A1541" s="426"/>
    </row>
    <row r="1542" spans="1:1" s="427" customFormat="1" ht="12" hidden="1" customHeight="1">
      <c r="A1542" s="426"/>
    </row>
    <row r="1543" spans="1:1" s="427" customFormat="1" ht="12" hidden="1" customHeight="1">
      <c r="A1543" s="426"/>
    </row>
    <row r="1544" spans="1:1" s="427" customFormat="1" ht="12" hidden="1" customHeight="1">
      <c r="A1544" s="426"/>
    </row>
    <row r="1545" spans="1:1" s="427" customFormat="1" ht="12" hidden="1" customHeight="1">
      <c r="A1545" s="426"/>
    </row>
    <row r="1546" spans="1:1" s="427" customFormat="1" ht="12" hidden="1" customHeight="1">
      <c r="A1546" s="426"/>
    </row>
    <row r="1547" spans="1:1" s="427" customFormat="1" ht="12" hidden="1" customHeight="1">
      <c r="A1547" s="426"/>
    </row>
    <row r="1548" spans="1:1" s="427" customFormat="1" ht="12" hidden="1" customHeight="1">
      <c r="A1548" s="426"/>
    </row>
    <row r="1549" spans="1:1" s="427" customFormat="1" ht="12" hidden="1" customHeight="1">
      <c r="A1549" s="426"/>
    </row>
    <row r="1550" spans="1:1" s="427" customFormat="1" ht="12" hidden="1" customHeight="1">
      <c r="A1550" s="426"/>
    </row>
    <row r="1551" spans="1:1" s="427" customFormat="1" ht="12" hidden="1" customHeight="1">
      <c r="A1551" s="426"/>
    </row>
    <row r="1552" spans="1:1" s="427" customFormat="1" ht="12" hidden="1" customHeight="1">
      <c r="A1552" s="426"/>
    </row>
    <row r="1553" spans="1:1" s="427" customFormat="1" ht="12" hidden="1" customHeight="1">
      <c r="A1553" s="426"/>
    </row>
    <row r="1554" spans="1:1" s="427" customFormat="1" ht="12" hidden="1" customHeight="1">
      <c r="A1554" s="426"/>
    </row>
    <row r="1555" spans="1:1" s="427" customFormat="1" ht="12" hidden="1" customHeight="1">
      <c r="A1555" s="426"/>
    </row>
    <row r="1556" spans="1:1" s="427" customFormat="1" ht="12" hidden="1" customHeight="1">
      <c r="A1556" s="426"/>
    </row>
    <row r="1557" spans="1:1" s="427" customFormat="1" ht="12" hidden="1" customHeight="1">
      <c r="A1557" s="426"/>
    </row>
    <row r="1558" spans="1:1" s="427" customFormat="1" ht="12" hidden="1" customHeight="1">
      <c r="A1558" s="426"/>
    </row>
    <row r="1559" spans="1:1" s="427" customFormat="1" ht="12" hidden="1" customHeight="1">
      <c r="A1559" s="426"/>
    </row>
    <row r="1560" spans="1:1" s="427" customFormat="1" ht="12" hidden="1" customHeight="1">
      <c r="A1560" s="426"/>
    </row>
    <row r="1561" spans="1:1" s="427" customFormat="1" ht="12" hidden="1" customHeight="1">
      <c r="A1561" s="426"/>
    </row>
    <row r="1562" spans="1:1" s="427" customFormat="1" ht="12" hidden="1" customHeight="1">
      <c r="A1562" s="426"/>
    </row>
    <row r="1563" spans="1:1" s="427" customFormat="1" ht="12" hidden="1" customHeight="1">
      <c r="A1563" s="426"/>
    </row>
    <row r="1564" spans="1:1" s="427" customFormat="1" ht="12" hidden="1" customHeight="1">
      <c r="A1564" s="426"/>
    </row>
    <row r="1565" spans="1:1" s="427" customFormat="1" ht="12" hidden="1" customHeight="1">
      <c r="A1565" s="426"/>
    </row>
    <row r="1566" spans="1:1" s="427" customFormat="1" ht="12" hidden="1" customHeight="1">
      <c r="A1566" s="426"/>
    </row>
    <row r="1567" spans="1:1" s="427" customFormat="1" ht="12" hidden="1" customHeight="1">
      <c r="A1567" s="426"/>
    </row>
    <row r="1568" spans="1:1" s="427" customFormat="1" ht="12" hidden="1" customHeight="1">
      <c r="A1568" s="426"/>
    </row>
    <row r="1569" spans="1:1" s="427" customFormat="1" ht="12" hidden="1" customHeight="1">
      <c r="A1569" s="426"/>
    </row>
    <row r="1570" spans="1:1" s="427" customFormat="1" ht="12" hidden="1" customHeight="1">
      <c r="A1570" s="426"/>
    </row>
    <row r="1571" spans="1:1" s="427" customFormat="1" ht="12" hidden="1" customHeight="1">
      <c r="A1571" s="426"/>
    </row>
    <row r="1572" spans="1:1" s="427" customFormat="1" ht="12" hidden="1" customHeight="1">
      <c r="A1572" s="426"/>
    </row>
    <row r="1573" spans="1:1" s="427" customFormat="1" ht="12" hidden="1" customHeight="1">
      <c r="A1573" s="426"/>
    </row>
    <row r="1574" spans="1:1" s="427" customFormat="1" ht="12" hidden="1" customHeight="1">
      <c r="A1574" s="426"/>
    </row>
    <row r="1575" spans="1:1" s="427" customFormat="1" ht="12" hidden="1" customHeight="1">
      <c r="A1575" s="426"/>
    </row>
    <row r="1576" spans="1:1" s="427" customFormat="1" ht="12" hidden="1" customHeight="1">
      <c r="A1576" s="426"/>
    </row>
    <row r="1577" spans="1:1" s="427" customFormat="1" ht="12" hidden="1" customHeight="1">
      <c r="A1577" s="426"/>
    </row>
    <row r="1578" spans="1:1" s="427" customFormat="1" ht="12" hidden="1" customHeight="1">
      <c r="A1578" s="426"/>
    </row>
    <row r="1579" spans="1:1" s="427" customFormat="1" ht="12" hidden="1" customHeight="1">
      <c r="A1579" s="426"/>
    </row>
    <row r="1580" spans="1:1" s="427" customFormat="1" ht="12" hidden="1" customHeight="1">
      <c r="A1580" s="426"/>
    </row>
    <row r="1581" spans="1:1" s="427" customFormat="1" ht="12" hidden="1" customHeight="1">
      <c r="A1581" s="426"/>
    </row>
    <row r="1582" spans="1:1" s="427" customFormat="1" ht="12" hidden="1" customHeight="1">
      <c r="A1582" s="426"/>
    </row>
    <row r="1583" spans="1:1" s="427" customFormat="1" ht="12" hidden="1" customHeight="1">
      <c r="A1583" s="426"/>
    </row>
    <row r="1584" spans="1:1" s="427" customFormat="1" ht="12" hidden="1" customHeight="1">
      <c r="A1584" s="426"/>
    </row>
    <row r="1585" spans="1:1" s="427" customFormat="1" ht="12" hidden="1" customHeight="1">
      <c r="A1585" s="426"/>
    </row>
    <row r="1586" spans="1:1" s="427" customFormat="1" ht="12" hidden="1" customHeight="1">
      <c r="A1586" s="426"/>
    </row>
    <row r="1587" spans="1:1" s="427" customFormat="1" ht="12" hidden="1" customHeight="1">
      <c r="A1587" s="426"/>
    </row>
    <row r="1588" spans="1:1" s="427" customFormat="1" ht="12" hidden="1" customHeight="1">
      <c r="A1588" s="426"/>
    </row>
    <row r="1589" spans="1:1" s="427" customFormat="1" ht="12" hidden="1" customHeight="1">
      <c r="A1589" s="426"/>
    </row>
    <row r="1590" spans="1:1" s="427" customFormat="1" ht="12" hidden="1" customHeight="1">
      <c r="A1590" s="426"/>
    </row>
    <row r="1591" spans="1:1" s="427" customFormat="1" ht="12" hidden="1" customHeight="1">
      <c r="A1591" s="426"/>
    </row>
    <row r="1592" spans="1:1" s="427" customFormat="1" ht="12" hidden="1" customHeight="1">
      <c r="A1592" s="426"/>
    </row>
    <row r="1593" spans="1:1" s="427" customFormat="1" ht="12" hidden="1" customHeight="1">
      <c r="A1593" s="426"/>
    </row>
    <row r="1594" spans="1:1" s="427" customFormat="1" ht="12" hidden="1" customHeight="1">
      <c r="A1594" s="426"/>
    </row>
    <row r="1595" spans="1:1" s="427" customFormat="1" ht="12" hidden="1" customHeight="1">
      <c r="A1595" s="426"/>
    </row>
    <row r="1596" spans="1:1" s="427" customFormat="1" ht="12" hidden="1" customHeight="1">
      <c r="A1596" s="426"/>
    </row>
    <row r="1597" spans="1:1" s="427" customFormat="1" ht="12" hidden="1" customHeight="1">
      <c r="A1597" s="426"/>
    </row>
    <row r="1598" spans="1:1" s="427" customFormat="1" ht="12" hidden="1" customHeight="1">
      <c r="A1598" s="426"/>
    </row>
    <row r="1599" spans="1:1" s="427" customFormat="1" ht="12" hidden="1" customHeight="1">
      <c r="A1599" s="426"/>
    </row>
    <row r="1600" spans="1:1" s="427" customFormat="1" ht="12" hidden="1" customHeight="1">
      <c r="A1600" s="426"/>
    </row>
    <row r="1601" spans="1:1" s="427" customFormat="1" ht="12" hidden="1" customHeight="1">
      <c r="A1601" s="426"/>
    </row>
    <row r="1602" spans="1:1" s="427" customFormat="1" ht="12" hidden="1" customHeight="1">
      <c r="A1602" s="426"/>
    </row>
    <row r="1603" spans="1:1" s="427" customFormat="1" ht="12" hidden="1" customHeight="1">
      <c r="A1603" s="426"/>
    </row>
    <row r="1604" spans="1:1" s="427" customFormat="1" ht="12" hidden="1" customHeight="1">
      <c r="A1604" s="426"/>
    </row>
    <row r="1605" spans="1:1" s="427" customFormat="1" ht="12" hidden="1" customHeight="1">
      <c r="A1605" s="426"/>
    </row>
    <row r="1606" spans="1:1" s="427" customFormat="1" ht="12" hidden="1" customHeight="1">
      <c r="A1606" s="426"/>
    </row>
    <row r="1607" spans="1:1" s="427" customFormat="1" ht="12" hidden="1" customHeight="1">
      <c r="A1607" s="426"/>
    </row>
    <row r="1608" spans="1:1" s="427" customFormat="1" ht="12" hidden="1" customHeight="1">
      <c r="A1608" s="426"/>
    </row>
    <row r="1609" spans="1:1" s="427" customFormat="1" ht="12" hidden="1" customHeight="1">
      <c r="A1609" s="426"/>
    </row>
    <row r="1610" spans="1:1" s="427" customFormat="1" ht="12" hidden="1" customHeight="1">
      <c r="A1610" s="426"/>
    </row>
    <row r="1611" spans="1:1" s="427" customFormat="1" ht="12" hidden="1" customHeight="1">
      <c r="A1611" s="426"/>
    </row>
    <row r="1612" spans="1:1" s="427" customFormat="1" ht="12" hidden="1" customHeight="1">
      <c r="A1612" s="426"/>
    </row>
    <row r="1613" spans="1:1" s="427" customFormat="1" ht="12" hidden="1" customHeight="1">
      <c r="A1613" s="426"/>
    </row>
    <row r="1614" spans="1:1" s="427" customFormat="1" ht="12" hidden="1" customHeight="1">
      <c r="A1614" s="426"/>
    </row>
    <row r="1615" spans="1:1" s="427" customFormat="1" ht="12" hidden="1" customHeight="1">
      <c r="A1615" s="426"/>
    </row>
    <row r="1616" spans="1:1" s="427" customFormat="1" ht="12" hidden="1" customHeight="1">
      <c r="A1616" s="426"/>
    </row>
    <row r="1617" spans="1:1" s="427" customFormat="1" ht="12" hidden="1" customHeight="1">
      <c r="A1617" s="426"/>
    </row>
    <row r="1618" spans="1:1" s="427" customFormat="1" ht="12" hidden="1" customHeight="1">
      <c r="A1618" s="426"/>
    </row>
    <row r="1619" spans="1:1" s="427" customFormat="1" ht="12" hidden="1" customHeight="1">
      <c r="A1619" s="426"/>
    </row>
    <row r="1620" spans="1:1" s="427" customFormat="1" ht="12" hidden="1" customHeight="1">
      <c r="A1620" s="426"/>
    </row>
    <row r="1621" spans="1:1" s="427" customFormat="1" ht="12" hidden="1" customHeight="1">
      <c r="A1621" s="426"/>
    </row>
    <row r="1622" spans="1:1" s="427" customFormat="1" ht="12" hidden="1" customHeight="1">
      <c r="A1622" s="426"/>
    </row>
    <row r="1623" spans="1:1" s="427" customFormat="1" ht="12" hidden="1" customHeight="1">
      <c r="A1623" s="426"/>
    </row>
    <row r="1624" spans="1:1" s="427" customFormat="1" ht="12" hidden="1" customHeight="1">
      <c r="A1624" s="426"/>
    </row>
    <row r="1625" spans="1:1" s="427" customFormat="1" ht="12" hidden="1" customHeight="1">
      <c r="A1625" s="426"/>
    </row>
    <row r="1626" spans="1:1" s="427" customFormat="1" ht="12" hidden="1" customHeight="1">
      <c r="A1626" s="426"/>
    </row>
    <row r="1627" spans="1:1" s="427" customFormat="1" ht="12" hidden="1" customHeight="1">
      <c r="A1627" s="426"/>
    </row>
    <row r="1628" spans="1:1" s="427" customFormat="1" ht="12" hidden="1" customHeight="1">
      <c r="A1628" s="426"/>
    </row>
    <row r="1629" spans="1:1" s="427" customFormat="1" ht="12" hidden="1" customHeight="1">
      <c r="A1629" s="426"/>
    </row>
    <row r="1630" spans="1:1" s="427" customFormat="1" ht="12" hidden="1" customHeight="1">
      <c r="A1630" s="426"/>
    </row>
    <row r="1631" spans="1:1" s="427" customFormat="1" ht="12" hidden="1" customHeight="1">
      <c r="A1631" s="426"/>
    </row>
    <row r="1632" spans="1:1" s="427" customFormat="1" ht="12" hidden="1" customHeight="1">
      <c r="A1632" s="426"/>
    </row>
    <row r="1633" spans="1:1" s="427" customFormat="1" ht="12" hidden="1" customHeight="1">
      <c r="A1633" s="426"/>
    </row>
    <row r="1634" spans="1:1" s="427" customFormat="1" ht="12" hidden="1" customHeight="1">
      <c r="A1634" s="426"/>
    </row>
    <row r="1635" spans="1:1" s="427" customFormat="1" ht="12" hidden="1" customHeight="1">
      <c r="A1635" s="426"/>
    </row>
    <row r="1636" spans="1:1" s="427" customFormat="1" ht="12" hidden="1" customHeight="1">
      <c r="A1636" s="426"/>
    </row>
    <row r="1637" spans="1:1" s="427" customFormat="1" ht="12" hidden="1" customHeight="1">
      <c r="A1637" s="426"/>
    </row>
    <row r="1638" spans="1:1" s="427" customFormat="1" ht="12" hidden="1" customHeight="1">
      <c r="A1638" s="426"/>
    </row>
    <row r="1639" spans="1:1" s="427" customFormat="1" ht="12" hidden="1" customHeight="1">
      <c r="A1639" s="426"/>
    </row>
    <row r="1640" spans="1:1" s="427" customFormat="1" ht="12" hidden="1" customHeight="1">
      <c r="A1640" s="426"/>
    </row>
    <row r="1641" spans="1:1" s="427" customFormat="1" ht="12" hidden="1" customHeight="1">
      <c r="A1641" s="426"/>
    </row>
    <row r="1642" spans="1:1" s="427" customFormat="1" ht="12" hidden="1" customHeight="1">
      <c r="A1642" s="426"/>
    </row>
    <row r="1643" spans="1:1" s="427" customFormat="1" ht="12" hidden="1" customHeight="1">
      <c r="A1643" s="426"/>
    </row>
    <row r="1644" spans="1:1" s="427" customFormat="1" ht="12" hidden="1" customHeight="1">
      <c r="A1644" s="426"/>
    </row>
    <row r="1645" spans="1:1" s="427" customFormat="1" ht="12" hidden="1" customHeight="1">
      <c r="A1645" s="426"/>
    </row>
    <row r="1646" spans="1:1" s="427" customFormat="1" ht="12" hidden="1" customHeight="1">
      <c r="A1646" s="426"/>
    </row>
    <row r="1647" spans="1:1" s="427" customFormat="1" ht="12" hidden="1" customHeight="1">
      <c r="A1647" s="426"/>
    </row>
    <row r="1648" spans="1:1" s="427" customFormat="1" ht="12" hidden="1" customHeight="1">
      <c r="A1648" s="426"/>
    </row>
    <row r="1649" spans="1:1" s="427" customFormat="1" ht="12" hidden="1" customHeight="1">
      <c r="A1649" s="426"/>
    </row>
    <row r="1650" spans="1:1" s="427" customFormat="1" ht="12" hidden="1" customHeight="1">
      <c r="A1650" s="426"/>
    </row>
    <row r="1651" spans="1:1" s="427" customFormat="1" ht="12" hidden="1" customHeight="1">
      <c r="A1651" s="426"/>
    </row>
    <row r="1652" spans="1:1" s="427" customFormat="1" ht="12" hidden="1" customHeight="1">
      <c r="A1652" s="426"/>
    </row>
    <row r="1653" spans="1:1" s="427" customFormat="1" ht="12" hidden="1" customHeight="1">
      <c r="A1653" s="426"/>
    </row>
    <row r="1654" spans="1:1" s="427" customFormat="1" ht="12" hidden="1" customHeight="1">
      <c r="A1654" s="426"/>
    </row>
    <row r="1655" spans="1:1" s="427" customFormat="1" ht="12" hidden="1" customHeight="1">
      <c r="A1655" s="426"/>
    </row>
    <row r="1656" spans="1:1" s="427" customFormat="1" ht="12" hidden="1" customHeight="1">
      <c r="A1656" s="426"/>
    </row>
    <row r="1657" spans="1:1" s="427" customFormat="1" ht="12" hidden="1" customHeight="1">
      <c r="A1657" s="426"/>
    </row>
    <row r="1658" spans="1:1" s="427" customFormat="1" ht="12" hidden="1" customHeight="1">
      <c r="A1658" s="426"/>
    </row>
    <row r="1659" spans="1:1" s="427" customFormat="1" ht="12" hidden="1" customHeight="1">
      <c r="A1659" s="426"/>
    </row>
    <row r="1660" spans="1:1" s="427" customFormat="1" ht="12" hidden="1" customHeight="1">
      <c r="A1660" s="426"/>
    </row>
    <row r="1661" spans="1:1" s="427" customFormat="1" ht="12" hidden="1" customHeight="1">
      <c r="A1661" s="426"/>
    </row>
    <row r="1662" spans="1:1" s="427" customFormat="1" ht="12" hidden="1" customHeight="1">
      <c r="A1662" s="426"/>
    </row>
    <row r="1663" spans="1:1" s="427" customFormat="1" ht="12" hidden="1" customHeight="1">
      <c r="A1663" s="426"/>
    </row>
    <row r="1664" spans="1:1" s="427" customFormat="1" ht="12" hidden="1" customHeight="1">
      <c r="A1664" s="426"/>
    </row>
    <row r="1665" spans="1:1" s="427" customFormat="1" ht="12" hidden="1" customHeight="1">
      <c r="A1665" s="426"/>
    </row>
    <row r="1666" spans="1:1" s="427" customFormat="1" ht="12" hidden="1" customHeight="1">
      <c r="A1666" s="426"/>
    </row>
    <row r="1667" spans="1:1" s="427" customFormat="1" ht="12" hidden="1" customHeight="1">
      <c r="A1667" s="426"/>
    </row>
    <row r="1668" spans="1:1" s="427" customFormat="1" ht="12" hidden="1" customHeight="1">
      <c r="A1668" s="426"/>
    </row>
    <row r="1669" spans="1:1" s="427" customFormat="1" ht="12" hidden="1" customHeight="1">
      <c r="A1669" s="426"/>
    </row>
    <row r="1670" spans="1:1" s="427" customFormat="1" ht="12" hidden="1" customHeight="1">
      <c r="A1670" s="426"/>
    </row>
    <row r="1671" spans="1:1" s="427" customFormat="1" ht="12" hidden="1" customHeight="1">
      <c r="A1671" s="426"/>
    </row>
    <row r="1672" spans="1:1" s="427" customFormat="1" ht="12" hidden="1" customHeight="1">
      <c r="A1672" s="426"/>
    </row>
    <row r="1673" spans="1:1" s="427" customFormat="1" ht="12" hidden="1" customHeight="1">
      <c r="A1673" s="426"/>
    </row>
    <row r="1674" spans="1:1" s="427" customFormat="1" ht="12" hidden="1" customHeight="1">
      <c r="A1674" s="426"/>
    </row>
    <row r="1675" spans="1:1" s="427" customFormat="1" ht="12" hidden="1" customHeight="1">
      <c r="A1675" s="426"/>
    </row>
    <row r="1676" spans="1:1" s="427" customFormat="1" ht="12" hidden="1" customHeight="1">
      <c r="A1676" s="426"/>
    </row>
    <row r="1677" spans="1:1" s="427" customFormat="1" ht="12" hidden="1" customHeight="1">
      <c r="A1677" s="426"/>
    </row>
    <row r="1678" spans="1:1" s="427" customFormat="1" ht="12" hidden="1" customHeight="1">
      <c r="A1678" s="426"/>
    </row>
    <row r="1679" spans="1:1" s="427" customFormat="1" ht="12" hidden="1" customHeight="1">
      <c r="A1679" s="426"/>
    </row>
    <row r="1680" spans="1:1" s="427" customFormat="1" ht="12" hidden="1" customHeight="1">
      <c r="A1680" s="426"/>
    </row>
    <row r="1681" spans="1:1" s="427" customFormat="1" ht="12" hidden="1" customHeight="1">
      <c r="A1681" s="426"/>
    </row>
    <row r="1682" spans="1:1" s="427" customFormat="1" ht="12" hidden="1" customHeight="1">
      <c r="A1682" s="426"/>
    </row>
    <row r="1683" spans="1:1" s="427" customFormat="1" ht="12" hidden="1" customHeight="1">
      <c r="A1683" s="426"/>
    </row>
    <row r="1684" spans="1:1" s="427" customFormat="1" ht="12" hidden="1" customHeight="1">
      <c r="A1684" s="426"/>
    </row>
    <row r="1685" spans="1:1" s="427" customFormat="1" ht="12" hidden="1" customHeight="1">
      <c r="A1685" s="426"/>
    </row>
    <row r="1686" spans="1:1" s="427" customFormat="1" ht="12" hidden="1" customHeight="1">
      <c r="A1686" s="426"/>
    </row>
    <row r="1687" spans="1:1" s="427" customFormat="1" ht="12" hidden="1" customHeight="1">
      <c r="A1687" s="426"/>
    </row>
    <row r="1688" spans="1:1" s="427" customFormat="1" ht="12" hidden="1" customHeight="1">
      <c r="A1688" s="426"/>
    </row>
    <row r="1689" spans="1:1" s="427" customFormat="1" ht="12" hidden="1" customHeight="1">
      <c r="A1689" s="426"/>
    </row>
    <row r="1690" spans="1:1" s="427" customFormat="1" ht="12" hidden="1" customHeight="1">
      <c r="A1690" s="426"/>
    </row>
    <row r="1691" spans="1:1" s="427" customFormat="1" ht="12" hidden="1" customHeight="1">
      <c r="A1691" s="426"/>
    </row>
    <row r="1692" spans="1:1" s="427" customFormat="1" ht="12" hidden="1" customHeight="1">
      <c r="A1692" s="426"/>
    </row>
    <row r="1693" spans="1:1" s="427" customFormat="1" ht="12" hidden="1" customHeight="1">
      <c r="A1693" s="426"/>
    </row>
    <row r="1694" spans="1:1" s="427" customFormat="1" ht="12" hidden="1" customHeight="1">
      <c r="A1694" s="426"/>
    </row>
    <row r="1695" spans="1:1" s="427" customFormat="1" ht="12" hidden="1" customHeight="1">
      <c r="A1695" s="426"/>
    </row>
    <row r="1696" spans="1:1" s="427" customFormat="1" ht="12" hidden="1" customHeight="1">
      <c r="A1696" s="426"/>
    </row>
    <row r="1697" spans="1:1" s="427" customFormat="1" ht="12" hidden="1" customHeight="1">
      <c r="A1697" s="426"/>
    </row>
    <row r="1698" spans="1:1" s="427" customFormat="1" ht="12" hidden="1" customHeight="1">
      <c r="A1698" s="426"/>
    </row>
    <row r="1699" spans="1:1" s="427" customFormat="1" ht="12" hidden="1" customHeight="1">
      <c r="A1699" s="426"/>
    </row>
    <row r="1700" spans="1:1" s="427" customFormat="1" ht="12" hidden="1" customHeight="1">
      <c r="A1700" s="426"/>
    </row>
    <row r="1701" spans="1:1" s="427" customFormat="1" ht="12" hidden="1" customHeight="1">
      <c r="A1701" s="426"/>
    </row>
    <row r="1702" spans="1:1" s="427" customFormat="1" ht="12" hidden="1" customHeight="1">
      <c r="A1702" s="426"/>
    </row>
    <row r="1703" spans="1:1" s="427" customFormat="1" ht="12" hidden="1" customHeight="1">
      <c r="A1703" s="426"/>
    </row>
    <row r="1704" spans="1:1" s="427" customFormat="1" ht="12" hidden="1" customHeight="1">
      <c r="A1704" s="426"/>
    </row>
    <row r="1705" spans="1:1" s="427" customFormat="1" ht="12" hidden="1" customHeight="1">
      <c r="A1705" s="426"/>
    </row>
    <row r="1706" spans="1:1" s="427" customFormat="1" ht="12" hidden="1" customHeight="1">
      <c r="A1706" s="426"/>
    </row>
    <row r="1707" spans="1:1" s="427" customFormat="1" ht="12" hidden="1" customHeight="1">
      <c r="A1707" s="426"/>
    </row>
    <row r="1708" spans="1:1" s="427" customFormat="1" ht="12" hidden="1" customHeight="1">
      <c r="A1708" s="426"/>
    </row>
    <row r="1709" spans="1:1" s="427" customFormat="1" ht="12" hidden="1" customHeight="1">
      <c r="A1709" s="426"/>
    </row>
    <row r="1710" spans="1:1" s="427" customFormat="1" ht="12" hidden="1" customHeight="1">
      <c r="A1710" s="426"/>
    </row>
    <row r="1711" spans="1:1" s="427" customFormat="1" ht="12" hidden="1" customHeight="1">
      <c r="A1711" s="426"/>
    </row>
    <row r="1712" spans="1:1" s="427" customFormat="1" ht="12" hidden="1" customHeight="1">
      <c r="A1712" s="426"/>
    </row>
    <row r="1713" spans="1:1" s="427" customFormat="1" ht="12" hidden="1" customHeight="1">
      <c r="A1713" s="426"/>
    </row>
    <row r="1714" spans="1:1" s="427" customFormat="1" ht="12" hidden="1" customHeight="1">
      <c r="A1714" s="426"/>
    </row>
    <row r="1715" spans="1:1" s="427" customFormat="1" ht="12" hidden="1" customHeight="1">
      <c r="A1715" s="426"/>
    </row>
    <row r="1716" spans="1:1" s="427" customFormat="1" ht="12" hidden="1" customHeight="1">
      <c r="A1716" s="426"/>
    </row>
    <row r="1717" spans="1:1" s="427" customFormat="1" ht="12" hidden="1" customHeight="1">
      <c r="A1717" s="426"/>
    </row>
    <row r="1718" spans="1:1" s="427" customFormat="1" ht="12" hidden="1" customHeight="1">
      <c r="A1718" s="426"/>
    </row>
    <row r="1719" spans="1:1" s="427" customFormat="1" ht="12" hidden="1" customHeight="1">
      <c r="A1719" s="426"/>
    </row>
    <row r="1720" spans="1:1" s="427" customFormat="1" ht="12" hidden="1" customHeight="1">
      <c r="A1720" s="426"/>
    </row>
    <row r="1721" spans="1:1" s="427" customFormat="1" ht="12" hidden="1" customHeight="1">
      <c r="A1721" s="426"/>
    </row>
    <row r="1722" spans="1:1" s="427" customFormat="1" ht="12" hidden="1" customHeight="1">
      <c r="A1722" s="426"/>
    </row>
    <row r="1723" spans="1:1" s="427" customFormat="1" ht="12" hidden="1" customHeight="1">
      <c r="A1723" s="426"/>
    </row>
    <row r="1724" spans="1:1" s="427" customFormat="1" ht="12" hidden="1" customHeight="1">
      <c r="A1724" s="426"/>
    </row>
    <row r="1725" spans="1:1" s="427" customFormat="1" ht="12" hidden="1" customHeight="1">
      <c r="A1725" s="426"/>
    </row>
    <row r="1726" spans="1:1" s="427" customFormat="1" ht="12" hidden="1" customHeight="1">
      <c r="A1726" s="426"/>
    </row>
    <row r="1727" spans="1:1" s="427" customFormat="1" ht="12" hidden="1" customHeight="1">
      <c r="A1727" s="426"/>
    </row>
    <row r="1728" spans="1:1" s="427" customFormat="1" ht="12" hidden="1" customHeight="1">
      <c r="A1728" s="426"/>
    </row>
    <row r="1729" spans="1:1" s="427" customFormat="1" ht="12" hidden="1" customHeight="1">
      <c r="A1729" s="426"/>
    </row>
    <row r="1730" spans="1:1" s="427" customFormat="1" ht="12" hidden="1" customHeight="1">
      <c r="A1730" s="426"/>
    </row>
    <row r="1731" spans="1:1" s="427" customFormat="1" ht="12" hidden="1" customHeight="1">
      <c r="A1731" s="426"/>
    </row>
    <row r="1732" spans="1:1" s="427" customFormat="1" ht="12" hidden="1" customHeight="1">
      <c r="A1732" s="426"/>
    </row>
    <row r="1733" spans="1:1" s="427" customFormat="1" ht="12" hidden="1" customHeight="1">
      <c r="A1733" s="426"/>
    </row>
    <row r="1734" spans="1:1" s="427" customFormat="1" ht="12" hidden="1" customHeight="1">
      <c r="A1734" s="426"/>
    </row>
    <row r="1735" spans="1:1" s="427" customFormat="1" ht="12" hidden="1" customHeight="1">
      <c r="A1735" s="426"/>
    </row>
    <row r="1736" spans="1:1" s="427" customFormat="1" ht="12" hidden="1" customHeight="1">
      <c r="A1736" s="426"/>
    </row>
    <row r="1737" spans="1:1" s="427" customFormat="1" ht="12" hidden="1" customHeight="1">
      <c r="A1737" s="426"/>
    </row>
    <row r="1738" spans="1:1" s="427" customFormat="1" ht="12" hidden="1" customHeight="1">
      <c r="A1738" s="426"/>
    </row>
    <row r="1739" spans="1:1" s="427" customFormat="1" ht="12" hidden="1" customHeight="1">
      <c r="A1739" s="426"/>
    </row>
    <row r="1740" spans="1:1" s="427" customFormat="1" ht="12" hidden="1" customHeight="1">
      <c r="A1740" s="426"/>
    </row>
    <row r="1741" spans="1:1" s="427" customFormat="1" ht="12" hidden="1" customHeight="1">
      <c r="A1741" s="426"/>
    </row>
    <row r="1742" spans="1:1" s="427" customFormat="1" ht="12" hidden="1" customHeight="1">
      <c r="A1742" s="426"/>
    </row>
    <row r="1743" spans="1:1" s="427" customFormat="1" ht="12" hidden="1" customHeight="1">
      <c r="A1743" s="426"/>
    </row>
    <row r="1744" spans="1:1" s="427" customFormat="1" ht="12" hidden="1" customHeight="1">
      <c r="A1744" s="426"/>
    </row>
    <row r="1745" spans="1:1" s="427" customFormat="1" ht="12" hidden="1" customHeight="1">
      <c r="A1745" s="426"/>
    </row>
    <row r="1746" spans="1:1" s="427" customFormat="1" ht="12" hidden="1" customHeight="1">
      <c r="A1746" s="426"/>
    </row>
    <row r="1747" spans="1:1" s="427" customFormat="1" ht="12" hidden="1" customHeight="1">
      <c r="A1747" s="426"/>
    </row>
    <row r="1748" spans="1:1" s="427" customFormat="1" ht="12" hidden="1" customHeight="1">
      <c r="A1748" s="426"/>
    </row>
    <row r="1749" spans="1:1" s="427" customFormat="1" ht="12" hidden="1" customHeight="1">
      <c r="A1749" s="426"/>
    </row>
    <row r="1750" spans="1:1" s="427" customFormat="1" ht="12" hidden="1" customHeight="1">
      <c r="A1750" s="426"/>
    </row>
    <row r="1751" spans="1:1" s="427" customFormat="1" ht="12" hidden="1" customHeight="1">
      <c r="A1751" s="426"/>
    </row>
    <row r="1752" spans="1:1" s="427" customFormat="1" ht="12" hidden="1" customHeight="1">
      <c r="A1752" s="426"/>
    </row>
    <row r="1753" spans="1:1" s="427" customFormat="1" ht="12" hidden="1" customHeight="1">
      <c r="A1753" s="426"/>
    </row>
    <row r="1754" spans="1:1" s="427" customFormat="1" ht="12" hidden="1" customHeight="1">
      <c r="A1754" s="426"/>
    </row>
    <row r="1755" spans="1:1" s="427" customFormat="1" ht="12" hidden="1" customHeight="1">
      <c r="A1755" s="426"/>
    </row>
    <row r="1756" spans="1:1" s="427" customFormat="1" ht="12" hidden="1" customHeight="1">
      <c r="A1756" s="426"/>
    </row>
    <row r="1757" spans="1:1" s="427" customFormat="1" ht="12" hidden="1" customHeight="1">
      <c r="A1757" s="426"/>
    </row>
    <row r="1758" spans="1:1" s="427" customFormat="1" ht="12" hidden="1" customHeight="1">
      <c r="A1758" s="426"/>
    </row>
    <row r="1759" spans="1:1" s="427" customFormat="1" ht="12" hidden="1" customHeight="1">
      <c r="A1759" s="426"/>
    </row>
    <row r="1760" spans="1:1" s="427" customFormat="1" ht="12" hidden="1" customHeight="1">
      <c r="A1760" s="426"/>
    </row>
    <row r="1761" spans="1:1" s="427" customFormat="1" ht="12" hidden="1" customHeight="1">
      <c r="A1761" s="426"/>
    </row>
    <row r="1762" spans="1:1" s="427" customFormat="1" ht="12" hidden="1" customHeight="1">
      <c r="A1762" s="426"/>
    </row>
    <row r="1763" spans="1:1" s="427" customFormat="1" ht="12" hidden="1" customHeight="1">
      <c r="A1763" s="426"/>
    </row>
    <row r="1764" spans="1:1" s="427" customFormat="1" ht="12" hidden="1" customHeight="1">
      <c r="A1764" s="426"/>
    </row>
    <row r="1765" spans="1:1" s="427" customFormat="1" ht="12" hidden="1" customHeight="1">
      <c r="A1765" s="426"/>
    </row>
    <row r="1766" spans="1:1" s="427" customFormat="1" ht="12" hidden="1" customHeight="1">
      <c r="A1766" s="426"/>
    </row>
    <row r="1767" spans="1:1" s="427" customFormat="1" ht="12" hidden="1" customHeight="1">
      <c r="A1767" s="426"/>
    </row>
    <row r="1768" spans="1:1" s="427" customFormat="1" ht="12" hidden="1" customHeight="1">
      <c r="A1768" s="426"/>
    </row>
    <row r="1769" spans="1:1" s="427" customFormat="1" ht="12" hidden="1" customHeight="1">
      <c r="A1769" s="426"/>
    </row>
    <row r="1770" spans="1:1" s="427" customFormat="1" ht="12" hidden="1" customHeight="1">
      <c r="A1770" s="426"/>
    </row>
    <row r="1771" spans="1:1" s="427" customFormat="1" ht="12" hidden="1" customHeight="1">
      <c r="A1771" s="426"/>
    </row>
    <row r="1772" spans="1:1" s="427" customFormat="1" ht="12" hidden="1" customHeight="1">
      <c r="A1772" s="426"/>
    </row>
    <row r="1773" spans="1:1" s="427" customFormat="1" ht="12" hidden="1" customHeight="1">
      <c r="A1773" s="426"/>
    </row>
    <row r="1774" spans="1:1" s="427" customFormat="1" ht="12" hidden="1" customHeight="1">
      <c r="A1774" s="426"/>
    </row>
    <row r="1775" spans="1:1" s="427" customFormat="1" ht="12" hidden="1" customHeight="1">
      <c r="A1775" s="426"/>
    </row>
    <row r="1776" spans="1:1" s="427" customFormat="1" ht="12" hidden="1" customHeight="1">
      <c r="A1776" s="426"/>
    </row>
    <row r="1777" spans="1:1" s="427" customFormat="1" ht="12" hidden="1" customHeight="1">
      <c r="A1777" s="426"/>
    </row>
    <row r="1778" spans="1:1" s="427" customFormat="1" ht="12" hidden="1" customHeight="1">
      <c r="A1778" s="426"/>
    </row>
    <row r="1779" spans="1:1" s="427" customFormat="1" ht="12" hidden="1" customHeight="1">
      <c r="A1779" s="426"/>
    </row>
    <row r="1780" spans="1:1" s="427" customFormat="1" ht="12" hidden="1" customHeight="1">
      <c r="A1780" s="426"/>
    </row>
    <row r="1781" spans="1:1" s="427" customFormat="1" ht="12" hidden="1" customHeight="1">
      <c r="A1781" s="426"/>
    </row>
    <row r="1782" spans="1:1" s="427" customFormat="1" ht="12" hidden="1" customHeight="1">
      <c r="A1782" s="426"/>
    </row>
    <row r="1783" spans="1:1" s="427" customFormat="1" ht="12" hidden="1" customHeight="1">
      <c r="A1783" s="426"/>
    </row>
    <row r="1784" spans="1:1" s="427" customFormat="1" ht="12" hidden="1" customHeight="1">
      <c r="A1784" s="426"/>
    </row>
    <row r="1785" spans="1:1" s="427" customFormat="1" ht="12" hidden="1" customHeight="1">
      <c r="A1785" s="426"/>
    </row>
    <row r="1786" spans="1:1" s="427" customFormat="1" ht="12" hidden="1" customHeight="1">
      <c r="A1786" s="426"/>
    </row>
    <row r="1787" spans="1:1" s="427" customFormat="1" ht="12" hidden="1" customHeight="1">
      <c r="A1787" s="426"/>
    </row>
    <row r="1788" spans="1:1" s="427" customFormat="1" ht="12" hidden="1" customHeight="1">
      <c r="A1788" s="426"/>
    </row>
    <row r="1789" spans="1:1" s="427" customFormat="1" ht="12" hidden="1" customHeight="1">
      <c r="A1789" s="426"/>
    </row>
    <row r="1790" spans="1:1" s="427" customFormat="1" ht="12" hidden="1" customHeight="1">
      <c r="A1790" s="426"/>
    </row>
    <row r="1791" spans="1:1" s="427" customFormat="1" ht="12" hidden="1" customHeight="1">
      <c r="A1791" s="426"/>
    </row>
    <row r="1792" spans="1:1" s="427" customFormat="1" ht="12" hidden="1" customHeight="1">
      <c r="A1792" s="426"/>
    </row>
    <row r="1793" spans="1:1" s="427" customFormat="1" ht="12" hidden="1" customHeight="1">
      <c r="A1793" s="426"/>
    </row>
    <row r="1794" spans="1:1" s="427" customFormat="1" ht="12" hidden="1" customHeight="1">
      <c r="A1794" s="426"/>
    </row>
    <row r="1795" spans="1:1" s="427" customFormat="1" ht="12" hidden="1" customHeight="1">
      <c r="A1795" s="426"/>
    </row>
    <row r="1796" spans="1:1" s="427" customFormat="1" ht="12" hidden="1" customHeight="1">
      <c r="A1796" s="426"/>
    </row>
    <row r="1797" spans="1:1" s="427" customFormat="1" ht="12" hidden="1" customHeight="1">
      <c r="A1797" s="426"/>
    </row>
    <row r="1798" spans="1:1" s="427" customFormat="1" ht="12" hidden="1" customHeight="1">
      <c r="A1798" s="426"/>
    </row>
    <row r="1799" spans="1:1" s="427" customFormat="1" ht="12" hidden="1" customHeight="1">
      <c r="A1799" s="426"/>
    </row>
    <row r="1800" spans="1:1" s="427" customFormat="1" ht="12" hidden="1" customHeight="1">
      <c r="A1800" s="426"/>
    </row>
    <row r="1801" spans="1:1" s="427" customFormat="1" ht="12" hidden="1" customHeight="1">
      <c r="A1801" s="426"/>
    </row>
    <row r="1802" spans="1:1" s="427" customFormat="1" ht="12" hidden="1" customHeight="1">
      <c r="A1802" s="426"/>
    </row>
    <row r="1803" spans="1:1" s="427" customFormat="1" ht="12" hidden="1" customHeight="1">
      <c r="A1803" s="426"/>
    </row>
    <row r="1804" spans="1:1" s="427" customFormat="1" ht="12" hidden="1" customHeight="1">
      <c r="A1804" s="426"/>
    </row>
    <row r="1805" spans="1:1" s="427" customFormat="1" ht="12" hidden="1" customHeight="1">
      <c r="A1805" s="426"/>
    </row>
    <row r="1806" spans="1:1" s="427" customFormat="1" ht="12" hidden="1" customHeight="1">
      <c r="A1806" s="426"/>
    </row>
    <row r="1807" spans="1:1" s="427" customFormat="1" ht="12" hidden="1" customHeight="1">
      <c r="A1807" s="426"/>
    </row>
    <row r="1808" spans="1:1" s="427" customFormat="1" ht="12" hidden="1" customHeight="1">
      <c r="A1808" s="426"/>
    </row>
    <row r="1809" spans="1:1" s="427" customFormat="1" ht="12" hidden="1" customHeight="1">
      <c r="A1809" s="426"/>
    </row>
    <row r="1810" spans="1:1" s="427" customFormat="1" ht="12" hidden="1" customHeight="1">
      <c r="A1810" s="426"/>
    </row>
    <row r="1811" spans="1:1" s="427" customFormat="1" ht="12" hidden="1" customHeight="1">
      <c r="A1811" s="426"/>
    </row>
    <row r="1812" spans="1:1" s="427" customFormat="1" ht="12" hidden="1" customHeight="1">
      <c r="A1812" s="426"/>
    </row>
    <row r="1813" spans="1:1" s="427" customFormat="1" ht="12" hidden="1" customHeight="1">
      <c r="A1813" s="426"/>
    </row>
    <row r="1814" spans="1:1" s="427" customFormat="1" ht="12" hidden="1" customHeight="1">
      <c r="A1814" s="426"/>
    </row>
    <row r="1815" spans="1:1" s="427" customFormat="1" ht="12" hidden="1" customHeight="1">
      <c r="A1815" s="426"/>
    </row>
    <row r="1816" spans="1:1" s="427" customFormat="1" ht="12" hidden="1" customHeight="1">
      <c r="A1816" s="426"/>
    </row>
    <row r="1817" spans="1:1" s="427" customFormat="1" ht="12" hidden="1" customHeight="1">
      <c r="A1817" s="426"/>
    </row>
    <row r="1818" spans="1:1" s="427" customFormat="1" ht="12" hidden="1" customHeight="1">
      <c r="A1818" s="426"/>
    </row>
    <row r="1819" spans="1:1" s="427" customFormat="1" ht="12" hidden="1" customHeight="1">
      <c r="A1819" s="426"/>
    </row>
    <row r="1820" spans="1:1" s="427" customFormat="1" ht="12" hidden="1" customHeight="1">
      <c r="A1820" s="426"/>
    </row>
    <row r="1821" spans="1:1" s="427" customFormat="1" ht="12" hidden="1" customHeight="1">
      <c r="A1821" s="426"/>
    </row>
    <row r="1822" spans="1:1" s="427" customFormat="1" ht="12" hidden="1" customHeight="1">
      <c r="A1822" s="426"/>
    </row>
    <row r="1823" spans="1:1" s="427" customFormat="1" ht="12" hidden="1" customHeight="1">
      <c r="A1823" s="426"/>
    </row>
    <row r="1824" spans="1:1" s="427" customFormat="1" ht="12" hidden="1" customHeight="1">
      <c r="A1824" s="426"/>
    </row>
    <row r="1825" spans="1:1" s="427" customFormat="1" ht="12" hidden="1" customHeight="1">
      <c r="A1825" s="426"/>
    </row>
    <row r="1826" spans="1:1" s="427" customFormat="1" ht="12" hidden="1" customHeight="1">
      <c r="A1826" s="426"/>
    </row>
    <row r="1827" spans="1:1" s="427" customFormat="1" ht="12" hidden="1" customHeight="1">
      <c r="A1827" s="426"/>
    </row>
    <row r="1828" spans="1:1" s="427" customFormat="1" ht="12" hidden="1" customHeight="1">
      <c r="A1828" s="426"/>
    </row>
    <row r="1829" spans="1:1" s="427" customFormat="1" ht="12" hidden="1" customHeight="1">
      <c r="A1829" s="426"/>
    </row>
    <row r="1830" spans="1:1" s="427" customFormat="1" ht="12" hidden="1" customHeight="1">
      <c r="A1830" s="426"/>
    </row>
    <row r="1831" spans="1:1" s="427" customFormat="1" ht="12" hidden="1" customHeight="1">
      <c r="A1831" s="426"/>
    </row>
    <row r="1832" spans="1:1" s="427" customFormat="1" ht="12" hidden="1" customHeight="1">
      <c r="A1832" s="426"/>
    </row>
    <row r="1833" spans="1:1" s="427" customFormat="1" ht="12" hidden="1" customHeight="1">
      <c r="A1833" s="426"/>
    </row>
    <row r="1834" spans="1:1" s="427" customFormat="1" ht="12" hidden="1" customHeight="1">
      <c r="A1834" s="426"/>
    </row>
    <row r="1835" spans="1:1" s="427" customFormat="1" ht="12" hidden="1" customHeight="1">
      <c r="A1835" s="426"/>
    </row>
    <row r="1836" spans="1:1" s="427" customFormat="1" ht="12" hidden="1" customHeight="1">
      <c r="A1836" s="426"/>
    </row>
    <row r="1837" spans="1:1" s="427" customFormat="1" ht="12" hidden="1" customHeight="1">
      <c r="A1837" s="426"/>
    </row>
    <row r="1838" spans="1:1" s="427" customFormat="1" ht="12" hidden="1" customHeight="1">
      <c r="A1838" s="426"/>
    </row>
    <row r="1839" spans="1:1" s="427" customFormat="1" ht="12" hidden="1" customHeight="1">
      <c r="A1839" s="426"/>
    </row>
    <row r="1840" spans="1:1" s="427" customFormat="1" ht="12" hidden="1" customHeight="1">
      <c r="A1840" s="426"/>
    </row>
    <row r="1841" spans="1:1" s="427" customFormat="1" ht="12" hidden="1" customHeight="1">
      <c r="A1841" s="426"/>
    </row>
    <row r="1842" spans="1:1" s="427" customFormat="1" ht="12" hidden="1" customHeight="1">
      <c r="A1842" s="426"/>
    </row>
    <row r="1843" spans="1:1" s="427" customFormat="1" ht="12" hidden="1" customHeight="1">
      <c r="A1843" s="426"/>
    </row>
    <row r="1844" spans="1:1" s="427" customFormat="1" ht="12" hidden="1" customHeight="1">
      <c r="A1844" s="426"/>
    </row>
    <row r="1845" spans="1:1" s="427" customFormat="1" ht="12" hidden="1" customHeight="1">
      <c r="A1845" s="426"/>
    </row>
    <row r="1846" spans="1:1" s="427" customFormat="1" ht="12" hidden="1" customHeight="1">
      <c r="A1846" s="426"/>
    </row>
    <row r="1847" spans="1:1" s="427" customFormat="1" ht="12" hidden="1" customHeight="1">
      <c r="A1847" s="426"/>
    </row>
    <row r="1848" spans="1:1" s="427" customFormat="1" ht="12" hidden="1" customHeight="1">
      <c r="A1848" s="426"/>
    </row>
    <row r="1849" spans="1:1" s="427" customFormat="1" ht="12" hidden="1" customHeight="1">
      <c r="A1849" s="426"/>
    </row>
    <row r="1850" spans="1:1" s="427" customFormat="1" ht="12" hidden="1" customHeight="1">
      <c r="A1850" s="426"/>
    </row>
    <row r="1851" spans="1:1" s="427" customFormat="1" ht="12" hidden="1" customHeight="1">
      <c r="A1851" s="426"/>
    </row>
    <row r="1852" spans="1:1" s="427" customFormat="1" ht="12" hidden="1" customHeight="1">
      <c r="A1852" s="426"/>
    </row>
    <row r="1853" spans="1:1" s="427" customFormat="1" ht="12" hidden="1" customHeight="1">
      <c r="A1853" s="426"/>
    </row>
    <row r="1854" spans="1:1" s="427" customFormat="1" ht="12" hidden="1" customHeight="1">
      <c r="A1854" s="426"/>
    </row>
    <row r="1855" spans="1:1" s="427" customFormat="1" ht="12" hidden="1" customHeight="1">
      <c r="A1855" s="426"/>
    </row>
    <row r="1856" spans="1:1" s="427" customFormat="1" ht="12" hidden="1" customHeight="1">
      <c r="A1856" s="426"/>
    </row>
    <row r="1857" spans="1:1" s="427" customFormat="1" ht="12" hidden="1" customHeight="1">
      <c r="A1857" s="426"/>
    </row>
    <row r="1858" spans="1:1" s="427" customFormat="1" ht="12" hidden="1" customHeight="1">
      <c r="A1858" s="426"/>
    </row>
    <row r="1859" spans="1:1" s="427" customFormat="1" ht="12" hidden="1" customHeight="1">
      <c r="A1859" s="426"/>
    </row>
    <row r="1860" spans="1:1" s="427" customFormat="1" ht="12" hidden="1" customHeight="1">
      <c r="A1860" s="426"/>
    </row>
    <row r="1861" spans="1:1" s="427" customFormat="1" ht="12" hidden="1" customHeight="1">
      <c r="A1861" s="426"/>
    </row>
    <row r="1862" spans="1:1" s="427" customFormat="1" ht="12" hidden="1" customHeight="1">
      <c r="A1862" s="426"/>
    </row>
    <row r="1863" spans="1:1" s="427" customFormat="1" ht="12" hidden="1" customHeight="1">
      <c r="A1863" s="426"/>
    </row>
    <row r="1864" spans="1:1" s="427" customFormat="1" ht="12" hidden="1" customHeight="1">
      <c r="A1864" s="426"/>
    </row>
    <row r="1865" spans="1:1" s="427" customFormat="1" ht="12" hidden="1" customHeight="1">
      <c r="A1865" s="426"/>
    </row>
    <row r="1866" spans="1:1" s="427" customFormat="1" ht="12" hidden="1" customHeight="1">
      <c r="A1866" s="426"/>
    </row>
    <row r="1867" spans="1:1" s="427" customFormat="1" ht="12" hidden="1" customHeight="1">
      <c r="A1867" s="426"/>
    </row>
    <row r="1868" spans="1:1" s="427" customFormat="1" ht="12" hidden="1" customHeight="1">
      <c r="A1868" s="426"/>
    </row>
    <row r="1869" spans="1:1" s="427" customFormat="1" ht="12" hidden="1" customHeight="1">
      <c r="A1869" s="426"/>
    </row>
    <row r="1870" spans="1:1" s="427" customFormat="1" ht="12" hidden="1" customHeight="1">
      <c r="A1870" s="426"/>
    </row>
    <row r="1871" spans="1:1" s="427" customFormat="1" ht="12" hidden="1" customHeight="1">
      <c r="A1871" s="426"/>
    </row>
    <row r="1872" spans="1:1" s="427" customFormat="1" ht="12" hidden="1" customHeight="1">
      <c r="A1872" s="426"/>
    </row>
    <row r="1873" spans="1:1" s="427" customFormat="1" ht="12" hidden="1" customHeight="1">
      <c r="A1873" s="426"/>
    </row>
    <row r="1874" spans="1:1" s="427" customFormat="1" ht="12" hidden="1" customHeight="1">
      <c r="A1874" s="426"/>
    </row>
    <row r="1875" spans="1:1" s="427" customFormat="1" ht="12" hidden="1" customHeight="1">
      <c r="A1875" s="426"/>
    </row>
    <row r="1876" spans="1:1" s="427" customFormat="1" ht="12" hidden="1" customHeight="1">
      <c r="A1876" s="426"/>
    </row>
    <row r="1877" spans="1:1" s="427" customFormat="1" ht="12" hidden="1" customHeight="1">
      <c r="A1877" s="426"/>
    </row>
    <row r="1878" spans="1:1" s="427" customFormat="1" ht="12" hidden="1" customHeight="1">
      <c r="A1878" s="426"/>
    </row>
    <row r="1879" spans="1:1" s="427" customFormat="1" ht="12" hidden="1" customHeight="1">
      <c r="A1879" s="426"/>
    </row>
    <row r="1880" spans="1:1" s="427" customFormat="1" ht="12" hidden="1" customHeight="1">
      <c r="A1880" s="426"/>
    </row>
    <row r="1881" spans="1:1" s="427" customFormat="1" ht="12" hidden="1" customHeight="1">
      <c r="A1881" s="426"/>
    </row>
    <row r="1882" spans="1:1" s="427" customFormat="1" ht="12" hidden="1" customHeight="1">
      <c r="A1882" s="426"/>
    </row>
    <row r="1883" spans="1:1" s="427" customFormat="1" ht="12" hidden="1" customHeight="1">
      <c r="A1883" s="426"/>
    </row>
    <row r="1884" spans="1:1" s="427" customFormat="1" ht="12" hidden="1" customHeight="1">
      <c r="A1884" s="426"/>
    </row>
    <row r="1885" spans="1:1" s="427" customFormat="1" ht="12" hidden="1" customHeight="1">
      <c r="A1885" s="426"/>
    </row>
    <row r="1886" spans="1:1" s="427" customFormat="1" ht="12" hidden="1" customHeight="1">
      <c r="A1886" s="426"/>
    </row>
    <row r="1887" spans="1:1" s="427" customFormat="1" ht="12" hidden="1" customHeight="1">
      <c r="A1887" s="426"/>
    </row>
    <row r="1888" spans="1:1" s="427" customFormat="1" ht="12" hidden="1" customHeight="1">
      <c r="A1888" s="426"/>
    </row>
    <row r="1889" spans="1:1" s="427" customFormat="1" ht="12" hidden="1" customHeight="1">
      <c r="A1889" s="426"/>
    </row>
    <row r="1890" spans="1:1" s="427" customFormat="1" ht="12" hidden="1" customHeight="1">
      <c r="A1890" s="426"/>
    </row>
    <row r="1891" spans="1:1" s="427" customFormat="1" ht="12" hidden="1" customHeight="1">
      <c r="A1891" s="426"/>
    </row>
    <row r="1892" spans="1:1" s="427" customFormat="1" ht="12" hidden="1" customHeight="1">
      <c r="A1892" s="426"/>
    </row>
    <row r="1893" spans="1:1" s="427" customFormat="1" ht="12" hidden="1" customHeight="1">
      <c r="A1893" s="426"/>
    </row>
    <row r="1894" spans="1:1" s="427" customFormat="1" ht="12" hidden="1" customHeight="1">
      <c r="A1894" s="426"/>
    </row>
    <row r="1895" spans="1:1" s="427" customFormat="1" ht="12" hidden="1" customHeight="1">
      <c r="A1895" s="426"/>
    </row>
    <row r="1896" spans="1:1" s="427" customFormat="1" ht="12" hidden="1" customHeight="1">
      <c r="A1896" s="426"/>
    </row>
    <row r="1897" spans="1:1" s="427" customFormat="1" ht="12" hidden="1" customHeight="1">
      <c r="A1897" s="426"/>
    </row>
    <row r="1898" spans="1:1" s="427" customFormat="1" ht="12" hidden="1" customHeight="1">
      <c r="A1898" s="426"/>
    </row>
    <row r="1899" spans="1:1" s="427" customFormat="1" ht="12" hidden="1" customHeight="1">
      <c r="A1899" s="426"/>
    </row>
    <row r="1900" spans="1:1" s="427" customFormat="1" ht="12" hidden="1" customHeight="1">
      <c r="A1900" s="426"/>
    </row>
    <row r="1901" spans="1:1" s="427" customFormat="1" ht="12" hidden="1" customHeight="1">
      <c r="A1901" s="426"/>
    </row>
    <row r="1902" spans="1:1" s="427" customFormat="1" ht="12" hidden="1" customHeight="1">
      <c r="A1902" s="426"/>
    </row>
    <row r="1903" spans="1:1" s="427" customFormat="1" ht="12" hidden="1" customHeight="1">
      <c r="A1903" s="426"/>
    </row>
    <row r="1904" spans="1:1" s="427" customFormat="1" ht="12" hidden="1" customHeight="1">
      <c r="A1904" s="426"/>
    </row>
    <row r="1905" spans="1:1" s="427" customFormat="1" ht="12" hidden="1" customHeight="1">
      <c r="A1905" s="426"/>
    </row>
    <row r="1906" spans="1:1" s="427" customFormat="1" ht="12" hidden="1" customHeight="1">
      <c r="A1906" s="426"/>
    </row>
    <row r="1907" spans="1:1" s="427" customFormat="1" ht="12" hidden="1" customHeight="1">
      <c r="A1907" s="426"/>
    </row>
    <row r="1908" spans="1:1" s="427" customFormat="1" ht="12" hidden="1" customHeight="1">
      <c r="A1908" s="426"/>
    </row>
    <row r="1909" spans="1:1" s="427" customFormat="1" ht="12" hidden="1" customHeight="1">
      <c r="A1909" s="426"/>
    </row>
    <row r="1910" spans="1:1" s="427" customFormat="1" ht="12" hidden="1" customHeight="1">
      <c r="A1910" s="426"/>
    </row>
    <row r="1911" spans="1:1" s="427" customFormat="1" ht="12" hidden="1" customHeight="1">
      <c r="A1911" s="426"/>
    </row>
    <row r="1912" spans="1:1" s="427" customFormat="1" ht="12" hidden="1" customHeight="1">
      <c r="A1912" s="426"/>
    </row>
    <row r="1913" spans="1:1" s="427" customFormat="1" ht="12" hidden="1" customHeight="1">
      <c r="A1913" s="426"/>
    </row>
    <row r="1914" spans="1:1" s="427" customFormat="1" ht="12" hidden="1" customHeight="1">
      <c r="A1914" s="426"/>
    </row>
    <row r="1915" spans="1:1" s="427" customFormat="1" ht="12" hidden="1" customHeight="1">
      <c r="A1915" s="426"/>
    </row>
    <row r="1916" spans="1:1" s="427" customFormat="1" ht="12" hidden="1" customHeight="1">
      <c r="A1916" s="426"/>
    </row>
    <row r="1917" spans="1:1" s="427" customFormat="1" ht="12" hidden="1" customHeight="1">
      <c r="A1917" s="426"/>
    </row>
    <row r="1918" spans="1:1" s="427" customFormat="1" ht="12" hidden="1" customHeight="1">
      <c r="A1918" s="426"/>
    </row>
    <row r="1919" spans="1:1" s="427" customFormat="1" ht="12" hidden="1" customHeight="1">
      <c r="A1919" s="426"/>
    </row>
    <row r="1920" spans="1:1" s="427" customFormat="1" ht="12" hidden="1" customHeight="1">
      <c r="A1920" s="426"/>
    </row>
    <row r="1921" spans="1:1" s="427" customFormat="1" ht="12" hidden="1" customHeight="1">
      <c r="A1921" s="426"/>
    </row>
    <row r="1922" spans="1:1" s="427" customFormat="1" ht="12" hidden="1" customHeight="1">
      <c r="A1922" s="426"/>
    </row>
    <row r="1923" spans="1:1" s="427" customFormat="1" ht="12" hidden="1" customHeight="1">
      <c r="A1923" s="426"/>
    </row>
    <row r="1924" spans="1:1" s="427" customFormat="1" ht="12" hidden="1" customHeight="1">
      <c r="A1924" s="426"/>
    </row>
    <row r="1925" spans="1:1" s="427" customFormat="1" ht="12" hidden="1" customHeight="1">
      <c r="A1925" s="426"/>
    </row>
    <row r="1926" spans="1:1" s="427" customFormat="1" ht="12" hidden="1" customHeight="1">
      <c r="A1926" s="426"/>
    </row>
    <row r="1927" spans="1:1" s="427" customFormat="1" ht="12" hidden="1" customHeight="1">
      <c r="A1927" s="426"/>
    </row>
    <row r="1928" spans="1:1" s="427" customFormat="1" ht="12" hidden="1" customHeight="1">
      <c r="A1928" s="426"/>
    </row>
    <row r="1929" spans="1:1" s="427" customFormat="1" ht="12" hidden="1" customHeight="1">
      <c r="A1929" s="426"/>
    </row>
    <row r="1930" spans="1:1" s="427" customFormat="1" ht="12" hidden="1" customHeight="1">
      <c r="A1930" s="426"/>
    </row>
    <row r="1931" spans="1:1" s="427" customFormat="1" ht="12" hidden="1" customHeight="1">
      <c r="A1931" s="426"/>
    </row>
    <row r="1932" spans="1:1" s="427" customFormat="1" ht="12" hidden="1" customHeight="1">
      <c r="A1932" s="426"/>
    </row>
    <row r="1933" spans="1:1" s="427" customFormat="1" ht="12" hidden="1" customHeight="1">
      <c r="A1933" s="426"/>
    </row>
    <row r="1934" spans="1:1" s="427" customFormat="1" ht="12" hidden="1" customHeight="1">
      <c r="A1934" s="426"/>
    </row>
    <row r="1935" spans="1:1" s="427" customFormat="1" ht="12" hidden="1" customHeight="1">
      <c r="A1935" s="426"/>
    </row>
    <row r="1936" spans="1:1" s="427" customFormat="1" ht="12" hidden="1" customHeight="1">
      <c r="A1936" s="426"/>
    </row>
    <row r="1937" spans="1:1" s="427" customFormat="1" ht="12" hidden="1" customHeight="1">
      <c r="A1937" s="426"/>
    </row>
    <row r="1938" spans="1:1" s="427" customFormat="1" ht="12" hidden="1" customHeight="1">
      <c r="A1938" s="426"/>
    </row>
    <row r="1939" spans="1:1" s="427" customFormat="1" ht="12" hidden="1" customHeight="1">
      <c r="A1939" s="426"/>
    </row>
    <row r="1940" spans="1:1" s="427" customFormat="1" ht="12" hidden="1" customHeight="1">
      <c r="A1940" s="426"/>
    </row>
    <row r="1941" spans="1:1" s="427" customFormat="1" ht="12" hidden="1" customHeight="1">
      <c r="A1941" s="426"/>
    </row>
    <row r="1942" spans="1:1" s="427" customFormat="1" ht="12" hidden="1" customHeight="1">
      <c r="A1942" s="426"/>
    </row>
    <row r="1943" spans="1:1" s="427" customFormat="1" ht="12" hidden="1" customHeight="1">
      <c r="A1943" s="426"/>
    </row>
    <row r="1944" spans="1:1" s="427" customFormat="1" ht="12" hidden="1" customHeight="1">
      <c r="A1944" s="426"/>
    </row>
    <row r="1945" spans="1:1" s="427" customFormat="1" ht="12" hidden="1" customHeight="1">
      <c r="A1945" s="426"/>
    </row>
    <row r="1946" spans="1:1" s="427" customFormat="1" ht="12" hidden="1" customHeight="1">
      <c r="A1946" s="426"/>
    </row>
    <row r="1947" spans="1:1" s="427" customFormat="1" ht="12" hidden="1" customHeight="1">
      <c r="A1947" s="426"/>
    </row>
    <row r="1948" spans="1:1" s="427" customFormat="1" ht="12" hidden="1" customHeight="1">
      <c r="A1948" s="426"/>
    </row>
    <row r="1949" spans="1:1" s="427" customFormat="1" ht="12" hidden="1" customHeight="1">
      <c r="A1949" s="426"/>
    </row>
    <row r="1950" spans="1:1" s="427" customFormat="1" ht="12" hidden="1" customHeight="1">
      <c r="A1950" s="426"/>
    </row>
    <row r="1951" spans="1:1" s="427" customFormat="1" ht="12" hidden="1" customHeight="1">
      <c r="A1951" s="426"/>
    </row>
    <row r="1952" spans="1:1" s="427" customFormat="1" ht="12" hidden="1" customHeight="1">
      <c r="A1952" s="426"/>
    </row>
    <row r="1953" spans="1:1" s="427" customFormat="1" ht="12" hidden="1" customHeight="1">
      <c r="A1953" s="426"/>
    </row>
    <row r="1954" spans="1:1" s="427" customFormat="1" ht="12" hidden="1" customHeight="1">
      <c r="A1954" s="426"/>
    </row>
    <row r="1955" spans="1:1" s="427" customFormat="1" ht="12" hidden="1" customHeight="1">
      <c r="A1955" s="426"/>
    </row>
    <row r="1956" spans="1:1" s="427" customFormat="1" ht="12" hidden="1" customHeight="1">
      <c r="A1956" s="426"/>
    </row>
    <row r="1957" spans="1:1" s="427" customFormat="1" ht="12" hidden="1" customHeight="1">
      <c r="A1957" s="426"/>
    </row>
    <row r="1958" spans="1:1" s="427" customFormat="1" ht="12" hidden="1" customHeight="1">
      <c r="A1958" s="426"/>
    </row>
    <row r="1959" spans="1:1" s="427" customFormat="1" ht="12" hidden="1" customHeight="1">
      <c r="A1959" s="426"/>
    </row>
    <row r="1960" spans="1:1" s="427" customFormat="1" ht="12" hidden="1" customHeight="1">
      <c r="A1960" s="426"/>
    </row>
    <row r="1961" spans="1:1" s="427" customFormat="1" ht="12" hidden="1" customHeight="1">
      <c r="A1961" s="426"/>
    </row>
    <row r="1962" spans="1:1" s="427" customFormat="1" ht="12" hidden="1" customHeight="1">
      <c r="A1962" s="426"/>
    </row>
    <row r="1963" spans="1:1" s="427" customFormat="1" ht="12" hidden="1" customHeight="1">
      <c r="A1963" s="426"/>
    </row>
    <row r="1964" spans="1:1" s="427" customFormat="1" ht="12" hidden="1" customHeight="1">
      <c r="A1964" s="426"/>
    </row>
    <row r="1965" spans="1:1" s="427" customFormat="1" ht="12" hidden="1" customHeight="1">
      <c r="A1965" s="426"/>
    </row>
    <row r="1966" spans="1:1" s="427" customFormat="1" ht="12" hidden="1" customHeight="1">
      <c r="A1966" s="426"/>
    </row>
    <row r="1967" spans="1:1" s="427" customFormat="1" ht="12" hidden="1" customHeight="1">
      <c r="A1967" s="426"/>
    </row>
    <row r="1968" spans="1:1" s="427" customFormat="1" ht="12" hidden="1" customHeight="1">
      <c r="A1968" s="426"/>
    </row>
    <row r="1969" spans="1:1" s="427" customFormat="1" ht="12" hidden="1" customHeight="1">
      <c r="A1969" s="426"/>
    </row>
    <row r="1970" spans="1:1" s="427" customFormat="1" ht="12" hidden="1" customHeight="1">
      <c r="A1970" s="426"/>
    </row>
    <row r="1971" spans="1:1" s="427" customFormat="1" ht="12" hidden="1" customHeight="1">
      <c r="A1971" s="426"/>
    </row>
    <row r="1972" spans="1:1" s="427" customFormat="1" ht="12" hidden="1" customHeight="1">
      <c r="A1972" s="426"/>
    </row>
    <row r="1973" spans="1:1" s="427" customFormat="1" ht="12" hidden="1" customHeight="1">
      <c r="A1973" s="426"/>
    </row>
    <row r="1974" spans="1:1" s="427" customFormat="1" ht="12" hidden="1" customHeight="1">
      <c r="A1974" s="426"/>
    </row>
    <row r="1975" spans="1:1" s="427" customFormat="1" ht="12" hidden="1" customHeight="1">
      <c r="A1975" s="426"/>
    </row>
    <row r="1976" spans="1:1" s="427" customFormat="1" ht="12" hidden="1" customHeight="1">
      <c r="A1976" s="426"/>
    </row>
    <row r="1977" spans="1:1" s="427" customFormat="1" ht="12" hidden="1" customHeight="1">
      <c r="A1977" s="426"/>
    </row>
    <row r="1978" spans="1:1" s="427" customFormat="1" ht="12" hidden="1" customHeight="1">
      <c r="A1978" s="426"/>
    </row>
    <row r="1979" spans="1:1" s="427" customFormat="1" ht="12" hidden="1" customHeight="1">
      <c r="A1979" s="426"/>
    </row>
    <row r="1980" spans="1:1" s="427" customFormat="1" ht="12" hidden="1" customHeight="1">
      <c r="A1980" s="426"/>
    </row>
    <row r="1981" spans="1:1" s="427" customFormat="1" ht="12" hidden="1" customHeight="1">
      <c r="A1981" s="426"/>
    </row>
    <row r="1982" spans="1:1" s="427" customFormat="1" ht="12" hidden="1" customHeight="1">
      <c r="A1982" s="426"/>
    </row>
    <row r="1983" spans="1:1" s="427" customFormat="1" ht="12" hidden="1" customHeight="1">
      <c r="A1983" s="426"/>
    </row>
    <row r="1984" spans="1:1" s="427" customFormat="1" ht="12" hidden="1" customHeight="1">
      <c r="A1984" s="426"/>
    </row>
    <row r="1985" spans="1:1" s="427" customFormat="1" ht="12" hidden="1" customHeight="1">
      <c r="A1985" s="426"/>
    </row>
    <row r="1986" spans="1:1" s="427" customFormat="1" ht="12" hidden="1" customHeight="1">
      <c r="A1986" s="426"/>
    </row>
    <row r="1987" spans="1:1" s="427" customFormat="1" ht="12" hidden="1" customHeight="1">
      <c r="A1987" s="426"/>
    </row>
    <row r="1988" spans="1:1" s="427" customFormat="1" ht="12" hidden="1" customHeight="1">
      <c r="A1988" s="426"/>
    </row>
    <row r="1989" spans="1:1" s="427" customFormat="1" ht="12" hidden="1" customHeight="1">
      <c r="A1989" s="426"/>
    </row>
    <row r="1990" spans="1:1" s="427" customFormat="1" ht="12" hidden="1" customHeight="1">
      <c r="A1990" s="426"/>
    </row>
    <row r="1991" spans="1:1" s="427" customFormat="1" ht="12" hidden="1" customHeight="1">
      <c r="A1991" s="426"/>
    </row>
    <row r="1992" spans="1:1" s="427" customFormat="1" ht="12" hidden="1" customHeight="1">
      <c r="A1992" s="426"/>
    </row>
    <row r="1993" spans="1:1" s="427" customFormat="1" ht="12" hidden="1" customHeight="1">
      <c r="A1993" s="426"/>
    </row>
    <row r="1994" spans="1:1" s="427" customFormat="1" ht="12" hidden="1" customHeight="1">
      <c r="A1994" s="426"/>
    </row>
    <row r="1995" spans="1:1" s="427" customFormat="1" ht="12" hidden="1" customHeight="1">
      <c r="A1995" s="426"/>
    </row>
    <row r="1996" spans="1:1" s="427" customFormat="1" ht="12" hidden="1" customHeight="1">
      <c r="A1996" s="426"/>
    </row>
    <row r="1997" spans="1:1" s="427" customFormat="1" ht="12" hidden="1" customHeight="1">
      <c r="A1997" s="426"/>
    </row>
    <row r="1998" spans="1:1" s="427" customFormat="1" ht="12" hidden="1" customHeight="1">
      <c r="A1998" s="426"/>
    </row>
    <row r="1999" spans="1:1" s="427" customFormat="1" ht="12" hidden="1" customHeight="1">
      <c r="A1999" s="426"/>
    </row>
    <row r="2000" spans="1:1" s="427" customFormat="1" ht="12" hidden="1" customHeight="1">
      <c r="A2000" s="426"/>
    </row>
    <row r="2001" spans="1:1" s="427" customFormat="1" ht="12" hidden="1" customHeight="1">
      <c r="A2001" s="426"/>
    </row>
    <row r="2002" spans="1:1" s="427" customFormat="1" ht="12" hidden="1" customHeight="1">
      <c r="A2002" s="426"/>
    </row>
    <row r="2003" spans="1:1" s="427" customFormat="1" ht="12" hidden="1" customHeight="1">
      <c r="A2003" s="426"/>
    </row>
    <row r="2004" spans="1:1" s="427" customFormat="1" ht="12" hidden="1" customHeight="1">
      <c r="A2004" s="426"/>
    </row>
    <row r="2005" spans="1:1" s="427" customFormat="1" ht="12" hidden="1" customHeight="1">
      <c r="A2005" s="426"/>
    </row>
    <row r="2006" spans="1:1" s="427" customFormat="1" ht="12" hidden="1" customHeight="1">
      <c r="A2006" s="426"/>
    </row>
    <row r="2007" spans="1:1" s="427" customFormat="1" ht="12" hidden="1" customHeight="1">
      <c r="A2007" s="426"/>
    </row>
    <row r="2008" spans="1:1" s="427" customFormat="1" ht="12" hidden="1" customHeight="1">
      <c r="A2008" s="426"/>
    </row>
    <row r="2009" spans="1:1" s="427" customFormat="1" ht="12" hidden="1" customHeight="1">
      <c r="A2009" s="426"/>
    </row>
    <row r="2010" spans="1:1" s="427" customFormat="1" ht="12" hidden="1" customHeight="1">
      <c r="A2010" s="426"/>
    </row>
    <row r="2011" spans="1:1" s="427" customFormat="1" ht="12" hidden="1" customHeight="1">
      <c r="A2011" s="426"/>
    </row>
    <row r="2012" spans="1:1" s="427" customFormat="1" ht="12" hidden="1" customHeight="1">
      <c r="A2012" s="426"/>
    </row>
    <row r="2013" spans="1:1" s="427" customFormat="1" ht="12" hidden="1" customHeight="1">
      <c r="A2013" s="426"/>
    </row>
    <row r="2014" spans="1:1" s="427" customFormat="1" ht="12" hidden="1" customHeight="1">
      <c r="A2014" s="426"/>
    </row>
    <row r="2015" spans="1:1" s="427" customFormat="1" ht="12" hidden="1" customHeight="1">
      <c r="A2015" s="426"/>
    </row>
    <row r="2016" spans="1:1" s="427" customFormat="1" ht="12" hidden="1" customHeight="1">
      <c r="A2016" s="426"/>
    </row>
    <row r="2017" spans="1:1" s="427" customFormat="1" ht="12" hidden="1" customHeight="1">
      <c r="A2017" s="426"/>
    </row>
    <row r="2018" spans="1:1" s="427" customFormat="1" ht="12" hidden="1" customHeight="1">
      <c r="A2018" s="426"/>
    </row>
    <row r="2019" spans="1:1" s="427" customFormat="1" ht="12" hidden="1" customHeight="1">
      <c r="A2019" s="426"/>
    </row>
    <row r="2020" spans="1:1" s="427" customFormat="1" ht="12" hidden="1" customHeight="1">
      <c r="A2020" s="426"/>
    </row>
    <row r="2021" spans="1:1" s="427" customFormat="1" ht="12" hidden="1" customHeight="1">
      <c r="A2021" s="426"/>
    </row>
    <row r="2022" spans="1:1" s="427" customFormat="1" ht="12" hidden="1" customHeight="1">
      <c r="A2022" s="426"/>
    </row>
    <row r="2023" spans="1:1" s="427" customFormat="1" ht="12" hidden="1" customHeight="1">
      <c r="A2023" s="426"/>
    </row>
    <row r="2024" spans="1:1" s="427" customFormat="1" ht="12" hidden="1" customHeight="1">
      <c r="A2024" s="426"/>
    </row>
    <row r="2025" spans="1:1" s="427" customFormat="1" ht="12" hidden="1" customHeight="1">
      <c r="A2025" s="426"/>
    </row>
    <row r="2026" spans="1:1" s="427" customFormat="1" ht="12" hidden="1" customHeight="1">
      <c r="A2026" s="426"/>
    </row>
    <row r="2027" spans="1:1" s="427" customFormat="1" ht="12" hidden="1" customHeight="1">
      <c r="A2027" s="426"/>
    </row>
    <row r="2028" spans="1:1" s="427" customFormat="1" ht="12" hidden="1" customHeight="1">
      <c r="A2028" s="426"/>
    </row>
    <row r="2029" spans="1:1" s="427" customFormat="1" ht="12" hidden="1" customHeight="1">
      <c r="A2029" s="426"/>
    </row>
    <row r="2030" spans="1:1" s="427" customFormat="1" ht="12" hidden="1" customHeight="1">
      <c r="A2030" s="426"/>
    </row>
    <row r="2031" spans="1:1" s="427" customFormat="1" ht="12" hidden="1" customHeight="1">
      <c r="A2031" s="426"/>
    </row>
    <row r="2032" spans="1:1" s="427" customFormat="1" ht="12" hidden="1" customHeight="1">
      <c r="A2032" s="426"/>
    </row>
    <row r="2033" spans="1:1" s="427" customFormat="1" ht="12" hidden="1" customHeight="1">
      <c r="A2033" s="426"/>
    </row>
    <row r="2034" spans="1:1" s="427" customFormat="1" ht="12" hidden="1" customHeight="1">
      <c r="A2034" s="426"/>
    </row>
    <row r="2035" spans="1:1" s="427" customFormat="1" ht="12" hidden="1" customHeight="1">
      <c r="A2035" s="426"/>
    </row>
    <row r="2036" spans="1:1" s="427" customFormat="1" ht="12" hidden="1" customHeight="1">
      <c r="A2036" s="426"/>
    </row>
    <row r="2037" spans="1:1" s="427" customFormat="1" ht="12" hidden="1" customHeight="1">
      <c r="A2037" s="426"/>
    </row>
    <row r="2038" spans="1:1" s="427" customFormat="1" ht="12" hidden="1" customHeight="1">
      <c r="A2038" s="426"/>
    </row>
    <row r="2039" spans="1:1" s="427" customFormat="1" ht="12" hidden="1" customHeight="1">
      <c r="A2039" s="426"/>
    </row>
    <row r="2040" spans="1:1" s="427" customFormat="1" ht="12" hidden="1" customHeight="1">
      <c r="A2040" s="426"/>
    </row>
    <row r="2041" spans="1:1" s="427" customFormat="1" ht="12" hidden="1" customHeight="1">
      <c r="A2041" s="426"/>
    </row>
    <row r="2042" spans="1:1" s="427" customFormat="1" ht="12" hidden="1" customHeight="1">
      <c r="A2042" s="426"/>
    </row>
    <row r="2043" spans="1:1" s="427" customFormat="1" ht="12" hidden="1" customHeight="1">
      <c r="A2043" s="426"/>
    </row>
    <row r="2044" spans="1:1" s="427" customFormat="1" ht="12" hidden="1" customHeight="1">
      <c r="A2044" s="426"/>
    </row>
    <row r="2045" spans="1:1" s="427" customFormat="1" ht="12" hidden="1" customHeight="1">
      <c r="A2045" s="426"/>
    </row>
    <row r="2046" spans="1:1" s="427" customFormat="1" ht="12" hidden="1" customHeight="1">
      <c r="A2046" s="426"/>
    </row>
    <row r="2047" spans="1:1" s="427" customFormat="1" ht="12" hidden="1" customHeight="1">
      <c r="A2047" s="426"/>
    </row>
    <row r="2048" spans="1:1" s="427" customFormat="1" ht="12" hidden="1" customHeight="1">
      <c r="A2048" s="426"/>
    </row>
    <row r="2049" spans="1:1" s="427" customFormat="1" ht="12" hidden="1" customHeight="1">
      <c r="A2049" s="426"/>
    </row>
    <row r="2050" spans="1:1" s="427" customFormat="1" ht="12" hidden="1" customHeight="1">
      <c r="A2050" s="426"/>
    </row>
    <row r="2051" spans="1:1" s="427" customFormat="1" ht="12" hidden="1" customHeight="1">
      <c r="A2051" s="426"/>
    </row>
    <row r="2052" spans="1:1" s="427" customFormat="1" ht="12" hidden="1" customHeight="1">
      <c r="A2052" s="426"/>
    </row>
    <row r="2053" spans="1:1" s="427" customFormat="1" ht="12" hidden="1" customHeight="1">
      <c r="A2053" s="426"/>
    </row>
    <row r="2054" spans="1:1" s="427" customFormat="1" ht="12" hidden="1" customHeight="1">
      <c r="A2054" s="426"/>
    </row>
    <row r="2055" spans="1:1" s="427" customFormat="1" ht="12" hidden="1" customHeight="1">
      <c r="A2055" s="426"/>
    </row>
    <row r="2056" spans="1:1" s="427" customFormat="1" ht="12" hidden="1" customHeight="1">
      <c r="A2056" s="426"/>
    </row>
    <row r="2057" spans="1:1" s="427" customFormat="1" ht="12" hidden="1" customHeight="1">
      <c r="A2057" s="426"/>
    </row>
    <row r="2058" spans="1:1" s="427" customFormat="1" ht="12" hidden="1" customHeight="1">
      <c r="A2058" s="426"/>
    </row>
    <row r="2059" spans="1:1" s="427" customFormat="1" ht="12" hidden="1" customHeight="1">
      <c r="A2059" s="426"/>
    </row>
    <row r="2060" spans="1:1" s="427" customFormat="1" ht="12" hidden="1" customHeight="1">
      <c r="A2060" s="426"/>
    </row>
    <row r="2061" spans="1:1" s="427" customFormat="1" ht="12" hidden="1" customHeight="1">
      <c r="A2061" s="426"/>
    </row>
    <row r="2062" spans="1:1" s="427" customFormat="1" ht="12" hidden="1" customHeight="1">
      <c r="A2062" s="426"/>
    </row>
    <row r="2063" spans="1:1" s="427" customFormat="1" ht="12" hidden="1" customHeight="1">
      <c r="A2063" s="426"/>
    </row>
    <row r="2064" spans="1:1" s="427" customFormat="1" ht="12" hidden="1" customHeight="1">
      <c r="A2064" s="426"/>
    </row>
    <row r="2065" spans="1:1" s="427" customFormat="1" ht="12" hidden="1" customHeight="1">
      <c r="A2065" s="426"/>
    </row>
    <row r="2066" spans="1:1" s="427" customFormat="1" ht="12" hidden="1" customHeight="1">
      <c r="A2066" s="426"/>
    </row>
    <row r="2067" spans="1:1" s="427" customFormat="1" ht="12" hidden="1" customHeight="1">
      <c r="A2067" s="426"/>
    </row>
    <row r="2068" spans="1:1" s="427" customFormat="1" ht="12" hidden="1" customHeight="1">
      <c r="A2068" s="426"/>
    </row>
    <row r="2069" spans="1:1" s="427" customFormat="1" ht="12" hidden="1" customHeight="1">
      <c r="A2069" s="426"/>
    </row>
    <row r="2070" spans="1:1" s="427" customFormat="1" ht="12" hidden="1" customHeight="1">
      <c r="A2070" s="426"/>
    </row>
    <row r="2071" spans="1:1" s="427" customFormat="1" ht="12" hidden="1" customHeight="1">
      <c r="A2071" s="426"/>
    </row>
    <row r="2072" spans="1:1" s="427" customFormat="1" ht="12" hidden="1" customHeight="1">
      <c r="A2072" s="426"/>
    </row>
    <row r="2073" spans="1:1" s="427" customFormat="1" ht="12" hidden="1" customHeight="1">
      <c r="A2073" s="426"/>
    </row>
    <row r="2074" spans="1:1" s="427" customFormat="1" ht="12" hidden="1" customHeight="1">
      <c r="A2074" s="426"/>
    </row>
    <row r="2075" spans="1:1" s="427" customFormat="1" ht="12" hidden="1" customHeight="1">
      <c r="A2075" s="426"/>
    </row>
    <row r="2076" spans="1:1" s="427" customFormat="1" ht="12" hidden="1" customHeight="1">
      <c r="A2076" s="426"/>
    </row>
    <row r="2077" spans="1:1" s="427" customFormat="1" ht="12" hidden="1" customHeight="1">
      <c r="A2077" s="426"/>
    </row>
    <row r="2078" spans="1:1" s="427" customFormat="1" ht="12" hidden="1" customHeight="1">
      <c r="A2078" s="426"/>
    </row>
    <row r="2079" spans="1:1" s="427" customFormat="1" ht="12" hidden="1" customHeight="1">
      <c r="A2079" s="426"/>
    </row>
    <row r="2080" spans="1:1" s="427" customFormat="1" ht="12" hidden="1" customHeight="1">
      <c r="A2080" s="426"/>
    </row>
    <row r="2081" spans="1:1" s="427" customFormat="1" ht="12" hidden="1" customHeight="1">
      <c r="A2081" s="426"/>
    </row>
    <row r="2082" spans="1:1" s="427" customFormat="1" ht="12" hidden="1" customHeight="1">
      <c r="A2082" s="426"/>
    </row>
    <row r="2083" spans="1:1" s="427" customFormat="1" ht="12" hidden="1" customHeight="1">
      <c r="A2083" s="426"/>
    </row>
    <row r="2084" spans="1:1" s="427" customFormat="1" ht="12" hidden="1" customHeight="1">
      <c r="A2084" s="426"/>
    </row>
    <row r="2085" spans="1:1" s="427" customFormat="1" ht="12" hidden="1" customHeight="1">
      <c r="A2085" s="426"/>
    </row>
    <row r="2086" spans="1:1" s="427" customFormat="1" ht="12" hidden="1" customHeight="1">
      <c r="A2086" s="426"/>
    </row>
    <row r="2087" spans="1:1" s="427" customFormat="1" ht="12" hidden="1" customHeight="1">
      <c r="A2087" s="426"/>
    </row>
    <row r="2088" spans="1:1" s="427" customFormat="1" ht="12" hidden="1" customHeight="1">
      <c r="A2088" s="426"/>
    </row>
    <row r="2089" spans="1:1" s="427" customFormat="1" ht="12" hidden="1" customHeight="1">
      <c r="A2089" s="426"/>
    </row>
    <row r="2090" spans="1:1" s="427" customFormat="1" ht="12" hidden="1" customHeight="1">
      <c r="A2090" s="426"/>
    </row>
    <row r="2091" spans="1:1" s="427" customFormat="1" ht="12" hidden="1" customHeight="1">
      <c r="A2091" s="426"/>
    </row>
    <row r="2092" spans="1:1" s="427" customFormat="1" ht="12" hidden="1" customHeight="1">
      <c r="A2092" s="426"/>
    </row>
    <row r="2093" spans="1:1" s="427" customFormat="1" ht="12" hidden="1" customHeight="1">
      <c r="A2093" s="426"/>
    </row>
    <row r="2094" spans="1:1" s="427" customFormat="1" ht="12" hidden="1" customHeight="1">
      <c r="A2094" s="426"/>
    </row>
    <row r="2095" spans="1:1" s="427" customFormat="1" ht="12" hidden="1" customHeight="1">
      <c r="A2095" s="426"/>
    </row>
    <row r="2096" spans="1:1" s="427" customFormat="1" ht="12" hidden="1" customHeight="1">
      <c r="A2096" s="426"/>
    </row>
    <row r="2097" spans="1:1" s="427" customFormat="1" ht="12" hidden="1" customHeight="1">
      <c r="A2097" s="426"/>
    </row>
    <row r="2098" spans="1:1" s="427" customFormat="1" ht="12" hidden="1" customHeight="1">
      <c r="A2098" s="426"/>
    </row>
    <row r="2099" spans="1:1" s="427" customFormat="1" ht="12" hidden="1" customHeight="1">
      <c r="A2099" s="426"/>
    </row>
    <row r="2100" spans="1:1" s="427" customFormat="1" ht="12" hidden="1" customHeight="1">
      <c r="A2100" s="426"/>
    </row>
    <row r="2101" spans="1:1" s="427" customFormat="1" ht="12" hidden="1" customHeight="1">
      <c r="A2101" s="426"/>
    </row>
    <row r="2102" spans="1:1" s="427" customFormat="1" ht="12" hidden="1" customHeight="1">
      <c r="A2102" s="426"/>
    </row>
    <row r="2103" spans="1:1" s="427" customFormat="1" ht="12" hidden="1" customHeight="1">
      <c r="A2103" s="426"/>
    </row>
    <row r="2104" spans="1:1" s="427" customFormat="1" ht="12" hidden="1" customHeight="1">
      <c r="A2104" s="426"/>
    </row>
    <row r="2105" spans="1:1" s="427" customFormat="1" ht="12" hidden="1" customHeight="1">
      <c r="A2105" s="426"/>
    </row>
    <row r="2106" spans="1:1" s="427" customFormat="1" ht="12" hidden="1" customHeight="1">
      <c r="A2106" s="426"/>
    </row>
    <row r="2107" spans="1:1" s="427" customFormat="1" ht="12" hidden="1" customHeight="1">
      <c r="A2107" s="426"/>
    </row>
    <row r="2108" spans="1:1" s="427" customFormat="1" ht="12" hidden="1" customHeight="1">
      <c r="A2108" s="426"/>
    </row>
    <row r="2109" spans="1:1" s="427" customFormat="1" ht="12" hidden="1" customHeight="1">
      <c r="A2109" s="426"/>
    </row>
    <row r="2110" spans="1:1" s="427" customFormat="1" ht="12" hidden="1" customHeight="1">
      <c r="A2110" s="426"/>
    </row>
    <row r="2111" spans="1:1" s="427" customFormat="1" ht="12" hidden="1" customHeight="1">
      <c r="A2111" s="426"/>
    </row>
    <row r="2112" spans="1:1" s="427" customFormat="1" ht="12" hidden="1" customHeight="1">
      <c r="A2112" s="426"/>
    </row>
    <row r="2113" spans="1:1" s="427" customFormat="1" ht="12" hidden="1" customHeight="1">
      <c r="A2113" s="426"/>
    </row>
    <row r="2114" spans="1:1" s="427" customFormat="1" ht="12" hidden="1" customHeight="1">
      <c r="A2114" s="426"/>
    </row>
    <row r="2115" spans="1:1" s="427" customFormat="1" ht="12" hidden="1" customHeight="1">
      <c r="A2115" s="426"/>
    </row>
    <row r="2116" spans="1:1" s="427" customFormat="1" ht="12" hidden="1" customHeight="1">
      <c r="A2116" s="426"/>
    </row>
    <row r="2117" spans="1:1" s="427" customFormat="1" ht="12" hidden="1" customHeight="1">
      <c r="A2117" s="426"/>
    </row>
    <row r="2118" spans="1:1" s="427" customFormat="1" ht="12" hidden="1" customHeight="1">
      <c r="A2118" s="426"/>
    </row>
    <row r="2119" spans="1:1" s="427" customFormat="1" ht="12" hidden="1" customHeight="1">
      <c r="A2119" s="426"/>
    </row>
    <row r="2120" spans="1:1" s="427" customFormat="1" ht="12" hidden="1" customHeight="1">
      <c r="A2120" s="426"/>
    </row>
    <row r="2121" spans="1:1" s="427" customFormat="1" ht="12" hidden="1" customHeight="1">
      <c r="A2121" s="426"/>
    </row>
    <row r="2122" spans="1:1" s="427" customFormat="1" ht="12" hidden="1" customHeight="1">
      <c r="A2122" s="426"/>
    </row>
    <row r="2123" spans="1:1" s="427" customFormat="1" ht="12" hidden="1" customHeight="1">
      <c r="A2123" s="426"/>
    </row>
    <row r="2124" spans="1:1" s="427" customFormat="1" ht="12" hidden="1" customHeight="1">
      <c r="A2124" s="426"/>
    </row>
    <row r="2125" spans="1:1" s="427" customFormat="1" ht="12" hidden="1" customHeight="1">
      <c r="A2125" s="426"/>
    </row>
    <row r="2126" spans="1:1" s="427" customFormat="1" ht="12" hidden="1" customHeight="1">
      <c r="A2126" s="426"/>
    </row>
    <row r="2127" spans="1:1" s="427" customFormat="1" ht="12" hidden="1" customHeight="1">
      <c r="A2127" s="426"/>
    </row>
    <row r="2128" spans="1:1" s="427" customFormat="1" ht="12" hidden="1" customHeight="1">
      <c r="A2128" s="426"/>
    </row>
    <row r="2129" spans="1:1" s="427" customFormat="1" ht="12" hidden="1" customHeight="1">
      <c r="A2129" s="426"/>
    </row>
    <row r="2130" spans="1:1" s="427" customFormat="1" ht="12" hidden="1" customHeight="1">
      <c r="A2130" s="426"/>
    </row>
    <row r="2131" spans="1:1" s="427" customFormat="1" ht="12" hidden="1" customHeight="1">
      <c r="A2131" s="426"/>
    </row>
    <row r="2132" spans="1:1" s="427" customFormat="1" ht="12" hidden="1" customHeight="1">
      <c r="A2132" s="426"/>
    </row>
    <row r="2133" spans="1:1" s="427" customFormat="1" ht="12" hidden="1" customHeight="1">
      <c r="A2133" s="426"/>
    </row>
    <row r="2134" spans="1:1" s="427" customFormat="1" ht="12" hidden="1" customHeight="1">
      <c r="A2134" s="426"/>
    </row>
    <row r="2135" spans="1:1" s="427" customFormat="1" ht="12" hidden="1" customHeight="1">
      <c r="A2135" s="426"/>
    </row>
    <row r="2136" spans="1:1" s="427" customFormat="1" ht="12" hidden="1" customHeight="1">
      <c r="A2136" s="426"/>
    </row>
    <row r="2137" spans="1:1" s="427" customFormat="1" ht="12" hidden="1" customHeight="1">
      <c r="A2137" s="426"/>
    </row>
    <row r="2138" spans="1:1" s="427" customFormat="1" ht="12" hidden="1" customHeight="1">
      <c r="A2138" s="426"/>
    </row>
    <row r="2139" spans="1:1" s="427" customFormat="1" ht="12" hidden="1" customHeight="1">
      <c r="A2139" s="426"/>
    </row>
    <row r="2140" spans="1:1" s="427" customFormat="1" ht="12" hidden="1" customHeight="1">
      <c r="A2140" s="426"/>
    </row>
    <row r="2141" spans="1:1" s="427" customFormat="1" ht="12" hidden="1" customHeight="1">
      <c r="A2141" s="426"/>
    </row>
    <row r="2142" spans="1:1" s="427" customFormat="1" ht="12" hidden="1" customHeight="1">
      <c r="A2142" s="426"/>
    </row>
    <row r="2143" spans="1:1" s="427" customFormat="1" ht="12" hidden="1" customHeight="1">
      <c r="A2143" s="426"/>
    </row>
    <row r="2144" spans="1:1" s="427" customFormat="1" ht="12" hidden="1" customHeight="1">
      <c r="A2144" s="426"/>
    </row>
    <row r="2145" spans="1:1" s="427" customFormat="1" ht="12" hidden="1" customHeight="1">
      <c r="A2145" s="426"/>
    </row>
    <row r="2146" spans="1:1" s="427" customFormat="1" ht="12" hidden="1" customHeight="1">
      <c r="A2146" s="426"/>
    </row>
    <row r="2147" spans="1:1" s="427" customFormat="1" ht="12" hidden="1" customHeight="1">
      <c r="A2147" s="426"/>
    </row>
    <row r="2148" spans="1:1" s="427" customFormat="1" ht="12" hidden="1" customHeight="1">
      <c r="A2148" s="426"/>
    </row>
    <row r="2149" spans="1:1" s="427" customFormat="1" ht="12" hidden="1" customHeight="1">
      <c r="A2149" s="426"/>
    </row>
    <row r="2150" spans="1:1" s="427" customFormat="1" ht="12" hidden="1" customHeight="1">
      <c r="A2150" s="426"/>
    </row>
    <row r="2151" spans="1:1" s="427" customFormat="1" ht="12" hidden="1" customHeight="1">
      <c r="A2151" s="426"/>
    </row>
    <row r="2152" spans="1:1" s="427" customFormat="1" ht="12" hidden="1" customHeight="1">
      <c r="A2152" s="426"/>
    </row>
    <row r="2153" spans="1:1" s="427" customFormat="1" ht="12" hidden="1" customHeight="1">
      <c r="A2153" s="426"/>
    </row>
    <row r="2154" spans="1:1" s="427" customFormat="1" ht="12" hidden="1" customHeight="1">
      <c r="A2154" s="426"/>
    </row>
    <row r="2155" spans="1:1" s="427" customFormat="1" ht="12" hidden="1" customHeight="1">
      <c r="A2155" s="426"/>
    </row>
    <row r="2156" spans="1:1" s="427" customFormat="1" ht="12" hidden="1" customHeight="1">
      <c r="A2156" s="426"/>
    </row>
    <row r="2157" spans="1:1" s="427" customFormat="1" ht="12" hidden="1" customHeight="1">
      <c r="A2157" s="426"/>
    </row>
    <row r="2158" spans="1:1" s="427" customFormat="1" ht="12" hidden="1" customHeight="1">
      <c r="A2158" s="426"/>
    </row>
    <row r="2159" spans="1:1" s="427" customFormat="1" ht="12" hidden="1" customHeight="1">
      <c r="A2159" s="426"/>
    </row>
    <row r="2160" spans="1:1" s="427" customFormat="1" ht="12" hidden="1" customHeight="1">
      <c r="A2160" s="426"/>
    </row>
    <row r="2161" spans="1:1" s="427" customFormat="1" ht="12" hidden="1" customHeight="1">
      <c r="A2161" s="426"/>
    </row>
    <row r="2162" spans="1:1" s="427" customFormat="1" ht="12" hidden="1" customHeight="1">
      <c r="A2162" s="426"/>
    </row>
    <row r="2163" spans="1:1" s="427" customFormat="1" ht="12" hidden="1" customHeight="1">
      <c r="A2163" s="426"/>
    </row>
    <row r="2164" spans="1:1" s="427" customFormat="1" ht="12" hidden="1" customHeight="1">
      <c r="A2164" s="426"/>
    </row>
    <row r="2165" spans="1:1" s="427" customFormat="1" ht="12" hidden="1" customHeight="1">
      <c r="A2165" s="426"/>
    </row>
    <row r="2166" spans="1:1" s="427" customFormat="1" ht="12" hidden="1" customHeight="1">
      <c r="A2166" s="426"/>
    </row>
    <row r="2167" spans="1:1" s="427" customFormat="1" ht="12" hidden="1" customHeight="1">
      <c r="A2167" s="426"/>
    </row>
    <row r="2168" spans="1:1" s="427" customFormat="1" ht="12" hidden="1" customHeight="1">
      <c r="A2168" s="426"/>
    </row>
    <row r="2169" spans="1:1" s="427" customFormat="1" ht="12" hidden="1" customHeight="1">
      <c r="A2169" s="426"/>
    </row>
    <row r="2170" spans="1:1" s="427" customFormat="1" ht="12" hidden="1" customHeight="1">
      <c r="A2170" s="426"/>
    </row>
    <row r="2171" spans="1:1" s="427" customFormat="1" ht="12" hidden="1" customHeight="1">
      <c r="A2171" s="426"/>
    </row>
    <row r="2172" spans="1:1" s="427" customFormat="1" ht="12" hidden="1" customHeight="1">
      <c r="A2172" s="426"/>
    </row>
    <row r="2173" spans="1:1" s="427" customFormat="1" ht="12" hidden="1" customHeight="1">
      <c r="A2173" s="426"/>
    </row>
    <row r="2174" spans="1:1" s="427" customFormat="1" ht="12" hidden="1" customHeight="1">
      <c r="A2174" s="426"/>
    </row>
    <row r="2175" spans="1:1" s="427" customFormat="1" ht="12" hidden="1" customHeight="1">
      <c r="A2175" s="426"/>
    </row>
    <row r="2176" spans="1:1" s="427" customFormat="1" ht="12" hidden="1" customHeight="1">
      <c r="A2176" s="426"/>
    </row>
    <row r="2177" spans="1:1" s="427" customFormat="1" ht="12" hidden="1" customHeight="1">
      <c r="A2177" s="426"/>
    </row>
    <row r="2178" spans="1:1" s="427" customFormat="1" ht="12" hidden="1" customHeight="1">
      <c r="A2178" s="426"/>
    </row>
    <row r="2179" spans="1:1" s="427" customFormat="1" ht="12" hidden="1" customHeight="1">
      <c r="A2179" s="426"/>
    </row>
    <row r="2180" spans="1:1" s="427" customFormat="1" ht="12" hidden="1" customHeight="1">
      <c r="A2180" s="426"/>
    </row>
    <row r="2181" spans="1:1" s="427" customFormat="1" ht="12" hidden="1" customHeight="1">
      <c r="A2181" s="426"/>
    </row>
    <row r="2182" spans="1:1" s="427" customFormat="1" ht="12" hidden="1" customHeight="1">
      <c r="A2182" s="426"/>
    </row>
    <row r="2183" spans="1:1" s="427" customFormat="1" ht="12" hidden="1" customHeight="1">
      <c r="A2183" s="426"/>
    </row>
    <row r="2184" spans="1:1" s="427" customFormat="1" ht="12" hidden="1" customHeight="1">
      <c r="A2184" s="426"/>
    </row>
    <row r="2185" spans="1:1" s="427" customFormat="1" ht="12" hidden="1" customHeight="1">
      <c r="A2185" s="426"/>
    </row>
    <row r="2186" spans="1:1" s="427" customFormat="1" ht="12" hidden="1" customHeight="1">
      <c r="A2186" s="426"/>
    </row>
    <row r="2187" spans="1:1" s="427" customFormat="1" ht="12" hidden="1" customHeight="1">
      <c r="A2187" s="426"/>
    </row>
    <row r="2188" spans="1:1" s="427" customFormat="1" ht="12" hidden="1" customHeight="1">
      <c r="A2188" s="426"/>
    </row>
    <row r="2189" spans="1:1" s="427" customFormat="1" ht="12" hidden="1" customHeight="1">
      <c r="A2189" s="426"/>
    </row>
    <row r="2190" spans="1:1" s="427" customFormat="1" ht="12" hidden="1" customHeight="1">
      <c r="A2190" s="426"/>
    </row>
    <row r="2191" spans="1:1" s="427" customFormat="1" ht="12" hidden="1" customHeight="1">
      <c r="A2191" s="426"/>
    </row>
    <row r="2192" spans="1:1" s="427" customFormat="1" ht="12" hidden="1" customHeight="1">
      <c r="A2192" s="426"/>
    </row>
    <row r="2193" spans="1:1" s="427" customFormat="1" ht="12" hidden="1" customHeight="1">
      <c r="A2193" s="426"/>
    </row>
    <row r="2194" spans="1:1" s="427" customFormat="1" ht="12" hidden="1" customHeight="1">
      <c r="A2194" s="426"/>
    </row>
    <row r="2195" spans="1:1" s="427" customFormat="1" ht="12" hidden="1" customHeight="1">
      <c r="A2195" s="426"/>
    </row>
    <row r="2196" spans="1:1" s="427" customFormat="1" ht="12" hidden="1" customHeight="1">
      <c r="A2196" s="426"/>
    </row>
    <row r="2197" spans="1:1" s="427" customFormat="1" ht="12" hidden="1" customHeight="1">
      <c r="A2197" s="426"/>
    </row>
    <row r="2198" spans="1:1" s="427" customFormat="1" ht="12" hidden="1" customHeight="1">
      <c r="A2198" s="426"/>
    </row>
    <row r="2199" spans="1:1" s="427" customFormat="1" ht="12" hidden="1" customHeight="1">
      <c r="A2199" s="426"/>
    </row>
    <row r="2200" spans="1:1" s="427" customFormat="1" ht="12" hidden="1" customHeight="1">
      <c r="A2200" s="426"/>
    </row>
    <row r="2201" spans="1:1" s="427" customFormat="1" ht="12" hidden="1" customHeight="1">
      <c r="A2201" s="426"/>
    </row>
    <row r="2202" spans="1:1" s="427" customFormat="1" ht="12" hidden="1" customHeight="1">
      <c r="A2202" s="426"/>
    </row>
    <row r="2203" spans="1:1" s="427" customFormat="1" ht="12" hidden="1" customHeight="1">
      <c r="A2203" s="426"/>
    </row>
    <row r="2204" spans="1:1" s="427" customFormat="1" ht="12" hidden="1" customHeight="1">
      <c r="A2204" s="426"/>
    </row>
    <row r="2205" spans="1:1" s="427" customFormat="1" ht="12" hidden="1" customHeight="1">
      <c r="A2205" s="426"/>
    </row>
    <row r="2206" spans="1:1" s="427" customFormat="1" ht="12" hidden="1" customHeight="1">
      <c r="A2206" s="426"/>
    </row>
    <row r="2207" spans="1:1" s="427" customFormat="1" ht="12" hidden="1" customHeight="1">
      <c r="A2207" s="426"/>
    </row>
    <row r="2208" spans="1:1" s="427" customFormat="1" ht="12" hidden="1" customHeight="1">
      <c r="A2208" s="426"/>
    </row>
    <row r="2209" spans="1:1" s="427" customFormat="1" ht="12" hidden="1" customHeight="1">
      <c r="A2209" s="426"/>
    </row>
    <row r="2210" spans="1:1" s="427" customFormat="1" ht="12" hidden="1" customHeight="1">
      <c r="A2210" s="426"/>
    </row>
    <row r="2211" spans="1:1" s="427" customFormat="1" ht="12" hidden="1" customHeight="1">
      <c r="A2211" s="426"/>
    </row>
    <row r="2212" spans="1:1" s="427" customFormat="1" ht="12" hidden="1" customHeight="1">
      <c r="A2212" s="426"/>
    </row>
    <row r="2213" spans="1:1" s="427" customFormat="1" ht="12" hidden="1" customHeight="1">
      <c r="A2213" s="426"/>
    </row>
    <row r="2214" spans="1:1" s="427" customFormat="1" ht="12" hidden="1" customHeight="1">
      <c r="A2214" s="426"/>
    </row>
    <row r="2215" spans="1:1" s="427" customFormat="1" ht="12" hidden="1" customHeight="1">
      <c r="A2215" s="426"/>
    </row>
    <row r="2216" spans="1:1" s="427" customFormat="1" ht="12" hidden="1" customHeight="1">
      <c r="A2216" s="426"/>
    </row>
    <row r="2217" spans="1:1" s="427" customFormat="1" ht="12" hidden="1" customHeight="1">
      <c r="A2217" s="426"/>
    </row>
    <row r="2218" spans="1:1" s="427" customFormat="1" ht="12" hidden="1" customHeight="1">
      <c r="A2218" s="426"/>
    </row>
    <row r="2219" spans="1:1" s="427" customFormat="1" ht="12" hidden="1" customHeight="1">
      <c r="A2219" s="426"/>
    </row>
    <row r="2220" spans="1:1" s="427" customFormat="1" ht="12" hidden="1" customHeight="1">
      <c r="A2220" s="426"/>
    </row>
    <row r="2221" spans="1:1" s="427" customFormat="1" ht="12" hidden="1" customHeight="1">
      <c r="A2221" s="426"/>
    </row>
    <row r="2222" spans="1:1" s="427" customFormat="1" ht="12" hidden="1" customHeight="1">
      <c r="A2222" s="426"/>
    </row>
    <row r="2223" spans="1:1" s="427" customFormat="1" ht="12" hidden="1" customHeight="1">
      <c r="A2223" s="426"/>
    </row>
    <row r="2224" spans="1:1" s="427" customFormat="1" ht="12" hidden="1" customHeight="1">
      <c r="A2224" s="426"/>
    </row>
    <row r="2225" spans="1:1" s="427" customFormat="1" ht="12" hidden="1" customHeight="1">
      <c r="A2225" s="426"/>
    </row>
    <row r="2226" spans="1:1" s="427" customFormat="1" ht="12" hidden="1" customHeight="1">
      <c r="A2226" s="426"/>
    </row>
    <row r="2227" spans="1:1" s="427" customFormat="1" ht="12" hidden="1" customHeight="1">
      <c r="A2227" s="426"/>
    </row>
    <row r="2228" spans="1:1" s="427" customFormat="1" ht="12" hidden="1" customHeight="1">
      <c r="A2228" s="426"/>
    </row>
    <row r="2229" spans="1:1" s="427" customFormat="1" ht="12" hidden="1" customHeight="1">
      <c r="A2229" s="426"/>
    </row>
    <row r="2230" spans="1:1" s="427" customFormat="1" ht="12" hidden="1" customHeight="1">
      <c r="A2230" s="426"/>
    </row>
    <row r="2231" spans="1:1" s="427" customFormat="1" ht="12" hidden="1" customHeight="1">
      <c r="A2231" s="426"/>
    </row>
    <row r="2232" spans="1:1" s="427" customFormat="1" ht="12" hidden="1" customHeight="1">
      <c r="A2232" s="426"/>
    </row>
    <row r="2233" spans="1:1" s="427" customFormat="1" ht="12" hidden="1" customHeight="1">
      <c r="A2233" s="426"/>
    </row>
    <row r="2234" spans="1:1" s="427" customFormat="1" ht="12" hidden="1" customHeight="1">
      <c r="A2234" s="426"/>
    </row>
    <row r="2235" spans="1:1" s="427" customFormat="1" ht="12" hidden="1" customHeight="1">
      <c r="A2235" s="426"/>
    </row>
    <row r="2236" spans="1:1" s="427" customFormat="1" ht="12" hidden="1" customHeight="1">
      <c r="A2236" s="426"/>
    </row>
    <row r="2237" spans="1:1" s="427" customFormat="1" ht="12" hidden="1" customHeight="1">
      <c r="A2237" s="426"/>
    </row>
    <row r="2238" spans="1:1" s="427" customFormat="1" ht="12" hidden="1" customHeight="1">
      <c r="A2238" s="426"/>
    </row>
    <row r="2239" spans="1:1" s="427" customFormat="1" ht="12" hidden="1" customHeight="1">
      <c r="A2239" s="426"/>
    </row>
    <row r="2240" spans="1:1" s="427" customFormat="1" ht="12" hidden="1" customHeight="1">
      <c r="A2240" s="426"/>
    </row>
    <row r="2241" spans="1:1" s="427" customFormat="1" ht="12" hidden="1" customHeight="1">
      <c r="A2241" s="426"/>
    </row>
    <row r="2242" spans="1:1" s="427" customFormat="1" ht="12" hidden="1" customHeight="1">
      <c r="A2242" s="426"/>
    </row>
    <row r="2243" spans="1:1" s="427" customFormat="1" ht="12" hidden="1" customHeight="1">
      <c r="A2243" s="426"/>
    </row>
    <row r="2244" spans="1:1" s="427" customFormat="1" ht="12" hidden="1" customHeight="1">
      <c r="A2244" s="426"/>
    </row>
    <row r="2245" spans="1:1" s="427" customFormat="1" ht="12" hidden="1" customHeight="1">
      <c r="A2245" s="426"/>
    </row>
    <row r="2246" spans="1:1" s="427" customFormat="1" ht="12" hidden="1" customHeight="1">
      <c r="A2246" s="426"/>
    </row>
    <row r="2247" spans="1:1" s="427" customFormat="1" ht="12" hidden="1" customHeight="1">
      <c r="A2247" s="426"/>
    </row>
    <row r="2248" spans="1:1" s="427" customFormat="1" ht="12" hidden="1" customHeight="1">
      <c r="A2248" s="426"/>
    </row>
    <row r="2249" spans="1:1" s="427" customFormat="1" ht="12" hidden="1" customHeight="1">
      <c r="A2249" s="426"/>
    </row>
    <row r="2250" spans="1:1" s="427" customFormat="1" ht="12" hidden="1" customHeight="1">
      <c r="A2250" s="426"/>
    </row>
    <row r="2251" spans="1:1" s="427" customFormat="1" ht="12" hidden="1" customHeight="1">
      <c r="A2251" s="426"/>
    </row>
    <row r="2252" spans="1:1" s="427" customFormat="1" ht="12" hidden="1" customHeight="1">
      <c r="A2252" s="426"/>
    </row>
    <row r="2253" spans="1:1" s="427" customFormat="1" ht="12" hidden="1" customHeight="1">
      <c r="A2253" s="426"/>
    </row>
    <row r="2254" spans="1:1" s="427" customFormat="1" ht="12" hidden="1" customHeight="1">
      <c r="A2254" s="426"/>
    </row>
    <row r="2255" spans="1:1" s="427" customFormat="1" ht="12" hidden="1" customHeight="1">
      <c r="A2255" s="426"/>
    </row>
    <row r="2256" spans="1:1" s="427" customFormat="1" ht="12" hidden="1" customHeight="1">
      <c r="A2256" s="426"/>
    </row>
    <row r="2257" spans="1:1" s="427" customFormat="1" ht="12" hidden="1" customHeight="1">
      <c r="A2257" s="426"/>
    </row>
    <row r="2258" spans="1:1" s="427" customFormat="1" ht="12" hidden="1" customHeight="1">
      <c r="A2258" s="426"/>
    </row>
    <row r="2259" spans="1:1" s="427" customFormat="1" ht="12" hidden="1" customHeight="1">
      <c r="A2259" s="426"/>
    </row>
    <row r="2260" spans="1:1" s="427" customFormat="1" ht="12" hidden="1" customHeight="1">
      <c r="A2260" s="426"/>
    </row>
    <row r="2261" spans="1:1" s="427" customFormat="1" ht="12" hidden="1" customHeight="1">
      <c r="A2261" s="426"/>
    </row>
    <row r="2262" spans="1:1" s="427" customFormat="1" ht="12" hidden="1" customHeight="1">
      <c r="A2262" s="426"/>
    </row>
    <row r="2263" spans="1:1" s="427" customFormat="1" ht="12" hidden="1" customHeight="1">
      <c r="A2263" s="426"/>
    </row>
    <row r="2264" spans="1:1" s="427" customFormat="1" ht="12" hidden="1" customHeight="1">
      <c r="A2264" s="426"/>
    </row>
    <row r="2265" spans="1:1" s="427" customFormat="1" ht="12" hidden="1" customHeight="1">
      <c r="A2265" s="426"/>
    </row>
    <row r="2266" spans="1:1" s="427" customFormat="1" ht="12" hidden="1" customHeight="1">
      <c r="A2266" s="426"/>
    </row>
    <row r="2267" spans="1:1" s="427" customFormat="1" ht="12" hidden="1" customHeight="1">
      <c r="A2267" s="426"/>
    </row>
    <row r="2268" spans="1:1" s="427" customFormat="1" ht="12" hidden="1" customHeight="1">
      <c r="A2268" s="426"/>
    </row>
    <row r="2269" spans="1:1" s="427" customFormat="1" ht="12" hidden="1" customHeight="1">
      <c r="A2269" s="426"/>
    </row>
    <row r="2270" spans="1:1" s="427" customFormat="1" ht="12" hidden="1" customHeight="1">
      <c r="A2270" s="426"/>
    </row>
    <row r="2271" spans="1:1" s="427" customFormat="1" ht="12" hidden="1" customHeight="1">
      <c r="A2271" s="426"/>
    </row>
    <row r="2272" spans="1:1" s="427" customFormat="1" ht="12" hidden="1" customHeight="1">
      <c r="A2272" s="426"/>
    </row>
    <row r="2273" spans="1:1" s="427" customFormat="1" ht="12" hidden="1" customHeight="1">
      <c r="A2273" s="426"/>
    </row>
    <row r="2274" spans="1:1" s="427" customFormat="1" ht="12" hidden="1" customHeight="1">
      <c r="A2274" s="426"/>
    </row>
    <row r="2275" spans="1:1" s="427" customFormat="1" ht="12" hidden="1" customHeight="1">
      <c r="A2275" s="426"/>
    </row>
    <row r="2276" spans="1:1" s="427" customFormat="1" ht="12" hidden="1" customHeight="1">
      <c r="A2276" s="426"/>
    </row>
    <row r="2277" spans="1:1" s="427" customFormat="1" ht="12" hidden="1" customHeight="1">
      <c r="A2277" s="426"/>
    </row>
    <row r="2278" spans="1:1" s="427" customFormat="1" ht="12" hidden="1" customHeight="1">
      <c r="A2278" s="426"/>
    </row>
    <row r="2279" spans="1:1" s="427" customFormat="1" ht="12" hidden="1" customHeight="1">
      <c r="A2279" s="426"/>
    </row>
    <row r="2280" spans="1:1" s="427" customFormat="1" ht="12" hidden="1" customHeight="1">
      <c r="A2280" s="426"/>
    </row>
    <row r="2281" spans="1:1" s="427" customFormat="1" ht="12" hidden="1" customHeight="1">
      <c r="A2281" s="426"/>
    </row>
    <row r="2282" spans="1:1" s="427" customFormat="1" ht="12" hidden="1" customHeight="1">
      <c r="A2282" s="426"/>
    </row>
    <row r="2283" spans="1:1" s="427" customFormat="1" ht="12" hidden="1" customHeight="1">
      <c r="A2283" s="426"/>
    </row>
    <row r="2284" spans="1:1" s="427" customFormat="1" ht="12" hidden="1" customHeight="1">
      <c r="A2284" s="426"/>
    </row>
    <row r="2285" spans="1:1" s="427" customFormat="1" ht="12" hidden="1" customHeight="1">
      <c r="A2285" s="426"/>
    </row>
    <row r="2286" spans="1:1" s="427" customFormat="1" ht="12" hidden="1" customHeight="1">
      <c r="A2286" s="426"/>
    </row>
    <row r="2287" spans="1:1" s="427" customFormat="1" ht="12" hidden="1" customHeight="1">
      <c r="A2287" s="426"/>
    </row>
    <row r="2288" spans="1:1" s="427" customFormat="1" ht="12" hidden="1" customHeight="1">
      <c r="A2288" s="426"/>
    </row>
    <row r="2289" spans="1:1" s="427" customFormat="1" ht="12" hidden="1" customHeight="1">
      <c r="A2289" s="426"/>
    </row>
    <row r="2290" spans="1:1" s="427" customFormat="1" ht="12" hidden="1" customHeight="1">
      <c r="A2290" s="426"/>
    </row>
    <row r="2291" spans="1:1" s="427" customFormat="1" ht="12" hidden="1" customHeight="1">
      <c r="A2291" s="426"/>
    </row>
    <row r="2292" spans="1:1" s="427" customFormat="1" ht="12" hidden="1" customHeight="1">
      <c r="A2292" s="426"/>
    </row>
    <row r="2293" spans="1:1" s="427" customFormat="1" ht="12" hidden="1" customHeight="1">
      <c r="A2293" s="426"/>
    </row>
    <row r="2294" spans="1:1" s="427" customFormat="1" ht="12" hidden="1" customHeight="1">
      <c r="A2294" s="426"/>
    </row>
    <row r="2295" spans="1:1" s="427" customFormat="1" ht="12" hidden="1" customHeight="1">
      <c r="A2295" s="426"/>
    </row>
    <row r="2296" spans="1:1" s="427" customFormat="1" ht="12" hidden="1" customHeight="1">
      <c r="A2296" s="426"/>
    </row>
    <row r="2297" spans="1:1" s="427" customFormat="1" ht="12" hidden="1" customHeight="1">
      <c r="A2297" s="426"/>
    </row>
    <row r="2298" spans="1:1" s="427" customFormat="1" ht="12" hidden="1" customHeight="1">
      <c r="A2298" s="426"/>
    </row>
    <row r="2299" spans="1:1" s="427" customFormat="1" ht="12" hidden="1" customHeight="1">
      <c r="A2299" s="426"/>
    </row>
    <row r="2300" spans="1:1" s="427" customFormat="1" ht="12" hidden="1" customHeight="1">
      <c r="A2300" s="426"/>
    </row>
    <row r="2301" spans="1:1" s="427" customFormat="1" ht="12" hidden="1" customHeight="1">
      <c r="A2301" s="426"/>
    </row>
    <row r="2302" spans="1:1" s="427" customFormat="1" ht="12" hidden="1" customHeight="1">
      <c r="A2302" s="426"/>
    </row>
    <row r="2303" spans="1:1" s="427" customFormat="1" ht="12" hidden="1" customHeight="1">
      <c r="A2303" s="426"/>
    </row>
    <row r="2304" spans="1:1" s="427" customFormat="1" ht="12" hidden="1" customHeight="1">
      <c r="A2304" s="426"/>
    </row>
    <row r="2305" spans="1:1" s="427" customFormat="1" ht="12" hidden="1" customHeight="1">
      <c r="A2305" s="426"/>
    </row>
    <row r="2306" spans="1:1" s="427" customFormat="1" ht="12" hidden="1" customHeight="1">
      <c r="A2306" s="426"/>
    </row>
    <row r="2307" spans="1:1" s="427" customFormat="1" ht="12" hidden="1" customHeight="1">
      <c r="A2307" s="426"/>
    </row>
    <row r="2308" spans="1:1" s="427" customFormat="1" ht="12" hidden="1" customHeight="1">
      <c r="A2308" s="426"/>
    </row>
    <row r="2309" spans="1:1" s="427" customFormat="1" ht="12" hidden="1" customHeight="1">
      <c r="A2309" s="426"/>
    </row>
    <row r="2310" spans="1:1" s="427" customFormat="1" ht="12" hidden="1" customHeight="1">
      <c r="A2310" s="426"/>
    </row>
    <row r="2311" spans="1:1" s="427" customFormat="1" ht="12" hidden="1" customHeight="1">
      <c r="A2311" s="426"/>
    </row>
    <row r="2312" spans="1:1" s="427" customFormat="1" ht="12" hidden="1" customHeight="1">
      <c r="A2312" s="426"/>
    </row>
    <row r="2313" spans="1:1" s="427" customFormat="1" ht="12" hidden="1" customHeight="1">
      <c r="A2313" s="426"/>
    </row>
    <row r="2314" spans="1:1" s="427" customFormat="1" ht="12" hidden="1" customHeight="1">
      <c r="A2314" s="426"/>
    </row>
    <row r="2315" spans="1:1" s="427" customFormat="1" ht="12" hidden="1" customHeight="1">
      <c r="A2315" s="426"/>
    </row>
    <row r="2316" spans="1:1" s="427" customFormat="1" ht="12" hidden="1" customHeight="1">
      <c r="A2316" s="426"/>
    </row>
    <row r="2317" spans="1:1" s="427" customFormat="1" ht="12" hidden="1" customHeight="1">
      <c r="A2317" s="426"/>
    </row>
    <row r="2318" spans="1:1" s="427" customFormat="1" ht="12" hidden="1" customHeight="1">
      <c r="A2318" s="426"/>
    </row>
    <row r="2319" spans="1:1" s="427" customFormat="1" ht="12" hidden="1" customHeight="1">
      <c r="A2319" s="426"/>
    </row>
    <row r="2320" spans="1:1" s="427" customFormat="1" ht="12" hidden="1" customHeight="1">
      <c r="A2320" s="426"/>
    </row>
    <row r="2321" spans="1:1" s="427" customFormat="1" ht="12" hidden="1" customHeight="1">
      <c r="A2321" s="426"/>
    </row>
    <row r="2322" spans="1:1" s="427" customFormat="1" ht="12" hidden="1" customHeight="1">
      <c r="A2322" s="426"/>
    </row>
    <row r="2323" spans="1:1" s="427" customFormat="1" ht="12" hidden="1" customHeight="1">
      <c r="A2323" s="426"/>
    </row>
    <row r="2324" spans="1:1" s="427" customFormat="1" ht="12" hidden="1" customHeight="1">
      <c r="A2324" s="426"/>
    </row>
    <row r="2325" spans="1:1" s="427" customFormat="1" ht="12" hidden="1" customHeight="1">
      <c r="A2325" s="426"/>
    </row>
    <row r="2326" spans="1:1" s="427" customFormat="1" ht="12" hidden="1" customHeight="1">
      <c r="A2326" s="426"/>
    </row>
    <row r="2327" spans="1:1" s="427" customFormat="1" ht="12" hidden="1" customHeight="1">
      <c r="A2327" s="426"/>
    </row>
    <row r="2328" spans="1:1" s="427" customFormat="1" ht="12" hidden="1" customHeight="1">
      <c r="A2328" s="426"/>
    </row>
    <row r="2329" spans="1:1" s="427" customFormat="1" ht="12" hidden="1" customHeight="1">
      <c r="A2329" s="426"/>
    </row>
    <row r="2330" spans="1:1" s="427" customFormat="1" ht="12" hidden="1" customHeight="1">
      <c r="A2330" s="426"/>
    </row>
    <row r="2331" spans="1:1" s="427" customFormat="1" ht="12" hidden="1" customHeight="1">
      <c r="A2331" s="426"/>
    </row>
    <row r="2332" spans="1:1" s="427" customFormat="1" ht="12" hidden="1" customHeight="1">
      <c r="A2332" s="426"/>
    </row>
    <row r="2333" spans="1:1" s="427" customFormat="1" ht="12" hidden="1" customHeight="1">
      <c r="A2333" s="426"/>
    </row>
    <row r="2334" spans="1:1" s="427" customFormat="1" ht="12" hidden="1" customHeight="1">
      <c r="A2334" s="426"/>
    </row>
    <row r="2335" spans="1:1" s="427" customFormat="1" ht="12" hidden="1" customHeight="1">
      <c r="A2335" s="426"/>
    </row>
    <row r="2336" spans="1:1" s="427" customFormat="1" ht="12" hidden="1" customHeight="1">
      <c r="A2336" s="426"/>
    </row>
    <row r="2337" spans="1:1" s="427" customFormat="1" ht="12" hidden="1" customHeight="1">
      <c r="A2337" s="426"/>
    </row>
    <row r="2338" spans="1:1" s="427" customFormat="1" ht="12" hidden="1" customHeight="1">
      <c r="A2338" s="426"/>
    </row>
    <row r="2339" spans="1:1" s="427" customFormat="1" ht="12" hidden="1" customHeight="1">
      <c r="A2339" s="426"/>
    </row>
    <row r="2340" spans="1:1" s="427" customFormat="1" ht="12" hidden="1" customHeight="1">
      <c r="A2340" s="426"/>
    </row>
    <row r="2341" spans="1:1" s="427" customFormat="1" ht="12" hidden="1" customHeight="1">
      <c r="A2341" s="426"/>
    </row>
    <row r="2342" spans="1:1" s="427" customFormat="1" ht="12" hidden="1" customHeight="1">
      <c r="A2342" s="426"/>
    </row>
    <row r="2343" spans="1:1" s="427" customFormat="1" ht="12" hidden="1" customHeight="1">
      <c r="A2343" s="426"/>
    </row>
    <row r="2344" spans="1:1" s="427" customFormat="1" ht="12" hidden="1" customHeight="1">
      <c r="A2344" s="426"/>
    </row>
    <row r="2345" spans="1:1" s="427" customFormat="1" ht="12" hidden="1" customHeight="1">
      <c r="A2345" s="426"/>
    </row>
    <row r="2346" spans="1:1" s="427" customFormat="1" ht="12" hidden="1" customHeight="1">
      <c r="A2346" s="426"/>
    </row>
    <row r="2347" spans="1:1" s="427" customFormat="1" ht="12" hidden="1" customHeight="1">
      <c r="A2347" s="426"/>
    </row>
    <row r="2348" spans="1:1" s="427" customFormat="1" ht="12" hidden="1" customHeight="1">
      <c r="A2348" s="426"/>
    </row>
    <row r="2349" spans="1:1" s="427" customFormat="1" ht="12" hidden="1" customHeight="1">
      <c r="A2349" s="426"/>
    </row>
    <row r="2350" spans="1:1" s="427" customFormat="1" ht="12" hidden="1" customHeight="1">
      <c r="A2350" s="426"/>
    </row>
    <row r="2351" spans="1:1" s="427" customFormat="1" ht="12" hidden="1" customHeight="1">
      <c r="A2351" s="426"/>
    </row>
    <row r="2352" spans="1:1" s="427" customFormat="1" ht="12" hidden="1" customHeight="1">
      <c r="A2352" s="426"/>
    </row>
    <row r="2353" spans="1:1" s="427" customFormat="1" ht="12" hidden="1" customHeight="1">
      <c r="A2353" s="426"/>
    </row>
    <row r="2354" spans="1:1" s="427" customFormat="1" ht="12" hidden="1" customHeight="1">
      <c r="A2354" s="426"/>
    </row>
    <row r="2355" spans="1:1" s="427" customFormat="1" ht="12" hidden="1" customHeight="1">
      <c r="A2355" s="426"/>
    </row>
    <row r="2356" spans="1:1" s="427" customFormat="1" ht="12" hidden="1" customHeight="1">
      <c r="A2356" s="426"/>
    </row>
    <row r="2357" spans="1:1" s="427" customFormat="1" ht="12" hidden="1" customHeight="1">
      <c r="A2357" s="426"/>
    </row>
    <row r="2358" spans="1:1" s="427" customFormat="1" ht="12" hidden="1" customHeight="1">
      <c r="A2358" s="426"/>
    </row>
    <row r="2359" spans="1:1" s="427" customFormat="1" ht="12" hidden="1" customHeight="1">
      <c r="A2359" s="426"/>
    </row>
    <row r="2360" spans="1:1" s="427" customFormat="1" ht="12" hidden="1" customHeight="1">
      <c r="A2360" s="426"/>
    </row>
    <row r="2361" spans="1:1" s="427" customFormat="1" ht="12" hidden="1" customHeight="1">
      <c r="A2361" s="426"/>
    </row>
    <row r="2362" spans="1:1" s="427" customFormat="1" ht="12" hidden="1" customHeight="1">
      <c r="A2362" s="426"/>
    </row>
    <row r="2363" spans="1:1" s="427" customFormat="1" ht="12" hidden="1" customHeight="1">
      <c r="A2363" s="426"/>
    </row>
    <row r="2364" spans="1:1" s="427" customFormat="1" ht="12" hidden="1" customHeight="1">
      <c r="A2364" s="426"/>
    </row>
    <row r="2365" spans="1:1" s="427" customFormat="1" ht="12" hidden="1" customHeight="1">
      <c r="A2365" s="426"/>
    </row>
    <row r="2366" spans="1:1" s="427" customFormat="1" ht="12" hidden="1" customHeight="1">
      <c r="A2366" s="426"/>
    </row>
    <row r="2367" spans="1:1" s="427" customFormat="1" ht="12" hidden="1" customHeight="1">
      <c r="A2367" s="426"/>
    </row>
    <row r="2368" spans="1:1" s="427" customFormat="1" ht="12" hidden="1" customHeight="1">
      <c r="A2368" s="426"/>
    </row>
    <row r="2369" spans="1:1" s="427" customFormat="1" ht="12" hidden="1" customHeight="1">
      <c r="A2369" s="426"/>
    </row>
    <row r="2370" spans="1:1" s="427" customFormat="1" ht="12" hidden="1" customHeight="1">
      <c r="A2370" s="426"/>
    </row>
    <row r="2371" spans="1:1" s="427" customFormat="1" ht="12" hidden="1" customHeight="1">
      <c r="A2371" s="426"/>
    </row>
    <row r="2372" spans="1:1" s="427" customFormat="1" ht="12" hidden="1" customHeight="1">
      <c r="A2372" s="426"/>
    </row>
    <row r="2373" spans="1:1" s="427" customFormat="1" ht="12" hidden="1" customHeight="1">
      <c r="A2373" s="426"/>
    </row>
    <row r="2374" spans="1:1" s="427" customFormat="1" ht="12" hidden="1" customHeight="1">
      <c r="A2374" s="426"/>
    </row>
    <row r="2375" spans="1:1" s="427" customFormat="1" ht="12" hidden="1" customHeight="1">
      <c r="A2375" s="426"/>
    </row>
    <row r="2376" spans="1:1" s="427" customFormat="1" ht="12" hidden="1" customHeight="1">
      <c r="A2376" s="426"/>
    </row>
    <row r="2377" spans="1:1" s="427" customFormat="1" ht="12" hidden="1" customHeight="1">
      <c r="A2377" s="426"/>
    </row>
    <row r="2378" spans="1:1" s="427" customFormat="1" ht="12" hidden="1" customHeight="1">
      <c r="A2378" s="426"/>
    </row>
    <row r="2379" spans="1:1" s="427" customFormat="1" ht="12" hidden="1" customHeight="1">
      <c r="A2379" s="426"/>
    </row>
    <row r="2380" spans="1:1" s="427" customFormat="1" ht="12" hidden="1" customHeight="1">
      <c r="A2380" s="426"/>
    </row>
    <row r="2381" spans="1:1" s="427" customFormat="1" ht="12" hidden="1" customHeight="1">
      <c r="A2381" s="426"/>
    </row>
    <row r="2382" spans="1:1" s="427" customFormat="1" ht="12" hidden="1" customHeight="1">
      <c r="A2382" s="426"/>
    </row>
    <row r="2383" spans="1:1" s="427" customFormat="1" ht="12" hidden="1" customHeight="1">
      <c r="A2383" s="426"/>
    </row>
    <row r="2384" spans="1:1" s="427" customFormat="1" ht="12" hidden="1" customHeight="1">
      <c r="A2384" s="426"/>
    </row>
    <row r="2385" spans="1:1" s="427" customFormat="1" ht="12" hidden="1" customHeight="1">
      <c r="A2385" s="426"/>
    </row>
    <row r="2386" spans="1:1" s="427" customFormat="1" ht="12" hidden="1" customHeight="1">
      <c r="A2386" s="426"/>
    </row>
    <row r="2387" spans="1:1" s="427" customFormat="1" ht="12" hidden="1" customHeight="1">
      <c r="A2387" s="426"/>
    </row>
    <row r="2388" spans="1:1" s="427" customFormat="1" ht="12" hidden="1" customHeight="1">
      <c r="A2388" s="426"/>
    </row>
    <row r="2389" spans="1:1" s="427" customFormat="1" ht="12" hidden="1" customHeight="1">
      <c r="A2389" s="426"/>
    </row>
    <row r="2390" spans="1:1" s="427" customFormat="1" ht="12" hidden="1" customHeight="1">
      <c r="A2390" s="426"/>
    </row>
    <row r="2391" spans="1:1" s="427" customFormat="1" ht="12" hidden="1" customHeight="1">
      <c r="A2391" s="426"/>
    </row>
    <row r="2392" spans="1:1" s="427" customFormat="1" ht="12" hidden="1" customHeight="1">
      <c r="A2392" s="426"/>
    </row>
    <row r="2393" spans="1:1" s="427" customFormat="1" ht="12" hidden="1" customHeight="1">
      <c r="A2393" s="426"/>
    </row>
    <row r="2394" spans="1:1" s="427" customFormat="1" ht="12" hidden="1" customHeight="1">
      <c r="A2394" s="426"/>
    </row>
    <row r="2395" spans="1:1" s="427" customFormat="1" ht="12" hidden="1" customHeight="1">
      <c r="A2395" s="426"/>
    </row>
    <row r="2396" spans="1:1" s="427" customFormat="1" ht="12" hidden="1" customHeight="1">
      <c r="A2396" s="426"/>
    </row>
    <row r="2397" spans="1:1" s="427" customFormat="1" ht="12" hidden="1" customHeight="1">
      <c r="A2397" s="426"/>
    </row>
    <row r="2398" spans="1:1" s="427" customFormat="1" ht="12" hidden="1" customHeight="1">
      <c r="A2398" s="426"/>
    </row>
    <row r="2399" spans="1:1" s="427" customFormat="1" ht="12" hidden="1" customHeight="1">
      <c r="A2399" s="426"/>
    </row>
    <row r="2400" spans="1:1" s="427" customFormat="1" ht="12" hidden="1" customHeight="1">
      <c r="A2400" s="426"/>
    </row>
    <row r="2401" spans="1:1" s="427" customFormat="1" ht="12" hidden="1" customHeight="1">
      <c r="A2401" s="426"/>
    </row>
    <row r="2402" spans="1:1" s="427" customFormat="1" ht="12" hidden="1" customHeight="1">
      <c r="A2402" s="426"/>
    </row>
    <row r="2403" spans="1:1" s="427" customFormat="1" ht="12" hidden="1" customHeight="1">
      <c r="A2403" s="426"/>
    </row>
    <row r="2404" spans="1:1" s="427" customFormat="1" ht="12" hidden="1" customHeight="1">
      <c r="A2404" s="426"/>
    </row>
    <row r="2405" spans="1:1" s="427" customFormat="1" ht="12" hidden="1" customHeight="1">
      <c r="A2405" s="426"/>
    </row>
    <row r="2406" spans="1:1" s="427" customFormat="1" ht="12" hidden="1" customHeight="1">
      <c r="A2406" s="426"/>
    </row>
    <row r="2407" spans="1:1" s="427" customFormat="1" ht="12" hidden="1" customHeight="1">
      <c r="A2407" s="426"/>
    </row>
    <row r="2408" spans="1:1" s="427" customFormat="1" ht="12" hidden="1" customHeight="1">
      <c r="A2408" s="426"/>
    </row>
    <row r="2409" spans="1:1" s="427" customFormat="1" ht="12" hidden="1" customHeight="1">
      <c r="A2409" s="426"/>
    </row>
    <row r="2410" spans="1:1" s="427" customFormat="1" ht="12" hidden="1" customHeight="1">
      <c r="A2410" s="426"/>
    </row>
    <row r="2411" spans="1:1" s="427" customFormat="1" ht="12" hidden="1" customHeight="1">
      <c r="A2411" s="426"/>
    </row>
    <row r="2412" spans="1:1" s="427" customFormat="1" ht="12" hidden="1" customHeight="1">
      <c r="A2412" s="426"/>
    </row>
    <row r="2413" spans="1:1" s="427" customFormat="1" ht="12" hidden="1" customHeight="1">
      <c r="A2413" s="426"/>
    </row>
    <row r="2414" spans="1:1" s="427" customFormat="1" ht="12" hidden="1" customHeight="1">
      <c r="A2414" s="426"/>
    </row>
    <row r="2415" spans="1:1" s="427" customFormat="1" ht="12" hidden="1" customHeight="1">
      <c r="A2415" s="426"/>
    </row>
    <row r="2416" spans="1:1" s="427" customFormat="1" ht="12" hidden="1" customHeight="1">
      <c r="A2416" s="426"/>
    </row>
    <row r="2417" spans="1:1" s="427" customFormat="1" ht="12" hidden="1" customHeight="1">
      <c r="A2417" s="426"/>
    </row>
    <row r="2418" spans="1:1" s="427" customFormat="1" ht="12" hidden="1" customHeight="1">
      <c r="A2418" s="426"/>
    </row>
    <row r="2419" spans="1:1" s="427" customFormat="1" ht="12" hidden="1" customHeight="1">
      <c r="A2419" s="426"/>
    </row>
    <row r="2420" spans="1:1" s="427" customFormat="1" ht="12" hidden="1" customHeight="1">
      <c r="A2420" s="426"/>
    </row>
    <row r="2421" spans="1:1" s="427" customFormat="1" ht="12" hidden="1" customHeight="1">
      <c r="A2421" s="426"/>
    </row>
    <row r="2422" spans="1:1" s="427" customFormat="1" ht="12" hidden="1" customHeight="1">
      <c r="A2422" s="426"/>
    </row>
    <row r="2423" spans="1:1" s="427" customFormat="1" ht="12" hidden="1" customHeight="1">
      <c r="A2423" s="426"/>
    </row>
    <row r="2424" spans="1:1" s="427" customFormat="1" ht="12" hidden="1" customHeight="1">
      <c r="A2424" s="426"/>
    </row>
    <row r="2425" spans="1:1" s="427" customFormat="1" ht="12" hidden="1" customHeight="1">
      <c r="A2425" s="426"/>
    </row>
    <row r="2426" spans="1:1" s="427" customFormat="1" ht="12" hidden="1" customHeight="1">
      <c r="A2426" s="426"/>
    </row>
    <row r="2427" spans="1:1" s="427" customFormat="1" ht="12" hidden="1" customHeight="1">
      <c r="A2427" s="426"/>
    </row>
    <row r="2428" spans="1:1" s="427" customFormat="1" ht="12" hidden="1" customHeight="1">
      <c r="A2428" s="426"/>
    </row>
    <row r="2429" spans="1:1" s="427" customFormat="1" ht="12" hidden="1" customHeight="1">
      <c r="A2429" s="426"/>
    </row>
    <row r="2430" spans="1:1" s="427" customFormat="1" ht="12" hidden="1" customHeight="1">
      <c r="A2430" s="426"/>
    </row>
    <row r="2431" spans="1:1" s="427" customFormat="1" ht="12" hidden="1" customHeight="1">
      <c r="A2431" s="426"/>
    </row>
    <row r="2432" spans="1:1" s="427" customFormat="1" ht="12" hidden="1" customHeight="1">
      <c r="A2432" s="426"/>
    </row>
    <row r="2433" spans="1:1" s="427" customFormat="1" ht="12" hidden="1" customHeight="1">
      <c r="A2433" s="426"/>
    </row>
    <row r="2434" spans="1:1" s="427" customFormat="1" ht="12" hidden="1" customHeight="1">
      <c r="A2434" s="426"/>
    </row>
    <row r="2435" spans="1:1" s="427" customFormat="1" ht="12" hidden="1" customHeight="1">
      <c r="A2435" s="426"/>
    </row>
    <row r="2436" spans="1:1" s="427" customFormat="1" ht="12" hidden="1" customHeight="1">
      <c r="A2436" s="426"/>
    </row>
    <row r="2437" spans="1:1" s="427" customFormat="1" ht="12" hidden="1" customHeight="1">
      <c r="A2437" s="426"/>
    </row>
    <row r="2438" spans="1:1" s="427" customFormat="1" ht="12" hidden="1" customHeight="1">
      <c r="A2438" s="426"/>
    </row>
    <row r="2439" spans="1:1" s="427" customFormat="1" ht="12" hidden="1" customHeight="1">
      <c r="A2439" s="426"/>
    </row>
    <row r="2440" spans="1:1" s="427" customFormat="1" ht="12" hidden="1" customHeight="1">
      <c r="A2440" s="426"/>
    </row>
    <row r="2441" spans="1:1" s="427" customFormat="1" ht="12" hidden="1" customHeight="1">
      <c r="A2441" s="426"/>
    </row>
    <row r="2442" spans="1:1" s="427" customFormat="1" ht="12" hidden="1" customHeight="1">
      <c r="A2442" s="426"/>
    </row>
    <row r="2443" spans="1:1" s="427" customFormat="1" ht="12" hidden="1" customHeight="1">
      <c r="A2443" s="426"/>
    </row>
    <row r="2444" spans="1:1" s="427" customFormat="1" ht="12" hidden="1" customHeight="1">
      <c r="A2444" s="426"/>
    </row>
    <row r="2445" spans="1:1" s="427" customFormat="1" ht="12" hidden="1" customHeight="1">
      <c r="A2445" s="426"/>
    </row>
    <row r="2446" spans="1:1" s="427" customFormat="1" ht="12" hidden="1" customHeight="1">
      <c r="A2446" s="426"/>
    </row>
    <row r="2447" spans="1:1" s="427" customFormat="1" ht="12" hidden="1" customHeight="1">
      <c r="A2447" s="426"/>
    </row>
    <row r="2448" spans="1:1" s="427" customFormat="1" ht="12" hidden="1" customHeight="1">
      <c r="A2448" s="426"/>
    </row>
    <row r="2449" spans="1:1" s="427" customFormat="1" ht="12" hidden="1" customHeight="1">
      <c r="A2449" s="426"/>
    </row>
    <row r="2450" spans="1:1" s="427" customFormat="1" ht="12" hidden="1" customHeight="1">
      <c r="A2450" s="426"/>
    </row>
    <row r="2451" spans="1:1" s="427" customFormat="1" ht="12" hidden="1" customHeight="1">
      <c r="A2451" s="426"/>
    </row>
    <row r="2452" spans="1:1" s="427" customFormat="1" ht="12" hidden="1" customHeight="1">
      <c r="A2452" s="426"/>
    </row>
    <row r="2453" spans="1:1" s="427" customFormat="1" ht="12" hidden="1" customHeight="1">
      <c r="A2453" s="426"/>
    </row>
    <row r="2454" spans="1:1" s="427" customFormat="1" ht="12" hidden="1" customHeight="1">
      <c r="A2454" s="426"/>
    </row>
    <row r="2455" spans="1:1" s="427" customFormat="1" ht="12" hidden="1" customHeight="1">
      <c r="A2455" s="426"/>
    </row>
    <row r="2456" spans="1:1" s="427" customFormat="1" ht="12" hidden="1" customHeight="1">
      <c r="A2456" s="426"/>
    </row>
    <row r="2457" spans="1:1" s="427" customFormat="1" ht="12" hidden="1" customHeight="1">
      <c r="A2457" s="426"/>
    </row>
    <row r="2458" spans="1:1" s="427" customFormat="1" ht="12" hidden="1" customHeight="1">
      <c r="A2458" s="426"/>
    </row>
    <row r="2459" spans="1:1" s="427" customFormat="1" ht="12" hidden="1" customHeight="1">
      <c r="A2459" s="426"/>
    </row>
    <row r="2460" spans="1:1" s="427" customFormat="1" ht="12" hidden="1" customHeight="1">
      <c r="A2460" s="426"/>
    </row>
    <row r="2461" spans="1:1" s="427" customFormat="1" ht="12" hidden="1" customHeight="1">
      <c r="A2461" s="426"/>
    </row>
    <row r="2462" spans="1:1" s="427" customFormat="1" ht="12" hidden="1" customHeight="1">
      <c r="A2462" s="426"/>
    </row>
    <row r="2463" spans="1:1" s="427" customFormat="1" ht="12" hidden="1" customHeight="1">
      <c r="A2463" s="426"/>
    </row>
    <row r="2464" spans="1:1" s="427" customFormat="1" ht="12" hidden="1" customHeight="1">
      <c r="A2464" s="426"/>
    </row>
    <row r="2465" spans="1:1" s="427" customFormat="1" ht="12" hidden="1" customHeight="1">
      <c r="A2465" s="426"/>
    </row>
    <row r="2466" spans="1:1" s="427" customFormat="1" ht="12" hidden="1" customHeight="1">
      <c r="A2466" s="426"/>
    </row>
    <row r="2467" spans="1:1" s="427" customFormat="1" ht="12" hidden="1" customHeight="1">
      <c r="A2467" s="426"/>
    </row>
    <row r="2468" spans="1:1" s="427" customFormat="1" ht="12" hidden="1" customHeight="1">
      <c r="A2468" s="426"/>
    </row>
    <row r="2469" spans="1:1" s="427" customFormat="1" ht="12" hidden="1" customHeight="1">
      <c r="A2469" s="426"/>
    </row>
    <row r="2470" spans="1:1" s="427" customFormat="1" ht="12" hidden="1" customHeight="1">
      <c r="A2470" s="426"/>
    </row>
    <row r="2471" spans="1:1" s="427" customFormat="1" ht="12" hidden="1" customHeight="1">
      <c r="A2471" s="426"/>
    </row>
    <row r="2472" spans="1:1" s="427" customFormat="1" ht="12" hidden="1" customHeight="1">
      <c r="A2472" s="426"/>
    </row>
    <row r="2473" spans="1:1" s="427" customFormat="1" ht="12" hidden="1" customHeight="1">
      <c r="A2473" s="426"/>
    </row>
    <row r="2474" spans="1:1" s="427" customFormat="1" ht="12" hidden="1" customHeight="1">
      <c r="A2474" s="426"/>
    </row>
    <row r="2475" spans="1:1" s="427" customFormat="1" ht="12" hidden="1" customHeight="1">
      <c r="A2475" s="426"/>
    </row>
    <row r="2476" spans="1:1" s="427" customFormat="1" ht="12" hidden="1" customHeight="1">
      <c r="A2476" s="426"/>
    </row>
    <row r="2477" spans="1:1" s="427" customFormat="1" ht="12" hidden="1" customHeight="1">
      <c r="A2477" s="426"/>
    </row>
    <row r="2478" spans="1:1" s="427" customFormat="1" ht="12" hidden="1" customHeight="1">
      <c r="A2478" s="426"/>
    </row>
    <row r="2479" spans="1:1" s="427" customFormat="1" ht="12" hidden="1" customHeight="1">
      <c r="A2479" s="426"/>
    </row>
    <row r="2480" spans="1:1" s="427" customFormat="1" ht="12" hidden="1" customHeight="1">
      <c r="A2480" s="426"/>
    </row>
    <row r="2481" spans="1:1" s="427" customFormat="1" ht="12" hidden="1" customHeight="1">
      <c r="A2481" s="426"/>
    </row>
    <row r="2482" spans="1:1" s="427" customFormat="1" ht="12" hidden="1" customHeight="1">
      <c r="A2482" s="426"/>
    </row>
    <row r="2483" spans="1:1" s="427" customFormat="1" ht="12" hidden="1" customHeight="1">
      <c r="A2483" s="426"/>
    </row>
    <row r="2484" spans="1:1" s="427" customFormat="1" ht="12" hidden="1" customHeight="1">
      <c r="A2484" s="426"/>
    </row>
    <row r="2485" spans="1:1" s="427" customFormat="1" ht="12" hidden="1" customHeight="1">
      <c r="A2485" s="426"/>
    </row>
    <row r="2486" spans="1:1" s="427" customFormat="1" ht="12" hidden="1" customHeight="1">
      <c r="A2486" s="426"/>
    </row>
    <row r="2487" spans="1:1" s="427" customFormat="1" ht="12" hidden="1" customHeight="1">
      <c r="A2487" s="426"/>
    </row>
    <row r="2488" spans="1:1" s="427" customFormat="1" ht="12" hidden="1" customHeight="1">
      <c r="A2488" s="426"/>
    </row>
    <row r="2489" spans="1:1" s="427" customFormat="1" ht="12" hidden="1" customHeight="1">
      <c r="A2489" s="426"/>
    </row>
    <row r="2490" spans="1:1" s="427" customFormat="1" ht="12" hidden="1" customHeight="1">
      <c r="A2490" s="426"/>
    </row>
    <row r="2491" spans="1:1" s="427" customFormat="1" ht="12" hidden="1" customHeight="1">
      <c r="A2491" s="426"/>
    </row>
    <row r="2492" spans="1:1" s="427" customFormat="1" ht="12" hidden="1" customHeight="1">
      <c r="A2492" s="426"/>
    </row>
    <row r="2493" spans="1:1" s="427" customFormat="1" ht="12" hidden="1" customHeight="1">
      <c r="A2493" s="426"/>
    </row>
    <row r="2494" spans="1:1" s="427" customFormat="1" ht="12" hidden="1" customHeight="1">
      <c r="A2494" s="426"/>
    </row>
    <row r="2495" spans="1:1" s="427" customFormat="1" ht="12" hidden="1" customHeight="1">
      <c r="A2495" s="426"/>
    </row>
    <row r="2496" spans="1:1" s="427" customFormat="1" ht="12" hidden="1" customHeight="1">
      <c r="A2496" s="426"/>
    </row>
    <row r="2497" spans="1:1" s="427" customFormat="1" ht="12" hidden="1" customHeight="1">
      <c r="A2497" s="426"/>
    </row>
    <row r="2498" spans="1:1" s="427" customFormat="1" ht="12" hidden="1" customHeight="1">
      <c r="A2498" s="426"/>
    </row>
    <row r="2499" spans="1:1" s="427" customFormat="1" ht="12" hidden="1" customHeight="1">
      <c r="A2499" s="426"/>
    </row>
    <row r="2500" spans="1:1" s="427" customFormat="1" ht="12" hidden="1" customHeight="1">
      <c r="A2500" s="426"/>
    </row>
    <row r="2501" spans="1:1" s="427" customFormat="1" ht="12" hidden="1" customHeight="1">
      <c r="A2501" s="426"/>
    </row>
    <row r="2502" spans="1:1" s="427" customFormat="1" ht="12" hidden="1" customHeight="1">
      <c r="A2502" s="426"/>
    </row>
    <row r="2503" spans="1:1" s="427" customFormat="1" ht="12" hidden="1" customHeight="1">
      <c r="A2503" s="426"/>
    </row>
    <row r="2504" spans="1:1" s="427" customFormat="1" ht="12" hidden="1" customHeight="1">
      <c r="A2504" s="426"/>
    </row>
    <row r="2505" spans="1:1" s="427" customFormat="1" ht="12" hidden="1" customHeight="1">
      <c r="A2505" s="426"/>
    </row>
    <row r="2506" spans="1:1" s="427" customFormat="1" ht="12" hidden="1" customHeight="1">
      <c r="A2506" s="426"/>
    </row>
    <row r="2507" spans="1:1" s="427" customFormat="1" ht="12" hidden="1" customHeight="1">
      <c r="A2507" s="426"/>
    </row>
    <row r="2508" spans="1:1" s="427" customFormat="1" ht="12" hidden="1" customHeight="1">
      <c r="A2508" s="426"/>
    </row>
    <row r="2509" spans="1:1" s="427" customFormat="1" ht="12" hidden="1" customHeight="1">
      <c r="A2509" s="426"/>
    </row>
    <row r="2510" spans="1:1" s="427" customFormat="1" ht="12" hidden="1" customHeight="1">
      <c r="A2510" s="426"/>
    </row>
    <row r="2511" spans="1:1" s="427" customFormat="1" ht="12" hidden="1" customHeight="1">
      <c r="A2511" s="426"/>
    </row>
    <row r="2512" spans="1:1" s="427" customFormat="1" ht="12" hidden="1" customHeight="1">
      <c r="A2512" s="426"/>
    </row>
    <row r="2513" spans="1:1" s="427" customFormat="1" ht="12" hidden="1" customHeight="1">
      <c r="A2513" s="426"/>
    </row>
    <row r="2514" spans="1:1" s="427" customFormat="1" ht="12" hidden="1" customHeight="1">
      <c r="A2514" s="426"/>
    </row>
    <row r="2515" spans="1:1" s="427" customFormat="1" ht="12" hidden="1" customHeight="1">
      <c r="A2515" s="426"/>
    </row>
    <row r="2516" spans="1:1" s="427" customFormat="1" ht="12" hidden="1" customHeight="1">
      <c r="A2516" s="426"/>
    </row>
    <row r="2517" spans="1:1" s="427" customFormat="1" ht="12" hidden="1" customHeight="1">
      <c r="A2517" s="426"/>
    </row>
    <row r="2518" spans="1:1" s="427" customFormat="1" ht="12" hidden="1" customHeight="1">
      <c r="A2518" s="426"/>
    </row>
    <row r="2519" spans="1:1" s="427" customFormat="1" ht="12" hidden="1" customHeight="1">
      <c r="A2519" s="426"/>
    </row>
    <row r="2520" spans="1:1" s="427" customFormat="1" ht="12" hidden="1" customHeight="1">
      <c r="A2520" s="426"/>
    </row>
    <row r="2521" spans="1:1" s="427" customFormat="1" ht="12" hidden="1" customHeight="1">
      <c r="A2521" s="426"/>
    </row>
    <row r="2522" spans="1:1" s="427" customFormat="1" ht="12" hidden="1" customHeight="1">
      <c r="A2522" s="426"/>
    </row>
    <row r="2523" spans="1:1" s="427" customFormat="1" ht="12" hidden="1" customHeight="1">
      <c r="A2523" s="426"/>
    </row>
    <row r="2524" spans="1:1" s="427" customFormat="1" ht="12" hidden="1" customHeight="1">
      <c r="A2524" s="426"/>
    </row>
    <row r="2525" spans="1:1" s="427" customFormat="1" ht="12" hidden="1" customHeight="1">
      <c r="A2525" s="426"/>
    </row>
    <row r="2526" spans="1:1" s="427" customFormat="1" ht="12" hidden="1" customHeight="1">
      <c r="A2526" s="426"/>
    </row>
    <row r="2527" spans="1:1" s="427" customFormat="1" ht="12" hidden="1" customHeight="1">
      <c r="A2527" s="426"/>
    </row>
    <row r="2528" spans="1:1" s="427" customFormat="1" ht="12" hidden="1" customHeight="1">
      <c r="A2528" s="426"/>
    </row>
    <row r="2529" spans="1:1" s="427" customFormat="1" ht="12" hidden="1" customHeight="1">
      <c r="A2529" s="426"/>
    </row>
    <row r="2530" spans="1:1" s="427" customFormat="1" ht="12" hidden="1" customHeight="1">
      <c r="A2530" s="426"/>
    </row>
    <row r="2531" spans="1:1" s="427" customFormat="1" ht="12" hidden="1" customHeight="1">
      <c r="A2531" s="426"/>
    </row>
    <row r="2532" spans="1:1" s="427" customFormat="1" ht="12" hidden="1" customHeight="1">
      <c r="A2532" s="426"/>
    </row>
    <row r="2533" spans="1:1" s="427" customFormat="1" ht="12" hidden="1" customHeight="1">
      <c r="A2533" s="426"/>
    </row>
    <row r="2534" spans="1:1" s="427" customFormat="1" ht="12" hidden="1" customHeight="1">
      <c r="A2534" s="426"/>
    </row>
    <row r="2535" spans="1:1" s="427" customFormat="1" ht="12" hidden="1" customHeight="1">
      <c r="A2535" s="426"/>
    </row>
    <row r="2536" spans="1:1" s="427" customFormat="1" ht="12" hidden="1" customHeight="1">
      <c r="A2536" s="426"/>
    </row>
    <row r="2537" spans="1:1" s="427" customFormat="1" ht="12" hidden="1" customHeight="1">
      <c r="A2537" s="426"/>
    </row>
    <row r="2538" spans="1:1" s="427" customFormat="1" ht="12" hidden="1" customHeight="1">
      <c r="A2538" s="426"/>
    </row>
    <row r="2539" spans="1:1" s="427" customFormat="1" ht="12" hidden="1" customHeight="1">
      <c r="A2539" s="426"/>
    </row>
    <row r="2540" spans="1:1" s="427" customFormat="1" ht="12" hidden="1" customHeight="1">
      <c r="A2540" s="426"/>
    </row>
    <row r="2541" spans="1:1" s="427" customFormat="1" ht="12" hidden="1" customHeight="1">
      <c r="A2541" s="426"/>
    </row>
    <row r="2542" spans="1:1" s="427" customFormat="1" ht="12" hidden="1" customHeight="1">
      <c r="A2542" s="426"/>
    </row>
    <row r="2543" spans="1:1" s="427" customFormat="1" ht="12" hidden="1" customHeight="1">
      <c r="A2543" s="426"/>
    </row>
    <row r="2544" spans="1:1" s="427" customFormat="1" ht="12" hidden="1" customHeight="1">
      <c r="A2544" s="426"/>
    </row>
    <row r="2545" spans="1:1" s="427" customFormat="1" ht="12" hidden="1" customHeight="1">
      <c r="A2545" s="426"/>
    </row>
    <row r="2546" spans="1:1" s="427" customFormat="1" ht="12" hidden="1" customHeight="1">
      <c r="A2546" s="426"/>
    </row>
    <row r="2547" spans="1:1" s="427" customFormat="1" ht="12" hidden="1" customHeight="1">
      <c r="A2547" s="426"/>
    </row>
    <row r="2548" spans="1:1" s="427" customFormat="1" ht="12" hidden="1" customHeight="1">
      <c r="A2548" s="426"/>
    </row>
    <row r="2549" spans="1:1" s="427" customFormat="1" ht="12" hidden="1" customHeight="1">
      <c r="A2549" s="426"/>
    </row>
    <row r="2550" spans="1:1" s="427" customFormat="1" ht="12" hidden="1" customHeight="1">
      <c r="A2550" s="426"/>
    </row>
    <row r="2551" spans="1:1" s="427" customFormat="1" ht="12" hidden="1" customHeight="1">
      <c r="A2551" s="426"/>
    </row>
    <row r="2552" spans="1:1" s="427" customFormat="1" ht="12" hidden="1" customHeight="1">
      <c r="A2552" s="426"/>
    </row>
    <row r="2553" spans="1:1" s="427" customFormat="1" ht="12" hidden="1" customHeight="1">
      <c r="A2553" s="426"/>
    </row>
    <row r="2554" spans="1:1" s="427" customFormat="1" ht="12" hidden="1" customHeight="1">
      <c r="A2554" s="426"/>
    </row>
    <row r="2555" spans="1:1" s="427" customFormat="1" ht="12" hidden="1" customHeight="1">
      <c r="A2555" s="426"/>
    </row>
    <row r="2556" spans="1:1" s="427" customFormat="1" ht="12" hidden="1" customHeight="1">
      <c r="A2556" s="426"/>
    </row>
    <row r="2557" spans="1:1" s="427" customFormat="1" ht="12" hidden="1" customHeight="1">
      <c r="A2557" s="426"/>
    </row>
    <row r="2558" spans="1:1" s="427" customFormat="1" ht="12" hidden="1" customHeight="1">
      <c r="A2558" s="426"/>
    </row>
    <row r="2559" spans="1:1" s="427" customFormat="1" ht="12" hidden="1" customHeight="1">
      <c r="A2559" s="426"/>
    </row>
    <row r="2560" spans="1:1" s="427" customFormat="1" ht="12" hidden="1" customHeight="1">
      <c r="A2560" s="426"/>
    </row>
    <row r="2561" spans="1:1" s="427" customFormat="1" ht="12" hidden="1" customHeight="1">
      <c r="A2561" s="426"/>
    </row>
    <row r="2562" spans="1:1" s="427" customFormat="1" ht="12" hidden="1" customHeight="1">
      <c r="A2562" s="426"/>
    </row>
    <row r="2563" spans="1:1" s="427" customFormat="1" ht="12" hidden="1" customHeight="1">
      <c r="A2563" s="426"/>
    </row>
    <row r="2564" spans="1:1" s="427" customFormat="1" ht="12" hidden="1" customHeight="1">
      <c r="A2564" s="426"/>
    </row>
    <row r="2565" spans="1:1" s="427" customFormat="1" ht="12" hidden="1" customHeight="1">
      <c r="A2565" s="426"/>
    </row>
    <row r="2566" spans="1:1" s="427" customFormat="1" ht="12" hidden="1" customHeight="1">
      <c r="A2566" s="426"/>
    </row>
    <row r="2567" spans="1:1" s="427" customFormat="1" ht="12" hidden="1" customHeight="1">
      <c r="A2567" s="426"/>
    </row>
    <row r="2568" spans="1:1" s="427" customFormat="1" ht="12" hidden="1" customHeight="1">
      <c r="A2568" s="426"/>
    </row>
    <row r="2569" spans="1:1" s="427" customFormat="1" ht="12" hidden="1" customHeight="1">
      <c r="A2569" s="426"/>
    </row>
    <row r="2570" spans="1:1" s="427" customFormat="1" ht="12" hidden="1" customHeight="1">
      <c r="A2570" s="426"/>
    </row>
    <row r="2571" spans="1:1" s="427" customFormat="1" ht="12" hidden="1" customHeight="1">
      <c r="A2571" s="426"/>
    </row>
    <row r="2572" spans="1:1" s="427" customFormat="1" ht="12" hidden="1" customHeight="1">
      <c r="A2572" s="426"/>
    </row>
    <row r="2573" spans="1:1" s="427" customFormat="1" ht="12" hidden="1" customHeight="1">
      <c r="A2573" s="426"/>
    </row>
    <row r="2574" spans="1:1" s="427" customFormat="1" ht="12" hidden="1" customHeight="1">
      <c r="A2574" s="426"/>
    </row>
    <row r="2575" spans="1:1" s="427" customFormat="1" ht="12" hidden="1" customHeight="1">
      <c r="A2575" s="426"/>
    </row>
    <row r="2576" spans="1:1" s="427" customFormat="1" ht="12" hidden="1" customHeight="1">
      <c r="A2576" s="426"/>
    </row>
    <row r="2577" spans="1:1" s="427" customFormat="1" ht="12" hidden="1" customHeight="1">
      <c r="A2577" s="426"/>
    </row>
    <row r="2578" spans="1:1" s="427" customFormat="1" ht="12" hidden="1" customHeight="1">
      <c r="A2578" s="426"/>
    </row>
    <row r="2579" spans="1:1" s="427" customFormat="1" ht="12" hidden="1" customHeight="1">
      <c r="A2579" s="426"/>
    </row>
    <row r="2580" spans="1:1" s="427" customFormat="1" ht="12" hidden="1" customHeight="1">
      <c r="A2580" s="426"/>
    </row>
    <row r="2581" spans="1:1" s="427" customFormat="1" ht="12" hidden="1" customHeight="1">
      <c r="A2581" s="426"/>
    </row>
    <row r="2582" spans="1:1" s="427" customFormat="1" ht="12" hidden="1" customHeight="1">
      <c r="A2582" s="426"/>
    </row>
    <row r="2583" spans="1:1" s="427" customFormat="1" ht="12" hidden="1" customHeight="1">
      <c r="A2583" s="426"/>
    </row>
    <row r="2584" spans="1:1" s="427" customFormat="1" ht="12" hidden="1" customHeight="1">
      <c r="A2584" s="426"/>
    </row>
    <row r="2585" spans="1:1" s="427" customFormat="1" ht="12" hidden="1" customHeight="1">
      <c r="A2585" s="426"/>
    </row>
    <row r="2586" spans="1:1" s="427" customFormat="1" ht="12" hidden="1" customHeight="1">
      <c r="A2586" s="426"/>
    </row>
    <row r="2587" spans="1:1" s="427" customFormat="1" ht="12" hidden="1" customHeight="1">
      <c r="A2587" s="426"/>
    </row>
    <row r="2588" spans="1:1" s="427" customFormat="1" ht="12" hidden="1" customHeight="1">
      <c r="A2588" s="426"/>
    </row>
    <row r="2589" spans="1:1" s="427" customFormat="1" ht="12" hidden="1" customHeight="1">
      <c r="A2589" s="426"/>
    </row>
    <row r="2590" spans="1:1" s="427" customFormat="1" ht="12" hidden="1" customHeight="1">
      <c r="A2590" s="426"/>
    </row>
    <row r="2591" spans="1:1" s="427" customFormat="1" ht="12" hidden="1" customHeight="1">
      <c r="A2591" s="426"/>
    </row>
    <row r="2592" spans="1:1" s="427" customFormat="1" ht="12" hidden="1" customHeight="1">
      <c r="A2592" s="426"/>
    </row>
    <row r="2593" spans="1:1" s="427" customFormat="1" ht="12" hidden="1" customHeight="1">
      <c r="A2593" s="426"/>
    </row>
    <row r="2594" spans="1:1" s="427" customFormat="1" ht="12" hidden="1" customHeight="1">
      <c r="A2594" s="426"/>
    </row>
    <row r="2595" spans="1:1" s="427" customFormat="1" ht="12" hidden="1" customHeight="1">
      <c r="A2595" s="426"/>
    </row>
    <row r="2596" spans="1:1" s="427" customFormat="1" ht="12" hidden="1" customHeight="1">
      <c r="A2596" s="426"/>
    </row>
    <row r="2597" spans="1:1" s="427" customFormat="1" ht="12" hidden="1" customHeight="1">
      <c r="A2597" s="426"/>
    </row>
    <row r="2598" spans="1:1" s="427" customFormat="1" ht="12" hidden="1" customHeight="1">
      <c r="A2598" s="426"/>
    </row>
    <row r="2599" spans="1:1" s="427" customFormat="1" ht="12" hidden="1" customHeight="1">
      <c r="A2599" s="426"/>
    </row>
    <row r="2600" spans="1:1" s="427" customFormat="1" ht="12" hidden="1" customHeight="1">
      <c r="A2600" s="426"/>
    </row>
    <row r="2601" spans="1:1" s="427" customFormat="1" ht="12" hidden="1" customHeight="1">
      <c r="A2601" s="426"/>
    </row>
    <row r="2602" spans="1:1" s="427" customFormat="1" ht="12" hidden="1" customHeight="1">
      <c r="A2602" s="426"/>
    </row>
    <row r="2603" spans="1:1" s="427" customFormat="1" ht="12" hidden="1" customHeight="1">
      <c r="A2603" s="426"/>
    </row>
    <row r="2604" spans="1:1" s="427" customFormat="1" ht="12" hidden="1" customHeight="1">
      <c r="A2604" s="426"/>
    </row>
    <row r="2605" spans="1:1" s="427" customFormat="1" ht="12" hidden="1" customHeight="1">
      <c r="A2605" s="426"/>
    </row>
    <row r="2606" spans="1:1" s="427" customFormat="1" ht="12" hidden="1" customHeight="1">
      <c r="A2606" s="426"/>
    </row>
    <row r="2607" spans="1:1" s="427" customFormat="1" ht="12" hidden="1" customHeight="1">
      <c r="A2607" s="426"/>
    </row>
    <row r="2608" spans="1:1" s="427" customFormat="1" ht="12" hidden="1" customHeight="1">
      <c r="A2608" s="426"/>
    </row>
    <row r="2609" spans="1:1" s="427" customFormat="1" ht="12" hidden="1" customHeight="1">
      <c r="A2609" s="426"/>
    </row>
    <row r="2610" spans="1:1" s="427" customFormat="1" ht="12" hidden="1" customHeight="1">
      <c r="A2610" s="426"/>
    </row>
    <row r="2611" spans="1:1" s="427" customFormat="1" ht="12" hidden="1" customHeight="1">
      <c r="A2611" s="426"/>
    </row>
    <row r="2612" spans="1:1" s="427" customFormat="1" ht="12" hidden="1" customHeight="1">
      <c r="A2612" s="426"/>
    </row>
    <row r="2613" spans="1:1" s="427" customFormat="1" ht="12" hidden="1" customHeight="1">
      <c r="A2613" s="426"/>
    </row>
    <row r="2614" spans="1:1" s="427" customFormat="1" ht="12" hidden="1" customHeight="1">
      <c r="A2614" s="426"/>
    </row>
    <row r="2615" spans="1:1" s="427" customFormat="1" ht="12" hidden="1" customHeight="1">
      <c r="A2615" s="426"/>
    </row>
    <row r="2616" spans="1:1" s="427" customFormat="1" ht="12" hidden="1" customHeight="1">
      <c r="A2616" s="426"/>
    </row>
    <row r="2617" spans="1:1" s="427" customFormat="1" ht="12" hidden="1" customHeight="1">
      <c r="A2617" s="426"/>
    </row>
    <row r="2618" spans="1:1" s="427" customFormat="1" ht="12" hidden="1" customHeight="1">
      <c r="A2618" s="426"/>
    </row>
    <row r="2619" spans="1:1" s="427" customFormat="1" ht="12" hidden="1" customHeight="1">
      <c r="A2619" s="426"/>
    </row>
    <row r="2620" spans="1:1" s="427" customFormat="1" ht="12" hidden="1" customHeight="1">
      <c r="A2620" s="426"/>
    </row>
    <row r="2621" spans="1:1" s="427" customFormat="1" ht="12" hidden="1" customHeight="1">
      <c r="A2621" s="426"/>
    </row>
    <row r="2622" spans="1:1" s="427" customFormat="1" ht="12" hidden="1" customHeight="1">
      <c r="A2622" s="426"/>
    </row>
    <row r="2623" spans="1:1" s="427" customFormat="1" ht="12" hidden="1" customHeight="1">
      <c r="A2623" s="426"/>
    </row>
    <row r="2624" spans="1:1" s="427" customFormat="1" ht="12" hidden="1" customHeight="1">
      <c r="A2624" s="426"/>
    </row>
    <row r="2625" spans="1:1" s="427" customFormat="1" ht="12" hidden="1" customHeight="1">
      <c r="A2625" s="426"/>
    </row>
    <row r="2626" spans="1:1" s="427" customFormat="1" ht="12" hidden="1" customHeight="1">
      <c r="A2626" s="426"/>
    </row>
    <row r="2627" spans="1:1" s="427" customFormat="1" ht="12" hidden="1" customHeight="1">
      <c r="A2627" s="426"/>
    </row>
    <row r="2628" spans="1:1" s="427" customFormat="1" ht="12" hidden="1" customHeight="1">
      <c r="A2628" s="426"/>
    </row>
    <row r="2629" spans="1:1" s="427" customFormat="1" ht="12" hidden="1" customHeight="1">
      <c r="A2629" s="426"/>
    </row>
    <row r="2630" spans="1:1" s="427" customFormat="1" ht="12" hidden="1" customHeight="1">
      <c r="A2630" s="426"/>
    </row>
    <row r="2631" spans="1:1" s="427" customFormat="1" ht="12" hidden="1" customHeight="1">
      <c r="A2631" s="426"/>
    </row>
    <row r="2632" spans="1:1" s="427" customFormat="1" ht="12" hidden="1" customHeight="1">
      <c r="A2632" s="426"/>
    </row>
    <row r="2633" spans="1:1" s="427" customFormat="1" ht="12" hidden="1" customHeight="1">
      <c r="A2633" s="426"/>
    </row>
    <row r="2634" spans="1:1" s="427" customFormat="1" ht="12" hidden="1" customHeight="1">
      <c r="A2634" s="426"/>
    </row>
    <row r="2635" spans="1:1" s="427" customFormat="1" ht="12" hidden="1" customHeight="1">
      <c r="A2635" s="426"/>
    </row>
    <row r="2636" spans="1:1" s="427" customFormat="1" ht="12" hidden="1" customHeight="1">
      <c r="A2636" s="426"/>
    </row>
    <row r="2637" spans="1:1" s="427" customFormat="1" ht="12" hidden="1" customHeight="1">
      <c r="A2637" s="426"/>
    </row>
    <row r="2638" spans="1:1" s="427" customFormat="1" ht="12" hidden="1" customHeight="1">
      <c r="A2638" s="426"/>
    </row>
    <row r="2639" spans="1:1" s="427" customFormat="1" ht="12" hidden="1" customHeight="1">
      <c r="A2639" s="426"/>
    </row>
    <row r="2640" spans="1:1" s="427" customFormat="1" ht="12" hidden="1" customHeight="1">
      <c r="A2640" s="426"/>
    </row>
    <row r="2641" spans="1:1" s="427" customFormat="1" ht="12" hidden="1" customHeight="1">
      <c r="A2641" s="426"/>
    </row>
    <row r="2642" spans="1:1" s="427" customFormat="1" ht="12" hidden="1" customHeight="1">
      <c r="A2642" s="426"/>
    </row>
    <row r="2643" spans="1:1" s="427" customFormat="1" ht="12" hidden="1" customHeight="1">
      <c r="A2643" s="426"/>
    </row>
    <row r="2644" spans="1:1" s="427" customFormat="1" ht="12" hidden="1" customHeight="1">
      <c r="A2644" s="426"/>
    </row>
    <row r="2645" spans="1:1" s="427" customFormat="1" ht="12" hidden="1" customHeight="1">
      <c r="A2645" s="426"/>
    </row>
    <row r="2646" spans="1:1" s="427" customFormat="1" ht="12" hidden="1" customHeight="1">
      <c r="A2646" s="426"/>
    </row>
    <row r="2647" spans="1:1" s="427" customFormat="1" ht="12" hidden="1" customHeight="1">
      <c r="A2647" s="426"/>
    </row>
    <row r="2648" spans="1:1" s="427" customFormat="1" ht="12" hidden="1" customHeight="1">
      <c r="A2648" s="426"/>
    </row>
    <row r="2649" spans="1:1" s="427" customFormat="1" ht="12" hidden="1" customHeight="1">
      <c r="A2649" s="426"/>
    </row>
    <row r="2650" spans="1:1" s="427" customFormat="1" ht="12" hidden="1" customHeight="1">
      <c r="A2650" s="426"/>
    </row>
    <row r="2651" spans="1:1" s="427" customFormat="1" ht="12" hidden="1" customHeight="1">
      <c r="A2651" s="426"/>
    </row>
    <row r="2652" spans="1:1" s="427" customFormat="1" ht="12" hidden="1" customHeight="1">
      <c r="A2652" s="426"/>
    </row>
    <row r="2653" spans="1:1" s="427" customFormat="1" ht="12" hidden="1" customHeight="1">
      <c r="A2653" s="426"/>
    </row>
    <row r="2654" spans="1:1" s="427" customFormat="1" ht="12" hidden="1" customHeight="1">
      <c r="A2654" s="426"/>
    </row>
    <row r="2655" spans="1:1" s="427" customFormat="1" ht="12" hidden="1" customHeight="1">
      <c r="A2655" s="426"/>
    </row>
    <row r="2656" spans="1:1" s="427" customFormat="1" ht="12" hidden="1" customHeight="1">
      <c r="A2656" s="426"/>
    </row>
    <row r="2657" spans="1:1" s="427" customFormat="1" ht="12" hidden="1" customHeight="1">
      <c r="A2657" s="426"/>
    </row>
    <row r="2658" spans="1:1" s="427" customFormat="1" ht="12" hidden="1" customHeight="1">
      <c r="A2658" s="426"/>
    </row>
    <row r="2659" spans="1:1" s="427" customFormat="1" ht="12" hidden="1" customHeight="1">
      <c r="A2659" s="426"/>
    </row>
    <row r="2660" spans="1:1" s="427" customFormat="1" ht="12" hidden="1" customHeight="1">
      <c r="A2660" s="426"/>
    </row>
    <row r="2661" spans="1:1" s="427" customFormat="1" ht="12" hidden="1" customHeight="1">
      <c r="A2661" s="426"/>
    </row>
    <row r="2662" spans="1:1" s="427" customFormat="1" ht="12" hidden="1" customHeight="1">
      <c r="A2662" s="426"/>
    </row>
    <row r="2663" spans="1:1" s="427" customFormat="1" ht="12" hidden="1" customHeight="1">
      <c r="A2663" s="426"/>
    </row>
    <row r="2664" spans="1:1" s="427" customFormat="1" ht="12" hidden="1" customHeight="1">
      <c r="A2664" s="426"/>
    </row>
    <row r="2665" spans="1:1" s="427" customFormat="1" ht="12" hidden="1" customHeight="1">
      <c r="A2665" s="426"/>
    </row>
    <row r="2666" spans="1:1" s="427" customFormat="1" ht="12" hidden="1" customHeight="1">
      <c r="A2666" s="426"/>
    </row>
    <row r="2667" spans="1:1" s="427" customFormat="1" ht="12" hidden="1" customHeight="1">
      <c r="A2667" s="426"/>
    </row>
    <row r="2668" spans="1:1" s="427" customFormat="1" ht="12" hidden="1" customHeight="1">
      <c r="A2668" s="426"/>
    </row>
    <row r="2669" spans="1:1" s="427" customFormat="1" ht="12" hidden="1" customHeight="1">
      <c r="A2669" s="426"/>
    </row>
    <row r="2670" spans="1:1" s="427" customFormat="1" ht="12" hidden="1" customHeight="1">
      <c r="A2670" s="426"/>
    </row>
    <row r="2671" spans="1:1" s="427" customFormat="1" ht="12" hidden="1" customHeight="1">
      <c r="A2671" s="426"/>
    </row>
    <row r="2672" spans="1:1" s="427" customFormat="1" ht="12" hidden="1" customHeight="1">
      <c r="A2672" s="426"/>
    </row>
    <row r="2673" spans="1:1" s="427" customFormat="1" ht="12" hidden="1" customHeight="1">
      <c r="A2673" s="426"/>
    </row>
    <row r="2674" spans="1:1" s="427" customFormat="1" ht="12" hidden="1" customHeight="1">
      <c r="A2674" s="426"/>
    </row>
    <row r="2675" spans="1:1" s="427" customFormat="1" ht="12" hidden="1" customHeight="1">
      <c r="A2675" s="426"/>
    </row>
    <row r="2676" spans="1:1" s="427" customFormat="1" ht="12" hidden="1" customHeight="1">
      <c r="A2676" s="426"/>
    </row>
    <row r="2677" spans="1:1" s="427" customFormat="1" ht="12" hidden="1" customHeight="1">
      <c r="A2677" s="426"/>
    </row>
    <row r="2678" spans="1:1" s="427" customFormat="1" ht="12" hidden="1" customHeight="1">
      <c r="A2678" s="426"/>
    </row>
    <row r="2679" spans="1:1" s="427" customFormat="1" ht="12" hidden="1" customHeight="1">
      <c r="A2679" s="426"/>
    </row>
    <row r="2680" spans="1:1" s="427" customFormat="1" ht="12" hidden="1" customHeight="1">
      <c r="A2680" s="426"/>
    </row>
    <row r="2681" spans="1:1" s="427" customFormat="1" ht="12" hidden="1" customHeight="1">
      <c r="A2681" s="426"/>
    </row>
    <row r="2682" spans="1:1" s="427" customFormat="1" ht="12" hidden="1" customHeight="1">
      <c r="A2682" s="426"/>
    </row>
    <row r="2683" spans="1:1" s="427" customFormat="1" ht="12" hidden="1" customHeight="1">
      <c r="A2683" s="426"/>
    </row>
    <row r="2684" spans="1:1" s="427" customFormat="1" ht="12" hidden="1" customHeight="1">
      <c r="A2684" s="426"/>
    </row>
    <row r="2685" spans="1:1" s="427" customFormat="1" ht="12" hidden="1" customHeight="1">
      <c r="A2685" s="426"/>
    </row>
    <row r="2686" spans="1:1" s="427" customFormat="1" ht="12" hidden="1" customHeight="1">
      <c r="A2686" s="426"/>
    </row>
    <row r="2687" spans="1:1" s="427" customFormat="1" ht="12" hidden="1" customHeight="1">
      <c r="A2687" s="426"/>
    </row>
    <row r="2688" spans="1:1" s="427" customFormat="1" ht="12" hidden="1" customHeight="1">
      <c r="A2688" s="426"/>
    </row>
    <row r="2689" spans="1:1" s="427" customFormat="1" ht="12" hidden="1" customHeight="1">
      <c r="A2689" s="426"/>
    </row>
    <row r="2690" spans="1:1" s="427" customFormat="1" ht="12" hidden="1" customHeight="1">
      <c r="A2690" s="426"/>
    </row>
    <row r="2691" spans="1:1" s="427" customFormat="1" ht="12" hidden="1" customHeight="1">
      <c r="A2691" s="426"/>
    </row>
    <row r="2692" spans="1:1" s="427" customFormat="1" ht="12" hidden="1" customHeight="1">
      <c r="A2692" s="426"/>
    </row>
    <row r="2693" spans="1:1" s="427" customFormat="1" ht="12" hidden="1" customHeight="1">
      <c r="A2693" s="426"/>
    </row>
    <row r="2694" spans="1:1" s="427" customFormat="1" ht="12" hidden="1" customHeight="1">
      <c r="A2694" s="426"/>
    </row>
    <row r="2695" spans="1:1" s="427" customFormat="1" ht="12" hidden="1" customHeight="1">
      <c r="A2695" s="426"/>
    </row>
    <row r="2696" spans="1:1" s="427" customFormat="1" ht="12" hidden="1" customHeight="1">
      <c r="A2696" s="426"/>
    </row>
    <row r="2697" spans="1:1" s="427" customFormat="1" ht="12" hidden="1" customHeight="1">
      <c r="A2697" s="426"/>
    </row>
    <row r="2698" spans="1:1" s="427" customFormat="1" ht="12" hidden="1" customHeight="1">
      <c r="A2698" s="426"/>
    </row>
    <row r="2699" spans="1:1" s="427" customFormat="1" ht="12" hidden="1" customHeight="1">
      <c r="A2699" s="426"/>
    </row>
    <row r="2700" spans="1:1" s="427" customFormat="1" ht="12" hidden="1" customHeight="1">
      <c r="A2700" s="426"/>
    </row>
    <row r="2701" spans="1:1" s="427" customFormat="1" ht="12" hidden="1" customHeight="1">
      <c r="A2701" s="426"/>
    </row>
    <row r="2702" spans="1:1" s="427" customFormat="1" ht="12" hidden="1" customHeight="1">
      <c r="A2702" s="426"/>
    </row>
    <row r="2703" spans="1:1" s="427" customFormat="1" ht="12" hidden="1" customHeight="1">
      <c r="A2703" s="426"/>
    </row>
    <row r="2704" spans="1:1" s="427" customFormat="1" ht="12" hidden="1" customHeight="1">
      <c r="A2704" s="426"/>
    </row>
    <row r="2705" spans="1:1" s="427" customFormat="1" ht="12" hidden="1" customHeight="1">
      <c r="A2705" s="426"/>
    </row>
    <row r="2706" spans="1:1" s="427" customFormat="1" ht="12" hidden="1" customHeight="1">
      <c r="A2706" s="426"/>
    </row>
    <row r="2707" spans="1:1" s="427" customFormat="1" ht="12" hidden="1" customHeight="1">
      <c r="A2707" s="426"/>
    </row>
    <row r="2708" spans="1:1" s="427" customFormat="1" ht="12" hidden="1" customHeight="1">
      <c r="A2708" s="426"/>
    </row>
    <row r="2709" spans="1:1" s="427" customFormat="1" ht="12" hidden="1" customHeight="1">
      <c r="A2709" s="426"/>
    </row>
    <row r="2710" spans="1:1" s="427" customFormat="1" ht="12" hidden="1" customHeight="1">
      <c r="A2710" s="426"/>
    </row>
    <row r="2711" spans="1:1" s="427" customFormat="1" ht="12" hidden="1" customHeight="1">
      <c r="A2711" s="426"/>
    </row>
    <row r="2712" spans="1:1" s="427" customFormat="1" ht="12" hidden="1" customHeight="1">
      <c r="A2712" s="426"/>
    </row>
    <row r="2713" spans="1:1" s="427" customFormat="1" ht="12" hidden="1" customHeight="1">
      <c r="A2713" s="426"/>
    </row>
    <row r="2714" spans="1:1" s="427" customFormat="1" ht="12" hidden="1" customHeight="1">
      <c r="A2714" s="426"/>
    </row>
    <row r="2715" spans="1:1" s="427" customFormat="1" ht="12" hidden="1" customHeight="1">
      <c r="A2715" s="426"/>
    </row>
    <row r="2716" spans="1:1" s="427" customFormat="1" ht="12" hidden="1" customHeight="1">
      <c r="A2716" s="426"/>
    </row>
    <row r="2717" spans="1:1" s="427" customFormat="1" ht="12" hidden="1" customHeight="1">
      <c r="A2717" s="426"/>
    </row>
    <row r="2718" spans="1:1" s="427" customFormat="1" ht="12" hidden="1" customHeight="1">
      <c r="A2718" s="426"/>
    </row>
    <row r="2719" spans="1:1" s="427" customFormat="1" ht="12" hidden="1" customHeight="1">
      <c r="A2719" s="426"/>
    </row>
    <row r="2720" spans="1:1" s="427" customFormat="1" ht="12" hidden="1" customHeight="1">
      <c r="A2720" s="426"/>
    </row>
    <row r="2721" spans="1:1" s="427" customFormat="1" ht="12" hidden="1" customHeight="1">
      <c r="A2721" s="426"/>
    </row>
    <row r="2722" spans="1:1" s="427" customFormat="1" ht="12" hidden="1" customHeight="1">
      <c r="A2722" s="426"/>
    </row>
    <row r="2723" spans="1:1" s="427" customFormat="1" ht="12" hidden="1" customHeight="1">
      <c r="A2723" s="426"/>
    </row>
    <row r="2724" spans="1:1" s="427" customFormat="1" ht="12" hidden="1" customHeight="1">
      <c r="A2724" s="426"/>
    </row>
    <row r="2725" spans="1:1" s="427" customFormat="1" ht="12" hidden="1" customHeight="1">
      <c r="A2725" s="426"/>
    </row>
    <row r="2726" spans="1:1" s="427" customFormat="1" ht="12" hidden="1" customHeight="1">
      <c r="A2726" s="426"/>
    </row>
    <row r="2727" spans="1:1" s="427" customFormat="1" ht="12" hidden="1" customHeight="1">
      <c r="A2727" s="426"/>
    </row>
    <row r="2728" spans="1:1" s="427" customFormat="1" ht="12" hidden="1" customHeight="1">
      <c r="A2728" s="426"/>
    </row>
    <row r="2729" spans="1:1" s="427" customFormat="1" ht="12" hidden="1" customHeight="1">
      <c r="A2729" s="426"/>
    </row>
    <row r="2730" spans="1:1" s="427" customFormat="1" ht="12" hidden="1" customHeight="1">
      <c r="A2730" s="426"/>
    </row>
    <row r="2731" spans="1:1" s="427" customFormat="1" ht="12" hidden="1" customHeight="1">
      <c r="A2731" s="426"/>
    </row>
    <row r="2732" spans="1:1" s="427" customFormat="1" ht="12" hidden="1" customHeight="1">
      <c r="A2732" s="426"/>
    </row>
    <row r="2733" spans="1:1" s="427" customFormat="1" ht="12" hidden="1" customHeight="1">
      <c r="A2733" s="426"/>
    </row>
    <row r="2734" spans="1:1" s="427" customFormat="1" ht="12" hidden="1" customHeight="1">
      <c r="A2734" s="426"/>
    </row>
    <row r="2735" spans="1:1" s="427" customFormat="1" ht="12" hidden="1" customHeight="1">
      <c r="A2735" s="426"/>
    </row>
    <row r="2736" spans="1:1" s="427" customFormat="1" ht="12" hidden="1" customHeight="1">
      <c r="A2736" s="426"/>
    </row>
    <row r="2737" spans="1:1" s="427" customFormat="1" ht="12" hidden="1" customHeight="1">
      <c r="A2737" s="426"/>
    </row>
    <row r="2738" spans="1:1" s="427" customFormat="1" ht="12" hidden="1" customHeight="1">
      <c r="A2738" s="426"/>
    </row>
    <row r="2739" spans="1:1" s="427" customFormat="1" ht="12" hidden="1" customHeight="1">
      <c r="A2739" s="426"/>
    </row>
    <row r="2740" spans="1:1" s="427" customFormat="1" ht="12" hidden="1" customHeight="1">
      <c r="A2740" s="426"/>
    </row>
    <row r="2741" spans="1:1" s="427" customFormat="1" ht="12" hidden="1" customHeight="1">
      <c r="A2741" s="426"/>
    </row>
    <row r="2742" spans="1:1" s="427" customFormat="1" ht="12" hidden="1" customHeight="1">
      <c r="A2742" s="426"/>
    </row>
    <row r="2743" spans="1:1" s="427" customFormat="1" ht="12" hidden="1" customHeight="1">
      <c r="A2743" s="426"/>
    </row>
    <row r="2744" spans="1:1" s="427" customFormat="1" ht="12" hidden="1" customHeight="1">
      <c r="A2744" s="426"/>
    </row>
    <row r="2745" spans="1:1" s="427" customFormat="1" ht="12" hidden="1" customHeight="1">
      <c r="A2745" s="426"/>
    </row>
    <row r="2746" spans="1:1" s="427" customFormat="1" ht="12" hidden="1" customHeight="1">
      <c r="A2746" s="426"/>
    </row>
    <row r="2747" spans="1:1" s="427" customFormat="1" ht="12" hidden="1" customHeight="1">
      <c r="A2747" s="426"/>
    </row>
    <row r="2748" spans="1:1" s="427" customFormat="1" ht="12" hidden="1" customHeight="1">
      <c r="A2748" s="426"/>
    </row>
    <row r="2749" spans="1:1" s="427" customFormat="1" ht="12" hidden="1" customHeight="1">
      <c r="A2749" s="426"/>
    </row>
    <row r="2750" spans="1:1" s="427" customFormat="1" ht="12" hidden="1" customHeight="1">
      <c r="A2750" s="426"/>
    </row>
    <row r="2751" spans="1:1" s="427" customFormat="1" ht="12" hidden="1" customHeight="1">
      <c r="A2751" s="426"/>
    </row>
    <row r="2752" spans="1:1" s="427" customFormat="1" ht="12" hidden="1" customHeight="1">
      <c r="A2752" s="426"/>
    </row>
    <row r="2753" spans="1:1" s="427" customFormat="1" ht="12" hidden="1" customHeight="1">
      <c r="A2753" s="426"/>
    </row>
    <row r="2754" spans="1:1" s="427" customFormat="1" ht="12" hidden="1" customHeight="1">
      <c r="A2754" s="426"/>
    </row>
    <row r="2755" spans="1:1" s="427" customFormat="1" ht="12" hidden="1" customHeight="1">
      <c r="A2755" s="426"/>
    </row>
    <row r="2756" spans="1:1" s="427" customFormat="1" ht="12" hidden="1" customHeight="1">
      <c r="A2756" s="426"/>
    </row>
    <row r="2757" spans="1:1" s="427" customFormat="1" ht="12" hidden="1" customHeight="1">
      <c r="A2757" s="426"/>
    </row>
    <row r="2758" spans="1:1" s="427" customFormat="1" ht="12" hidden="1" customHeight="1">
      <c r="A2758" s="426"/>
    </row>
    <row r="2759" spans="1:1" s="427" customFormat="1" ht="12" hidden="1" customHeight="1">
      <c r="A2759" s="426"/>
    </row>
    <row r="2760" spans="1:1" s="427" customFormat="1" ht="12" hidden="1" customHeight="1">
      <c r="A2760" s="426"/>
    </row>
    <row r="2761" spans="1:1" s="427" customFormat="1" ht="12" hidden="1" customHeight="1">
      <c r="A2761" s="426"/>
    </row>
    <row r="2762" spans="1:1" s="427" customFormat="1" ht="12" hidden="1" customHeight="1">
      <c r="A2762" s="426"/>
    </row>
    <row r="2763" spans="1:1" s="427" customFormat="1" ht="12" hidden="1" customHeight="1">
      <c r="A2763" s="426"/>
    </row>
    <row r="2764" spans="1:1" s="427" customFormat="1" ht="12" hidden="1" customHeight="1">
      <c r="A2764" s="426"/>
    </row>
    <row r="2765" spans="1:1" s="427" customFormat="1" ht="12" hidden="1" customHeight="1">
      <c r="A2765" s="426"/>
    </row>
    <row r="2766" spans="1:1" s="427" customFormat="1" ht="12" hidden="1" customHeight="1">
      <c r="A2766" s="426"/>
    </row>
    <row r="2767" spans="1:1" s="427" customFormat="1" ht="12" hidden="1" customHeight="1">
      <c r="A2767" s="426"/>
    </row>
    <row r="2768" spans="1:1" s="427" customFormat="1" ht="12" hidden="1" customHeight="1">
      <c r="A2768" s="426"/>
    </row>
    <row r="2769" spans="1:1" s="427" customFormat="1" ht="12" hidden="1" customHeight="1">
      <c r="A2769" s="426"/>
    </row>
    <row r="2770" spans="1:1" s="427" customFormat="1" ht="12" hidden="1" customHeight="1">
      <c r="A2770" s="426"/>
    </row>
    <row r="2771" spans="1:1" s="427" customFormat="1" ht="12" hidden="1" customHeight="1">
      <c r="A2771" s="426"/>
    </row>
    <row r="2772" spans="1:1" s="427" customFormat="1" ht="12" hidden="1" customHeight="1">
      <c r="A2772" s="426"/>
    </row>
    <row r="2773" spans="1:1" s="427" customFormat="1" ht="12" hidden="1" customHeight="1">
      <c r="A2773" s="426"/>
    </row>
    <row r="2774" spans="1:1" s="427" customFormat="1" ht="12" hidden="1" customHeight="1">
      <c r="A2774" s="426"/>
    </row>
    <row r="2775" spans="1:1" s="427" customFormat="1" ht="12" hidden="1" customHeight="1">
      <c r="A2775" s="426"/>
    </row>
    <row r="2776" spans="1:1" s="427" customFormat="1" ht="12" hidden="1" customHeight="1">
      <c r="A2776" s="426"/>
    </row>
    <row r="2777" spans="1:1" s="427" customFormat="1" ht="12" hidden="1" customHeight="1">
      <c r="A2777" s="426"/>
    </row>
    <row r="2778" spans="1:1" s="427" customFormat="1" ht="12" hidden="1" customHeight="1">
      <c r="A2778" s="426"/>
    </row>
    <row r="2779" spans="1:1" s="427" customFormat="1" ht="12" hidden="1" customHeight="1">
      <c r="A2779" s="426"/>
    </row>
    <row r="2780" spans="1:1" s="427" customFormat="1" ht="12" hidden="1" customHeight="1">
      <c r="A2780" s="426"/>
    </row>
    <row r="2781" spans="1:1" s="427" customFormat="1" ht="12" hidden="1" customHeight="1">
      <c r="A2781" s="426"/>
    </row>
    <row r="2782" spans="1:1" s="427" customFormat="1" ht="12" hidden="1" customHeight="1">
      <c r="A2782" s="426"/>
    </row>
    <row r="2783" spans="1:1" s="427" customFormat="1" ht="12" hidden="1" customHeight="1">
      <c r="A2783" s="426"/>
    </row>
    <row r="2784" spans="1:1" s="427" customFormat="1" ht="12" hidden="1" customHeight="1">
      <c r="A2784" s="426"/>
    </row>
    <row r="2785" spans="1:1" s="427" customFormat="1" ht="12" hidden="1" customHeight="1">
      <c r="A2785" s="426"/>
    </row>
    <row r="2786" spans="1:1" s="427" customFormat="1" ht="12" hidden="1" customHeight="1">
      <c r="A2786" s="426"/>
    </row>
    <row r="2787" spans="1:1" s="427" customFormat="1" ht="12" hidden="1" customHeight="1">
      <c r="A2787" s="426"/>
    </row>
    <row r="2788" spans="1:1" s="427" customFormat="1" ht="12" hidden="1" customHeight="1">
      <c r="A2788" s="426"/>
    </row>
    <row r="2789" spans="1:1" s="427" customFormat="1" ht="12" hidden="1" customHeight="1">
      <c r="A2789" s="426"/>
    </row>
    <row r="2790" spans="1:1" s="427" customFormat="1" ht="12" hidden="1" customHeight="1">
      <c r="A2790" s="426"/>
    </row>
    <row r="2791" spans="1:1" s="427" customFormat="1" ht="12" hidden="1" customHeight="1">
      <c r="A2791" s="426"/>
    </row>
    <row r="2792" spans="1:1" s="427" customFormat="1" ht="12" hidden="1" customHeight="1">
      <c r="A2792" s="426"/>
    </row>
    <row r="2793" spans="1:1" s="427" customFormat="1" ht="12" hidden="1" customHeight="1">
      <c r="A2793" s="426"/>
    </row>
    <row r="2794" spans="1:1" s="427" customFormat="1" ht="12" hidden="1" customHeight="1">
      <c r="A2794" s="426"/>
    </row>
    <row r="2795" spans="1:1" s="427" customFormat="1" ht="12" hidden="1" customHeight="1">
      <c r="A2795" s="426"/>
    </row>
    <row r="2796" spans="1:1" s="427" customFormat="1" ht="12" hidden="1" customHeight="1">
      <c r="A2796" s="426"/>
    </row>
    <row r="2797" spans="1:1" s="427" customFormat="1" ht="12" hidden="1" customHeight="1">
      <c r="A2797" s="426"/>
    </row>
    <row r="2798" spans="1:1" s="427" customFormat="1" ht="12" hidden="1" customHeight="1">
      <c r="A2798" s="426"/>
    </row>
    <row r="2799" spans="1:1" s="427" customFormat="1" ht="12" hidden="1" customHeight="1">
      <c r="A2799" s="426"/>
    </row>
    <row r="2800" spans="1:1" s="427" customFormat="1" ht="12" hidden="1" customHeight="1">
      <c r="A2800" s="426"/>
    </row>
    <row r="2801" spans="1:1" s="427" customFormat="1" ht="12" hidden="1" customHeight="1">
      <c r="A2801" s="426"/>
    </row>
    <row r="2802" spans="1:1" s="427" customFormat="1" ht="12" hidden="1" customHeight="1">
      <c r="A2802" s="426"/>
    </row>
    <row r="2803" spans="1:1" s="427" customFormat="1" ht="12" hidden="1" customHeight="1">
      <c r="A2803" s="426"/>
    </row>
    <row r="2804" spans="1:1" s="427" customFormat="1" ht="12" hidden="1" customHeight="1">
      <c r="A2804" s="426"/>
    </row>
    <row r="2805" spans="1:1" s="427" customFormat="1" ht="12" hidden="1" customHeight="1">
      <c r="A2805" s="426"/>
    </row>
    <row r="2806" spans="1:1" s="427" customFormat="1" ht="12" hidden="1" customHeight="1">
      <c r="A2806" s="426"/>
    </row>
    <row r="2807" spans="1:1" s="427" customFormat="1" ht="12" hidden="1" customHeight="1">
      <c r="A2807" s="426"/>
    </row>
    <row r="2808" spans="1:1" s="427" customFormat="1" ht="12" hidden="1" customHeight="1">
      <c r="A2808" s="426"/>
    </row>
    <row r="2809" spans="1:1" s="427" customFormat="1" ht="12" hidden="1" customHeight="1">
      <c r="A2809" s="426"/>
    </row>
    <row r="2810" spans="1:1" s="427" customFormat="1" ht="12" hidden="1" customHeight="1">
      <c r="A2810" s="426"/>
    </row>
    <row r="2811" spans="1:1" s="427" customFormat="1" ht="12" hidden="1" customHeight="1">
      <c r="A2811" s="426"/>
    </row>
    <row r="2812" spans="1:1" s="427" customFormat="1" ht="12" hidden="1" customHeight="1">
      <c r="A2812" s="426"/>
    </row>
    <row r="2813" spans="1:1" s="427" customFormat="1" ht="12" hidden="1" customHeight="1">
      <c r="A2813" s="426"/>
    </row>
    <row r="2814" spans="1:1" s="427" customFormat="1" ht="12" hidden="1" customHeight="1">
      <c r="A2814" s="426"/>
    </row>
    <row r="2815" spans="1:1" s="427" customFormat="1" ht="12" hidden="1" customHeight="1">
      <c r="A2815" s="426"/>
    </row>
    <row r="2816" spans="1:1" s="427" customFormat="1" ht="12" hidden="1" customHeight="1">
      <c r="A2816" s="426"/>
    </row>
    <row r="2817" spans="1:1" s="427" customFormat="1" ht="12" hidden="1" customHeight="1">
      <c r="A2817" s="426"/>
    </row>
    <row r="2818" spans="1:1" s="427" customFormat="1" ht="12" hidden="1" customHeight="1">
      <c r="A2818" s="426"/>
    </row>
    <row r="2819" spans="1:1" s="427" customFormat="1" ht="12" hidden="1" customHeight="1">
      <c r="A2819" s="426"/>
    </row>
    <row r="2820" spans="1:1" s="427" customFormat="1" ht="12" hidden="1" customHeight="1">
      <c r="A2820" s="426"/>
    </row>
    <row r="2821" spans="1:1" s="427" customFormat="1" ht="12" hidden="1" customHeight="1">
      <c r="A2821" s="426"/>
    </row>
    <row r="2822" spans="1:1" s="427" customFormat="1" ht="12" hidden="1" customHeight="1">
      <c r="A2822" s="426"/>
    </row>
    <row r="2823" spans="1:1" s="427" customFormat="1" ht="12" hidden="1" customHeight="1">
      <c r="A2823" s="426"/>
    </row>
    <row r="2824" spans="1:1" s="427" customFormat="1" ht="12" hidden="1" customHeight="1">
      <c r="A2824" s="426"/>
    </row>
    <row r="2825" spans="1:1" s="427" customFormat="1" ht="12" hidden="1" customHeight="1">
      <c r="A2825" s="426"/>
    </row>
    <row r="2826" spans="1:1" s="427" customFormat="1" ht="12" hidden="1" customHeight="1">
      <c r="A2826" s="426"/>
    </row>
    <row r="2827" spans="1:1" s="427" customFormat="1" ht="12" hidden="1" customHeight="1">
      <c r="A2827" s="426"/>
    </row>
    <row r="2828" spans="1:1" s="427" customFormat="1" ht="12" hidden="1" customHeight="1">
      <c r="A2828" s="426"/>
    </row>
    <row r="2829" spans="1:1" s="427" customFormat="1" ht="12" hidden="1" customHeight="1">
      <c r="A2829" s="426"/>
    </row>
    <row r="2830" spans="1:1" s="427" customFormat="1" ht="12" hidden="1" customHeight="1">
      <c r="A2830" s="426"/>
    </row>
    <row r="2831" spans="1:1" s="427" customFormat="1" ht="12" hidden="1" customHeight="1">
      <c r="A2831" s="426"/>
    </row>
    <row r="2832" spans="1:1" s="427" customFormat="1" ht="12" hidden="1" customHeight="1">
      <c r="A2832" s="426"/>
    </row>
    <row r="2833" spans="1:1" s="427" customFormat="1" ht="12" hidden="1" customHeight="1">
      <c r="A2833" s="426"/>
    </row>
    <row r="2834" spans="1:1" s="427" customFormat="1" ht="12" hidden="1" customHeight="1">
      <c r="A2834" s="426"/>
    </row>
    <row r="2835" spans="1:1" s="427" customFormat="1" ht="12" hidden="1" customHeight="1">
      <c r="A2835" s="426"/>
    </row>
    <row r="2836" spans="1:1" s="427" customFormat="1" ht="12" hidden="1" customHeight="1">
      <c r="A2836" s="426"/>
    </row>
    <row r="2837" spans="1:1" s="427" customFormat="1" ht="12" hidden="1" customHeight="1">
      <c r="A2837" s="426"/>
    </row>
    <row r="2838" spans="1:1" s="427" customFormat="1" ht="12" hidden="1" customHeight="1">
      <c r="A2838" s="426"/>
    </row>
    <row r="2839" spans="1:1" s="427" customFormat="1" ht="12" hidden="1" customHeight="1">
      <c r="A2839" s="426"/>
    </row>
    <row r="2840" spans="1:1" s="427" customFormat="1" ht="12" hidden="1" customHeight="1">
      <c r="A2840" s="426"/>
    </row>
    <row r="2841" spans="1:1" s="427" customFormat="1" ht="12" hidden="1" customHeight="1">
      <c r="A2841" s="426"/>
    </row>
    <row r="2842" spans="1:1" s="427" customFormat="1" ht="12" hidden="1" customHeight="1">
      <c r="A2842" s="426"/>
    </row>
    <row r="2843" spans="1:1" s="427" customFormat="1" ht="12" hidden="1" customHeight="1">
      <c r="A2843" s="426"/>
    </row>
    <row r="2844" spans="1:1" s="427" customFormat="1" ht="12" hidden="1" customHeight="1">
      <c r="A2844" s="426"/>
    </row>
    <row r="2845" spans="1:1" s="427" customFormat="1" ht="12" hidden="1" customHeight="1">
      <c r="A2845" s="426"/>
    </row>
    <row r="2846" spans="1:1" s="427" customFormat="1" ht="12" hidden="1" customHeight="1">
      <c r="A2846" s="426"/>
    </row>
    <row r="2847" spans="1:1" s="427" customFormat="1" ht="12" hidden="1" customHeight="1">
      <c r="A2847" s="426"/>
    </row>
    <row r="2848" spans="1:1" s="427" customFormat="1" ht="12" hidden="1" customHeight="1">
      <c r="A2848" s="426"/>
    </row>
    <row r="2849" spans="1:1" s="427" customFormat="1" ht="12" hidden="1" customHeight="1">
      <c r="A2849" s="426"/>
    </row>
    <row r="2850" spans="1:1" s="427" customFormat="1" ht="12" hidden="1" customHeight="1">
      <c r="A2850" s="426"/>
    </row>
    <row r="2851" spans="1:1" s="427" customFormat="1" ht="12" hidden="1" customHeight="1">
      <c r="A2851" s="426"/>
    </row>
    <row r="2852" spans="1:1" s="427" customFormat="1" ht="12" hidden="1" customHeight="1">
      <c r="A2852" s="426"/>
    </row>
    <row r="2853" spans="1:1" s="427" customFormat="1" ht="12" hidden="1" customHeight="1">
      <c r="A2853" s="426"/>
    </row>
    <row r="2854" spans="1:1" s="427" customFormat="1" ht="12" hidden="1" customHeight="1">
      <c r="A2854" s="426"/>
    </row>
    <row r="2855" spans="1:1" s="427" customFormat="1" ht="12" hidden="1" customHeight="1">
      <c r="A2855" s="426"/>
    </row>
    <row r="2856" spans="1:1" s="427" customFormat="1" ht="12" hidden="1" customHeight="1">
      <c r="A2856" s="426"/>
    </row>
    <row r="2857" spans="1:1" s="427" customFormat="1" ht="12" hidden="1" customHeight="1">
      <c r="A2857" s="426"/>
    </row>
    <row r="2858" spans="1:1" s="427" customFormat="1" ht="12" hidden="1" customHeight="1">
      <c r="A2858" s="426"/>
    </row>
    <row r="2859" spans="1:1" s="427" customFormat="1" ht="12" hidden="1" customHeight="1">
      <c r="A2859" s="426"/>
    </row>
    <row r="2860" spans="1:1" s="427" customFormat="1" ht="12" hidden="1" customHeight="1">
      <c r="A2860" s="426"/>
    </row>
    <row r="2861" spans="1:1" s="427" customFormat="1" ht="12" hidden="1" customHeight="1">
      <c r="A2861" s="426"/>
    </row>
    <row r="2862" spans="1:1" s="427" customFormat="1" ht="12" hidden="1" customHeight="1">
      <c r="A2862" s="426"/>
    </row>
    <row r="2863" spans="1:1" s="427" customFormat="1" ht="12" hidden="1" customHeight="1">
      <c r="A2863" s="426"/>
    </row>
    <row r="2864" spans="1:1" s="427" customFormat="1" ht="12" hidden="1" customHeight="1">
      <c r="A2864" s="426"/>
    </row>
    <row r="2865" spans="1:1" s="427" customFormat="1" ht="12" hidden="1" customHeight="1">
      <c r="A2865" s="426"/>
    </row>
    <row r="2866" spans="1:1" s="427" customFormat="1" ht="12" hidden="1" customHeight="1">
      <c r="A2866" s="426"/>
    </row>
    <row r="2867" spans="1:1" s="427" customFormat="1" ht="12" hidden="1" customHeight="1">
      <c r="A2867" s="426"/>
    </row>
    <row r="2868" spans="1:1" s="427" customFormat="1" ht="12" hidden="1" customHeight="1">
      <c r="A2868" s="426"/>
    </row>
    <row r="2869" spans="1:1" s="427" customFormat="1" ht="12" hidden="1" customHeight="1">
      <c r="A2869" s="426"/>
    </row>
    <row r="2870" spans="1:1" s="427" customFormat="1" ht="12" hidden="1" customHeight="1">
      <c r="A2870" s="426"/>
    </row>
    <row r="2871" spans="1:1" s="427" customFormat="1" ht="12" hidden="1" customHeight="1">
      <c r="A2871" s="426"/>
    </row>
    <row r="2872" spans="1:1" s="427" customFormat="1" ht="12" hidden="1" customHeight="1">
      <c r="A2872" s="426"/>
    </row>
    <row r="2873" spans="1:1" s="427" customFormat="1" ht="12" hidden="1" customHeight="1">
      <c r="A2873" s="426"/>
    </row>
    <row r="2874" spans="1:1" s="427" customFormat="1" ht="12" hidden="1" customHeight="1">
      <c r="A2874" s="426"/>
    </row>
    <row r="2875" spans="1:1" s="427" customFormat="1" ht="12" hidden="1" customHeight="1">
      <c r="A2875" s="426"/>
    </row>
    <row r="2876" spans="1:1" s="427" customFormat="1" ht="12" hidden="1" customHeight="1">
      <c r="A2876" s="426"/>
    </row>
    <row r="2877" spans="1:1" s="427" customFormat="1" ht="12" hidden="1" customHeight="1">
      <c r="A2877" s="426"/>
    </row>
    <row r="2878" spans="1:1" s="427" customFormat="1" ht="12" hidden="1" customHeight="1">
      <c r="A2878" s="426"/>
    </row>
    <row r="2879" spans="1:1" s="427" customFormat="1" ht="12" hidden="1" customHeight="1">
      <c r="A2879" s="426"/>
    </row>
    <row r="2880" spans="1:1" s="427" customFormat="1" ht="12" hidden="1" customHeight="1">
      <c r="A2880" s="426"/>
    </row>
    <row r="2881" spans="1:1" s="427" customFormat="1" ht="12" hidden="1" customHeight="1">
      <c r="A2881" s="426"/>
    </row>
    <row r="2882" spans="1:1" s="427" customFormat="1" ht="12" hidden="1" customHeight="1">
      <c r="A2882" s="426"/>
    </row>
    <row r="2883" spans="1:1" s="427" customFormat="1" ht="12" hidden="1" customHeight="1">
      <c r="A2883" s="426"/>
    </row>
    <row r="2884" spans="1:1" s="427" customFormat="1" ht="12" hidden="1" customHeight="1">
      <c r="A2884" s="426"/>
    </row>
    <row r="2885" spans="1:1" s="427" customFormat="1" ht="12" hidden="1" customHeight="1">
      <c r="A2885" s="426"/>
    </row>
    <row r="2886" spans="1:1" s="427" customFormat="1" ht="12" hidden="1" customHeight="1">
      <c r="A2886" s="426"/>
    </row>
    <row r="2887" spans="1:1" s="427" customFormat="1" ht="12" hidden="1" customHeight="1">
      <c r="A2887" s="426"/>
    </row>
    <row r="2888" spans="1:1" s="427" customFormat="1" ht="12" hidden="1" customHeight="1">
      <c r="A2888" s="426"/>
    </row>
    <row r="2889" spans="1:1" s="427" customFormat="1" ht="12" hidden="1" customHeight="1">
      <c r="A2889" s="426"/>
    </row>
    <row r="2890" spans="1:1" s="427" customFormat="1" ht="12" hidden="1" customHeight="1">
      <c r="A2890" s="426"/>
    </row>
    <row r="2891" spans="1:1" s="427" customFormat="1" ht="12" hidden="1" customHeight="1">
      <c r="A2891" s="426"/>
    </row>
    <row r="2892" spans="1:1" s="427" customFormat="1" ht="12" hidden="1" customHeight="1">
      <c r="A2892" s="426"/>
    </row>
    <row r="2893" spans="1:1" s="427" customFormat="1" ht="12" hidden="1" customHeight="1">
      <c r="A2893" s="426"/>
    </row>
    <row r="2894" spans="1:1" s="427" customFormat="1" ht="12" hidden="1" customHeight="1">
      <c r="A2894" s="426"/>
    </row>
    <row r="2895" spans="1:1" s="427" customFormat="1" ht="12" hidden="1" customHeight="1">
      <c r="A2895" s="426"/>
    </row>
    <row r="2896" spans="1:1" s="427" customFormat="1" ht="12" hidden="1" customHeight="1">
      <c r="A2896" s="426"/>
    </row>
    <row r="2897" spans="1:1" s="427" customFormat="1" ht="12" hidden="1" customHeight="1">
      <c r="A2897" s="426"/>
    </row>
    <row r="2898" spans="1:1" s="427" customFormat="1" ht="12" hidden="1" customHeight="1">
      <c r="A2898" s="426"/>
    </row>
    <row r="2899" spans="1:1" s="427" customFormat="1" ht="12" hidden="1" customHeight="1">
      <c r="A2899" s="426"/>
    </row>
    <row r="2900" spans="1:1" s="427" customFormat="1" ht="12" hidden="1" customHeight="1">
      <c r="A2900" s="426"/>
    </row>
    <row r="2901" spans="1:1" s="427" customFormat="1" ht="12" hidden="1" customHeight="1">
      <c r="A2901" s="426"/>
    </row>
    <row r="2902" spans="1:1" s="427" customFormat="1" ht="12" hidden="1" customHeight="1">
      <c r="A2902" s="426"/>
    </row>
    <row r="2903" spans="1:1" s="427" customFormat="1" ht="12" hidden="1" customHeight="1">
      <c r="A2903" s="426"/>
    </row>
    <row r="2904" spans="1:1" s="427" customFormat="1" ht="12" hidden="1" customHeight="1">
      <c r="A2904" s="426"/>
    </row>
    <row r="2905" spans="1:1" s="427" customFormat="1" ht="12" hidden="1" customHeight="1">
      <c r="A2905" s="426"/>
    </row>
    <row r="2906" spans="1:1" s="427" customFormat="1" ht="12" hidden="1" customHeight="1">
      <c r="A2906" s="426"/>
    </row>
    <row r="2907" spans="1:1" s="427" customFormat="1" ht="12" hidden="1" customHeight="1">
      <c r="A2907" s="426"/>
    </row>
    <row r="2908" spans="1:1" s="427" customFormat="1" ht="12" hidden="1" customHeight="1">
      <c r="A2908" s="426"/>
    </row>
    <row r="2909" spans="1:1" s="427" customFormat="1" ht="12" hidden="1" customHeight="1">
      <c r="A2909" s="426"/>
    </row>
    <row r="2910" spans="1:1" s="427" customFormat="1" ht="12" hidden="1" customHeight="1">
      <c r="A2910" s="426"/>
    </row>
    <row r="2911" spans="1:1" s="427" customFormat="1" ht="12" hidden="1" customHeight="1">
      <c r="A2911" s="426"/>
    </row>
    <row r="2912" spans="1:1" s="427" customFormat="1" ht="12" hidden="1" customHeight="1">
      <c r="A2912" s="426"/>
    </row>
    <row r="2913" spans="1:1" s="427" customFormat="1" ht="12" hidden="1" customHeight="1">
      <c r="A2913" s="426"/>
    </row>
    <row r="2914" spans="1:1" s="427" customFormat="1" ht="12" hidden="1" customHeight="1">
      <c r="A2914" s="426"/>
    </row>
    <row r="2915" spans="1:1" s="427" customFormat="1" ht="12" hidden="1" customHeight="1">
      <c r="A2915" s="426"/>
    </row>
    <row r="2916" spans="1:1" s="427" customFormat="1" ht="12" hidden="1" customHeight="1">
      <c r="A2916" s="426"/>
    </row>
    <row r="2917" spans="1:1" s="427" customFormat="1" ht="12" hidden="1" customHeight="1">
      <c r="A2917" s="426"/>
    </row>
    <row r="2918" spans="1:1" s="427" customFormat="1" ht="12" hidden="1" customHeight="1">
      <c r="A2918" s="426"/>
    </row>
    <row r="2919" spans="1:1" s="427" customFormat="1" ht="12" hidden="1" customHeight="1">
      <c r="A2919" s="426"/>
    </row>
    <row r="2920" spans="1:1" s="427" customFormat="1" ht="12" hidden="1" customHeight="1">
      <c r="A2920" s="426"/>
    </row>
    <row r="2921" spans="1:1" s="427" customFormat="1" ht="12" hidden="1" customHeight="1">
      <c r="A2921" s="426"/>
    </row>
    <row r="2922" spans="1:1" s="427" customFormat="1" ht="12" hidden="1" customHeight="1">
      <c r="A2922" s="426"/>
    </row>
    <row r="2923" spans="1:1" s="427" customFormat="1" ht="12" hidden="1" customHeight="1">
      <c r="A2923" s="426"/>
    </row>
    <row r="2924" spans="1:1" s="427" customFormat="1" ht="12" hidden="1" customHeight="1">
      <c r="A2924" s="426"/>
    </row>
    <row r="2925" spans="1:1" s="427" customFormat="1" ht="12" hidden="1" customHeight="1">
      <c r="A2925" s="426"/>
    </row>
    <row r="2926" spans="1:1" s="427" customFormat="1" ht="12" hidden="1" customHeight="1">
      <c r="A2926" s="426"/>
    </row>
    <row r="2927" spans="1:1" s="427" customFormat="1" ht="12" hidden="1" customHeight="1">
      <c r="A2927" s="426"/>
    </row>
    <row r="2928" spans="1:1" s="427" customFormat="1" ht="12" hidden="1" customHeight="1">
      <c r="A2928" s="426"/>
    </row>
    <row r="2929" spans="1:1" s="427" customFormat="1" ht="12" hidden="1" customHeight="1">
      <c r="A2929" s="426"/>
    </row>
    <row r="2930" spans="1:1" s="427" customFormat="1" ht="12" hidden="1" customHeight="1">
      <c r="A2930" s="426"/>
    </row>
    <row r="2931" spans="1:1" s="427" customFormat="1" ht="12" hidden="1" customHeight="1">
      <c r="A2931" s="426"/>
    </row>
    <row r="2932" spans="1:1" s="427" customFormat="1" ht="12" hidden="1" customHeight="1">
      <c r="A2932" s="426"/>
    </row>
    <row r="2933" spans="1:1" s="427" customFormat="1" ht="12" hidden="1" customHeight="1">
      <c r="A2933" s="426"/>
    </row>
    <row r="2934" spans="1:1" s="427" customFormat="1" ht="12" hidden="1" customHeight="1">
      <c r="A2934" s="426"/>
    </row>
    <row r="2935" spans="1:1" s="427" customFormat="1" ht="12" hidden="1" customHeight="1">
      <c r="A2935" s="426"/>
    </row>
    <row r="2936" spans="1:1" s="427" customFormat="1" ht="12" hidden="1" customHeight="1">
      <c r="A2936" s="426"/>
    </row>
    <row r="2937" spans="1:1" s="427" customFormat="1" ht="12" hidden="1" customHeight="1">
      <c r="A2937" s="426"/>
    </row>
    <row r="2938" spans="1:1" s="427" customFormat="1" ht="12" hidden="1" customHeight="1">
      <c r="A2938" s="426"/>
    </row>
    <row r="2939" spans="1:1" s="427" customFormat="1" ht="12" hidden="1" customHeight="1">
      <c r="A2939" s="426"/>
    </row>
    <row r="2940" spans="1:1" s="427" customFormat="1" ht="12" hidden="1" customHeight="1">
      <c r="A2940" s="426"/>
    </row>
    <row r="2941" spans="1:1" s="427" customFormat="1" ht="12" hidden="1" customHeight="1">
      <c r="A2941" s="426"/>
    </row>
    <row r="2942" spans="1:1" s="427" customFormat="1" ht="12" hidden="1" customHeight="1">
      <c r="A2942" s="426"/>
    </row>
    <row r="2943" spans="1:1" s="427" customFormat="1" ht="12" hidden="1" customHeight="1">
      <c r="A2943" s="426"/>
    </row>
    <row r="2944" spans="1:1" s="427" customFormat="1" ht="12" hidden="1" customHeight="1">
      <c r="A2944" s="426"/>
    </row>
    <row r="2945" spans="1:1" s="427" customFormat="1" ht="12" hidden="1" customHeight="1">
      <c r="A2945" s="426"/>
    </row>
    <row r="2946" spans="1:1" s="427" customFormat="1" ht="12" hidden="1" customHeight="1">
      <c r="A2946" s="426"/>
    </row>
    <row r="2947" spans="1:1" s="427" customFormat="1" ht="12" hidden="1" customHeight="1">
      <c r="A2947" s="426"/>
    </row>
    <row r="2948" spans="1:1" s="427" customFormat="1" ht="12" hidden="1" customHeight="1">
      <c r="A2948" s="426"/>
    </row>
    <row r="2949" spans="1:1" s="427" customFormat="1" ht="12" hidden="1" customHeight="1">
      <c r="A2949" s="426"/>
    </row>
    <row r="2950" spans="1:1" s="427" customFormat="1" ht="12" hidden="1" customHeight="1">
      <c r="A2950" s="426"/>
    </row>
    <row r="2951" spans="1:1" s="427" customFormat="1" ht="12" hidden="1" customHeight="1">
      <c r="A2951" s="426"/>
    </row>
    <row r="2952" spans="1:1" s="427" customFormat="1" ht="12" hidden="1" customHeight="1">
      <c r="A2952" s="426"/>
    </row>
    <row r="2953" spans="1:1" s="427" customFormat="1" ht="12" hidden="1" customHeight="1">
      <c r="A2953" s="426"/>
    </row>
    <row r="2954" spans="1:1" s="427" customFormat="1" ht="12" hidden="1" customHeight="1">
      <c r="A2954" s="426"/>
    </row>
    <row r="2955" spans="1:1" s="427" customFormat="1" ht="12" hidden="1" customHeight="1">
      <c r="A2955" s="426"/>
    </row>
    <row r="2956" spans="1:1" s="427" customFormat="1" ht="12" hidden="1" customHeight="1">
      <c r="A2956" s="426"/>
    </row>
    <row r="2957" spans="1:1" s="427" customFormat="1" ht="12" hidden="1" customHeight="1">
      <c r="A2957" s="426"/>
    </row>
    <row r="2958" spans="1:1" s="427" customFormat="1" ht="12" hidden="1" customHeight="1">
      <c r="A2958" s="426"/>
    </row>
    <row r="2959" spans="1:1" s="427" customFormat="1" ht="12" hidden="1" customHeight="1">
      <c r="A2959" s="426"/>
    </row>
    <row r="2960" spans="1:1" s="427" customFormat="1" ht="12" hidden="1" customHeight="1">
      <c r="A2960" s="426"/>
    </row>
    <row r="2961" spans="1:1" s="427" customFormat="1" ht="12" hidden="1" customHeight="1">
      <c r="A2961" s="426"/>
    </row>
    <row r="2962" spans="1:1" s="427" customFormat="1" ht="12" hidden="1" customHeight="1">
      <c r="A2962" s="426"/>
    </row>
    <row r="2963" spans="1:1" s="427" customFormat="1" ht="12" hidden="1" customHeight="1">
      <c r="A2963" s="426"/>
    </row>
    <row r="2964" spans="1:1" s="427" customFormat="1" ht="12" hidden="1" customHeight="1">
      <c r="A2964" s="426"/>
    </row>
    <row r="2965" spans="1:1" s="427" customFormat="1" ht="12" hidden="1" customHeight="1">
      <c r="A2965" s="426"/>
    </row>
    <row r="2966" spans="1:1" s="427" customFormat="1" ht="12" hidden="1" customHeight="1">
      <c r="A2966" s="426"/>
    </row>
    <row r="2967" spans="1:1" s="427" customFormat="1" ht="12" hidden="1" customHeight="1">
      <c r="A2967" s="426"/>
    </row>
    <row r="2968" spans="1:1" s="427" customFormat="1" ht="12" hidden="1" customHeight="1">
      <c r="A2968" s="426"/>
    </row>
    <row r="2969" spans="1:1" s="427" customFormat="1" ht="12" hidden="1" customHeight="1">
      <c r="A2969" s="426"/>
    </row>
    <row r="2970" spans="1:1" s="427" customFormat="1" ht="12" hidden="1" customHeight="1">
      <c r="A2970" s="426"/>
    </row>
    <row r="2971" spans="1:1" s="427" customFormat="1" ht="12" hidden="1" customHeight="1">
      <c r="A2971" s="426"/>
    </row>
    <row r="2972" spans="1:1" s="427" customFormat="1" ht="12" hidden="1" customHeight="1">
      <c r="A2972" s="426"/>
    </row>
    <row r="2973" spans="1:1" s="427" customFormat="1" ht="12" hidden="1" customHeight="1">
      <c r="A2973" s="426"/>
    </row>
    <row r="2974" spans="1:1" s="427" customFormat="1" ht="12" hidden="1" customHeight="1">
      <c r="A2974" s="426"/>
    </row>
    <row r="2975" spans="1:1" s="427" customFormat="1" ht="12" hidden="1" customHeight="1">
      <c r="A2975" s="426"/>
    </row>
    <row r="2976" spans="1:1" s="427" customFormat="1" ht="12" hidden="1" customHeight="1">
      <c r="A2976" s="426"/>
    </row>
    <row r="2977" spans="1:1" s="427" customFormat="1" ht="12" hidden="1" customHeight="1">
      <c r="A2977" s="426"/>
    </row>
    <row r="2978" spans="1:1" s="427" customFormat="1" ht="12" hidden="1" customHeight="1">
      <c r="A2978" s="426"/>
    </row>
    <row r="2979" spans="1:1" s="427" customFormat="1" ht="12" hidden="1" customHeight="1">
      <c r="A2979" s="426"/>
    </row>
    <row r="2980" spans="1:1" s="427" customFormat="1" ht="12" hidden="1" customHeight="1">
      <c r="A2980" s="426"/>
    </row>
    <row r="2981" spans="1:1" s="427" customFormat="1" ht="12" hidden="1" customHeight="1">
      <c r="A2981" s="426"/>
    </row>
    <row r="2982" spans="1:1" s="427" customFormat="1" ht="12" hidden="1" customHeight="1">
      <c r="A2982" s="426"/>
    </row>
    <row r="2983" spans="1:1" s="427" customFormat="1" ht="12" hidden="1" customHeight="1">
      <c r="A2983" s="426"/>
    </row>
    <row r="2984" spans="1:1" s="427" customFormat="1" ht="12" hidden="1" customHeight="1">
      <c r="A2984" s="426"/>
    </row>
    <row r="2985" spans="1:1" s="427" customFormat="1" ht="12" hidden="1" customHeight="1">
      <c r="A2985" s="426"/>
    </row>
    <row r="2986" spans="1:1" s="427" customFormat="1" ht="12" hidden="1" customHeight="1">
      <c r="A2986" s="426"/>
    </row>
    <row r="2987" spans="1:1" s="427" customFormat="1" ht="12" hidden="1" customHeight="1">
      <c r="A2987" s="426"/>
    </row>
    <row r="2988" spans="1:1" s="427" customFormat="1" ht="12" hidden="1" customHeight="1">
      <c r="A2988" s="426"/>
    </row>
    <row r="2989" spans="1:1" s="427" customFormat="1" ht="12" hidden="1" customHeight="1">
      <c r="A2989" s="426"/>
    </row>
    <row r="2990" spans="1:1" s="427" customFormat="1" ht="12" hidden="1" customHeight="1">
      <c r="A2990" s="426"/>
    </row>
    <row r="2991" spans="1:1" s="427" customFormat="1" ht="12" hidden="1" customHeight="1">
      <c r="A2991" s="426"/>
    </row>
    <row r="2992" spans="1:1" s="427" customFormat="1" ht="12" hidden="1" customHeight="1">
      <c r="A2992" s="426"/>
    </row>
    <row r="2993" spans="1:1" s="427" customFormat="1" ht="12" hidden="1" customHeight="1">
      <c r="A2993" s="426"/>
    </row>
    <row r="2994" spans="1:1" s="427" customFormat="1" ht="12" hidden="1" customHeight="1">
      <c r="A2994" s="426"/>
    </row>
    <row r="2995" spans="1:1" s="427" customFormat="1" ht="12" hidden="1" customHeight="1">
      <c r="A2995" s="426"/>
    </row>
    <row r="2996" spans="1:1" s="427" customFormat="1" ht="12" hidden="1" customHeight="1">
      <c r="A2996" s="426"/>
    </row>
    <row r="2997" spans="1:1" s="427" customFormat="1" ht="12" hidden="1" customHeight="1">
      <c r="A2997" s="426"/>
    </row>
    <row r="2998" spans="1:1" s="427" customFormat="1" ht="12" hidden="1" customHeight="1">
      <c r="A2998" s="426"/>
    </row>
    <row r="2999" spans="1:1" s="427" customFormat="1" ht="12" hidden="1" customHeight="1">
      <c r="A2999" s="426"/>
    </row>
    <row r="3000" spans="1:1" s="427" customFormat="1" ht="12" hidden="1" customHeight="1">
      <c r="A3000" s="426"/>
    </row>
    <row r="3001" spans="1:1" s="427" customFormat="1" ht="12" hidden="1" customHeight="1">
      <c r="A3001" s="426"/>
    </row>
    <row r="3002" spans="1:1" s="427" customFormat="1" ht="12" hidden="1" customHeight="1">
      <c r="A3002" s="426"/>
    </row>
    <row r="3003" spans="1:1" s="427" customFormat="1" ht="12" hidden="1" customHeight="1">
      <c r="A3003" s="426"/>
    </row>
    <row r="3004" spans="1:1" s="427" customFormat="1" ht="12" hidden="1" customHeight="1">
      <c r="A3004" s="426"/>
    </row>
    <row r="3005" spans="1:1" s="427" customFormat="1" ht="12" hidden="1" customHeight="1">
      <c r="A3005" s="426"/>
    </row>
    <row r="3006" spans="1:1" s="427" customFormat="1" ht="12" hidden="1" customHeight="1">
      <c r="A3006" s="426"/>
    </row>
    <row r="3007" spans="1:1" s="427" customFormat="1" ht="12" hidden="1" customHeight="1">
      <c r="A3007" s="426"/>
    </row>
    <row r="3008" spans="1:1" s="427" customFormat="1" ht="12" hidden="1" customHeight="1">
      <c r="A3008" s="426"/>
    </row>
    <row r="3009" spans="1:1" s="427" customFormat="1" ht="12" hidden="1" customHeight="1">
      <c r="A3009" s="426"/>
    </row>
    <row r="3010" spans="1:1" s="427" customFormat="1" ht="12" hidden="1" customHeight="1">
      <c r="A3010" s="426"/>
    </row>
    <row r="3011" spans="1:1" s="427" customFormat="1" ht="12" hidden="1" customHeight="1">
      <c r="A3011" s="426"/>
    </row>
    <row r="3012" spans="1:1" s="427" customFormat="1" ht="12" hidden="1" customHeight="1">
      <c r="A3012" s="426"/>
    </row>
    <row r="3013" spans="1:1" s="427" customFormat="1" ht="12" hidden="1" customHeight="1">
      <c r="A3013" s="426"/>
    </row>
    <row r="3014" spans="1:1" s="427" customFormat="1" ht="12" hidden="1" customHeight="1">
      <c r="A3014" s="426"/>
    </row>
    <row r="3015" spans="1:1" s="427" customFormat="1" ht="12" hidden="1" customHeight="1">
      <c r="A3015" s="426"/>
    </row>
    <row r="3016" spans="1:1" s="427" customFormat="1" ht="12" hidden="1" customHeight="1">
      <c r="A3016" s="426"/>
    </row>
    <row r="3017" spans="1:1" s="427" customFormat="1" ht="12" hidden="1" customHeight="1">
      <c r="A3017" s="426"/>
    </row>
    <row r="3018" spans="1:1" s="427" customFormat="1" ht="12" hidden="1" customHeight="1">
      <c r="A3018" s="426"/>
    </row>
    <row r="3019" spans="1:1" s="427" customFormat="1" ht="12" hidden="1" customHeight="1">
      <c r="A3019" s="426"/>
    </row>
    <row r="3020" spans="1:1" s="427" customFormat="1" ht="12" hidden="1" customHeight="1">
      <c r="A3020" s="426"/>
    </row>
    <row r="3021" spans="1:1" s="427" customFormat="1" ht="12" hidden="1" customHeight="1">
      <c r="A3021" s="426"/>
    </row>
    <row r="3022" spans="1:1" s="427" customFormat="1" ht="12" hidden="1" customHeight="1">
      <c r="A3022" s="426"/>
    </row>
    <row r="3023" spans="1:1" s="427" customFormat="1" ht="12" hidden="1" customHeight="1">
      <c r="A3023" s="426"/>
    </row>
    <row r="3024" spans="1:1" s="427" customFormat="1" ht="12" hidden="1" customHeight="1">
      <c r="A3024" s="426"/>
    </row>
    <row r="3025" spans="1:1" s="427" customFormat="1" ht="12" hidden="1" customHeight="1">
      <c r="A3025" s="426"/>
    </row>
    <row r="3026" spans="1:1" s="427" customFormat="1" ht="12" hidden="1" customHeight="1">
      <c r="A3026" s="426"/>
    </row>
    <row r="3027" spans="1:1" s="427" customFormat="1" ht="12" hidden="1" customHeight="1">
      <c r="A3027" s="426"/>
    </row>
    <row r="3028" spans="1:1" s="427" customFormat="1" ht="12" hidden="1" customHeight="1">
      <c r="A3028" s="426"/>
    </row>
    <row r="3029" spans="1:1" s="427" customFormat="1" ht="12" hidden="1" customHeight="1">
      <c r="A3029" s="426"/>
    </row>
    <row r="3030" spans="1:1" s="427" customFormat="1" ht="12" hidden="1" customHeight="1">
      <c r="A3030" s="426"/>
    </row>
    <row r="3031" spans="1:1" s="427" customFormat="1" ht="12" hidden="1" customHeight="1">
      <c r="A3031" s="426"/>
    </row>
    <row r="3032" spans="1:1" s="427" customFormat="1" ht="12" hidden="1" customHeight="1">
      <c r="A3032" s="426"/>
    </row>
    <row r="3033" spans="1:1" s="427" customFormat="1" ht="12" hidden="1" customHeight="1">
      <c r="A3033" s="426"/>
    </row>
    <row r="3034" spans="1:1" s="427" customFormat="1" ht="12" hidden="1" customHeight="1">
      <c r="A3034" s="426"/>
    </row>
    <row r="3035" spans="1:1" s="427" customFormat="1" ht="12" hidden="1" customHeight="1">
      <c r="A3035" s="426"/>
    </row>
    <row r="3036" spans="1:1" s="427" customFormat="1" ht="12" hidden="1" customHeight="1">
      <c r="A3036" s="426"/>
    </row>
    <row r="3037" spans="1:1" s="427" customFormat="1" ht="12" hidden="1" customHeight="1">
      <c r="A3037" s="426"/>
    </row>
    <row r="3038" spans="1:1" s="427" customFormat="1" ht="12" hidden="1" customHeight="1">
      <c r="A3038" s="426"/>
    </row>
    <row r="3039" spans="1:1" s="427" customFormat="1" ht="12" hidden="1" customHeight="1">
      <c r="A3039" s="426"/>
    </row>
    <row r="3040" spans="1:1" s="427" customFormat="1" ht="12" hidden="1" customHeight="1">
      <c r="A3040" s="426"/>
    </row>
    <row r="3041" spans="1:1" s="427" customFormat="1" ht="12" hidden="1" customHeight="1">
      <c r="A3041" s="426"/>
    </row>
    <row r="3042" spans="1:1" s="427" customFormat="1" ht="12" hidden="1" customHeight="1">
      <c r="A3042" s="426"/>
    </row>
    <row r="3043" spans="1:1" s="427" customFormat="1" ht="12" hidden="1" customHeight="1">
      <c r="A3043" s="426"/>
    </row>
    <row r="3044" spans="1:1" s="427" customFormat="1" ht="12" hidden="1" customHeight="1">
      <c r="A3044" s="426"/>
    </row>
    <row r="3045" spans="1:1" s="427" customFormat="1" ht="12" hidden="1" customHeight="1">
      <c r="A3045" s="426"/>
    </row>
    <row r="3046" spans="1:1" s="427" customFormat="1" ht="12" hidden="1" customHeight="1">
      <c r="A3046" s="426"/>
    </row>
    <row r="3047" spans="1:1" s="427" customFormat="1" ht="12" hidden="1" customHeight="1">
      <c r="A3047" s="426"/>
    </row>
    <row r="3048" spans="1:1" s="427" customFormat="1" ht="12" hidden="1" customHeight="1">
      <c r="A3048" s="426"/>
    </row>
    <row r="3049" spans="1:1" s="427" customFormat="1" ht="12" hidden="1" customHeight="1">
      <c r="A3049" s="426"/>
    </row>
    <row r="3050" spans="1:1" s="427" customFormat="1" ht="12" hidden="1" customHeight="1">
      <c r="A3050" s="426"/>
    </row>
    <row r="3051" spans="1:1" s="427" customFormat="1" ht="12" hidden="1" customHeight="1">
      <c r="A3051" s="426"/>
    </row>
    <row r="3052" spans="1:1" s="427" customFormat="1" ht="12" hidden="1" customHeight="1">
      <c r="A3052" s="426"/>
    </row>
    <row r="3053" spans="1:1" s="427" customFormat="1" ht="12" hidden="1" customHeight="1">
      <c r="A3053" s="426"/>
    </row>
    <row r="3054" spans="1:1" s="427" customFormat="1" ht="12" hidden="1" customHeight="1">
      <c r="A3054" s="426"/>
    </row>
    <row r="3055" spans="1:1" s="427" customFormat="1" ht="12" hidden="1" customHeight="1">
      <c r="A3055" s="426"/>
    </row>
    <row r="3056" spans="1:1" s="427" customFormat="1" ht="12" hidden="1" customHeight="1">
      <c r="A3056" s="426"/>
    </row>
    <row r="3057" spans="1:1" s="427" customFormat="1" ht="12" hidden="1" customHeight="1">
      <c r="A3057" s="426"/>
    </row>
    <row r="3058" spans="1:1" s="427" customFormat="1" ht="12" hidden="1" customHeight="1">
      <c r="A3058" s="426"/>
    </row>
    <row r="3059" spans="1:1" s="427" customFormat="1" ht="12" hidden="1" customHeight="1">
      <c r="A3059" s="426"/>
    </row>
    <row r="3060" spans="1:1" s="427" customFormat="1" ht="12" hidden="1" customHeight="1">
      <c r="A3060" s="426"/>
    </row>
    <row r="3061" spans="1:1" s="427" customFormat="1" ht="12" hidden="1" customHeight="1">
      <c r="A3061" s="426"/>
    </row>
    <row r="3062" spans="1:1" s="427" customFormat="1" ht="12" hidden="1" customHeight="1">
      <c r="A3062" s="426"/>
    </row>
    <row r="3063" spans="1:1" s="427" customFormat="1" ht="12" hidden="1" customHeight="1">
      <c r="A3063" s="426"/>
    </row>
    <row r="3064" spans="1:1" s="427" customFormat="1" ht="12" hidden="1" customHeight="1">
      <c r="A3064" s="426"/>
    </row>
    <row r="3065" spans="1:1" s="427" customFormat="1" ht="12" hidden="1" customHeight="1">
      <c r="A3065" s="426"/>
    </row>
    <row r="3066" spans="1:1" s="427" customFormat="1" ht="12" hidden="1" customHeight="1">
      <c r="A3066" s="426"/>
    </row>
    <row r="3067" spans="1:1" s="427" customFormat="1" ht="12" hidden="1" customHeight="1">
      <c r="A3067" s="426"/>
    </row>
    <row r="3068" spans="1:1" s="427" customFormat="1" ht="12" hidden="1" customHeight="1">
      <c r="A3068" s="426"/>
    </row>
    <row r="3069" spans="1:1" s="427" customFormat="1" ht="12" hidden="1" customHeight="1">
      <c r="A3069" s="426"/>
    </row>
    <row r="3070" spans="1:1" s="427" customFormat="1" ht="12" hidden="1" customHeight="1">
      <c r="A3070" s="426"/>
    </row>
    <row r="3071" spans="1:1" s="427" customFormat="1" ht="12" hidden="1" customHeight="1">
      <c r="A3071" s="426"/>
    </row>
    <row r="3072" spans="1:1" s="427" customFormat="1" ht="12" hidden="1" customHeight="1">
      <c r="A3072" s="426"/>
    </row>
    <row r="3073" spans="1:1" s="427" customFormat="1" ht="12" hidden="1" customHeight="1">
      <c r="A3073" s="426"/>
    </row>
    <row r="3074" spans="1:1" s="427" customFormat="1" ht="12" hidden="1" customHeight="1">
      <c r="A3074" s="426"/>
    </row>
    <row r="3075" spans="1:1" s="427" customFormat="1" ht="12" hidden="1" customHeight="1">
      <c r="A3075" s="426"/>
    </row>
    <row r="3076" spans="1:1" s="427" customFormat="1" ht="12" hidden="1" customHeight="1">
      <c r="A3076" s="426"/>
    </row>
    <row r="3077" spans="1:1" s="427" customFormat="1" ht="12" hidden="1" customHeight="1">
      <c r="A3077" s="426"/>
    </row>
    <row r="3078" spans="1:1" s="427" customFormat="1" ht="12" hidden="1" customHeight="1">
      <c r="A3078" s="426"/>
    </row>
    <row r="3079" spans="1:1" s="427" customFormat="1" ht="12" hidden="1" customHeight="1">
      <c r="A3079" s="426"/>
    </row>
    <row r="3080" spans="1:1" s="427" customFormat="1" ht="12" hidden="1" customHeight="1">
      <c r="A3080" s="426"/>
    </row>
    <row r="3081" spans="1:1" s="427" customFormat="1" ht="12" hidden="1" customHeight="1">
      <c r="A3081" s="426"/>
    </row>
    <row r="3082" spans="1:1" s="427" customFormat="1" ht="12" hidden="1" customHeight="1">
      <c r="A3082" s="426"/>
    </row>
    <row r="3083" spans="1:1" s="427" customFormat="1" ht="12" hidden="1" customHeight="1">
      <c r="A3083" s="426"/>
    </row>
    <row r="3084" spans="1:1" s="427" customFormat="1" ht="12" hidden="1" customHeight="1">
      <c r="A3084" s="426"/>
    </row>
    <row r="3085" spans="1:1" s="427" customFormat="1" ht="12" hidden="1" customHeight="1">
      <c r="A3085" s="426"/>
    </row>
    <row r="3086" spans="1:1" s="427" customFormat="1" ht="12" hidden="1" customHeight="1">
      <c r="A3086" s="426"/>
    </row>
    <row r="3087" spans="1:1" s="427" customFormat="1" ht="12" hidden="1" customHeight="1">
      <c r="A3087" s="426"/>
    </row>
    <row r="3088" spans="1:1" s="427" customFormat="1" ht="12" hidden="1" customHeight="1">
      <c r="A3088" s="426"/>
    </row>
    <row r="3089" spans="1:1" s="427" customFormat="1" ht="12" hidden="1" customHeight="1">
      <c r="A3089" s="426"/>
    </row>
    <row r="3090" spans="1:1" s="427" customFormat="1" ht="12" hidden="1" customHeight="1">
      <c r="A3090" s="426"/>
    </row>
    <row r="3091" spans="1:1" s="427" customFormat="1" ht="12" hidden="1" customHeight="1">
      <c r="A3091" s="426"/>
    </row>
    <row r="3092" spans="1:1" s="427" customFormat="1" ht="12" hidden="1" customHeight="1">
      <c r="A3092" s="426"/>
    </row>
    <row r="3093" spans="1:1" s="427" customFormat="1" ht="12" hidden="1" customHeight="1">
      <c r="A3093" s="426"/>
    </row>
    <row r="3094" spans="1:1" s="427" customFormat="1" ht="12" hidden="1" customHeight="1">
      <c r="A3094" s="426"/>
    </row>
    <row r="3095" spans="1:1" s="427" customFormat="1" ht="12" hidden="1" customHeight="1">
      <c r="A3095" s="426"/>
    </row>
    <row r="3096" spans="1:1" s="427" customFormat="1" ht="12" hidden="1" customHeight="1">
      <c r="A3096" s="426"/>
    </row>
    <row r="3097" spans="1:1" s="427" customFormat="1" ht="12" hidden="1" customHeight="1">
      <c r="A3097" s="426"/>
    </row>
    <row r="3098" spans="1:1" s="427" customFormat="1" ht="12" hidden="1" customHeight="1">
      <c r="A3098" s="426"/>
    </row>
    <row r="3099" spans="1:1" s="427" customFormat="1" ht="12" hidden="1" customHeight="1">
      <c r="A3099" s="426"/>
    </row>
    <row r="3100" spans="1:1" s="427" customFormat="1" ht="12" hidden="1" customHeight="1">
      <c r="A3100" s="426"/>
    </row>
    <row r="3101" spans="1:1" s="427" customFormat="1" ht="12" hidden="1" customHeight="1">
      <c r="A3101" s="426"/>
    </row>
    <row r="3102" spans="1:1" s="427" customFormat="1" ht="12" hidden="1" customHeight="1">
      <c r="A3102" s="426"/>
    </row>
    <row r="3103" spans="1:1" s="427" customFormat="1" ht="12" hidden="1" customHeight="1">
      <c r="A3103" s="426"/>
    </row>
    <row r="3104" spans="1:1" s="427" customFormat="1" ht="12" hidden="1" customHeight="1">
      <c r="A3104" s="426"/>
    </row>
    <row r="3105" spans="1:1" s="427" customFormat="1" ht="12" hidden="1" customHeight="1">
      <c r="A3105" s="426"/>
    </row>
    <row r="3106" spans="1:1" s="427" customFormat="1" ht="12" hidden="1" customHeight="1">
      <c r="A3106" s="426"/>
    </row>
    <row r="3107" spans="1:1" s="427" customFormat="1" ht="12" hidden="1" customHeight="1">
      <c r="A3107" s="426"/>
    </row>
    <row r="3108" spans="1:1" s="427" customFormat="1" ht="12" hidden="1" customHeight="1">
      <c r="A3108" s="426"/>
    </row>
    <row r="3109" spans="1:1" s="427" customFormat="1" ht="12" hidden="1" customHeight="1">
      <c r="A3109" s="426"/>
    </row>
    <row r="3110" spans="1:1" s="427" customFormat="1" ht="12" hidden="1" customHeight="1">
      <c r="A3110" s="426"/>
    </row>
    <row r="3111" spans="1:1" s="427" customFormat="1" ht="12" hidden="1" customHeight="1">
      <c r="A3111" s="426"/>
    </row>
    <row r="3112" spans="1:1" s="427" customFormat="1" ht="12" hidden="1" customHeight="1">
      <c r="A3112" s="426"/>
    </row>
    <row r="3113" spans="1:1" s="427" customFormat="1" ht="12" hidden="1" customHeight="1">
      <c r="A3113" s="426"/>
    </row>
    <row r="3114" spans="1:1" s="427" customFormat="1" ht="12" hidden="1" customHeight="1">
      <c r="A3114" s="426"/>
    </row>
    <row r="3115" spans="1:1" s="427" customFormat="1" ht="12" hidden="1" customHeight="1">
      <c r="A3115" s="426"/>
    </row>
    <row r="3116" spans="1:1" s="427" customFormat="1" ht="12" hidden="1" customHeight="1">
      <c r="A3116" s="426"/>
    </row>
    <row r="3117" spans="1:1" s="427" customFormat="1" ht="12" hidden="1" customHeight="1">
      <c r="A3117" s="426"/>
    </row>
    <row r="3118" spans="1:1" s="427" customFormat="1" ht="12" hidden="1" customHeight="1">
      <c r="A3118" s="426"/>
    </row>
    <row r="3119" spans="1:1" s="427" customFormat="1" ht="12" hidden="1" customHeight="1">
      <c r="A3119" s="426"/>
    </row>
    <row r="3120" spans="1:1" s="427" customFormat="1" ht="12" hidden="1" customHeight="1">
      <c r="A3120" s="426"/>
    </row>
    <row r="3121" spans="1:1" s="427" customFormat="1" ht="12" hidden="1" customHeight="1">
      <c r="A3121" s="426"/>
    </row>
    <row r="3122" spans="1:1" s="427" customFormat="1" ht="12" hidden="1" customHeight="1">
      <c r="A3122" s="426"/>
    </row>
    <row r="3123" spans="1:1" s="427" customFormat="1" ht="12" hidden="1" customHeight="1">
      <c r="A3123" s="426"/>
    </row>
    <row r="3124" spans="1:1" s="427" customFormat="1" ht="12" hidden="1" customHeight="1">
      <c r="A3124" s="426"/>
    </row>
    <row r="3125" spans="1:1" s="427" customFormat="1" ht="12" hidden="1" customHeight="1">
      <c r="A3125" s="426"/>
    </row>
    <row r="3126" spans="1:1" s="427" customFormat="1" ht="12" hidden="1" customHeight="1">
      <c r="A3126" s="426"/>
    </row>
    <row r="3127" spans="1:1" s="427" customFormat="1" ht="12" hidden="1" customHeight="1">
      <c r="A3127" s="426"/>
    </row>
    <row r="3128" spans="1:1" s="427" customFormat="1" ht="12" hidden="1" customHeight="1">
      <c r="A3128" s="426"/>
    </row>
    <row r="3129" spans="1:1" s="427" customFormat="1" ht="12" hidden="1" customHeight="1">
      <c r="A3129" s="426"/>
    </row>
    <row r="3130" spans="1:1" s="427" customFormat="1" ht="12" hidden="1" customHeight="1">
      <c r="A3130" s="426"/>
    </row>
    <row r="3131" spans="1:1" s="427" customFormat="1" ht="12" hidden="1" customHeight="1">
      <c r="A3131" s="426"/>
    </row>
    <row r="3132" spans="1:1" s="427" customFormat="1" ht="12" hidden="1" customHeight="1">
      <c r="A3132" s="426"/>
    </row>
    <row r="3133" spans="1:1" s="427" customFormat="1" ht="12" hidden="1" customHeight="1">
      <c r="A3133" s="426"/>
    </row>
    <row r="3134" spans="1:1" s="427" customFormat="1" ht="12" hidden="1" customHeight="1">
      <c r="A3134" s="426"/>
    </row>
    <row r="3135" spans="1:1" s="427" customFormat="1" ht="12" hidden="1" customHeight="1">
      <c r="A3135" s="426"/>
    </row>
    <row r="3136" spans="1:1" s="427" customFormat="1" ht="12" hidden="1" customHeight="1">
      <c r="A3136" s="426"/>
    </row>
    <row r="3137" spans="1:1" s="427" customFormat="1" ht="12" hidden="1" customHeight="1">
      <c r="A3137" s="426"/>
    </row>
    <row r="3138" spans="1:1" s="427" customFormat="1" ht="12" hidden="1" customHeight="1">
      <c r="A3138" s="426"/>
    </row>
    <row r="3139" spans="1:1" s="427" customFormat="1" ht="12" hidden="1" customHeight="1">
      <c r="A3139" s="426"/>
    </row>
    <row r="3140" spans="1:1" s="427" customFormat="1" ht="12" hidden="1" customHeight="1">
      <c r="A3140" s="426"/>
    </row>
    <row r="3141" spans="1:1" s="427" customFormat="1" ht="12" hidden="1" customHeight="1">
      <c r="A3141" s="426"/>
    </row>
    <row r="3142" spans="1:1" s="427" customFormat="1" ht="12" hidden="1" customHeight="1">
      <c r="A3142" s="426"/>
    </row>
    <row r="3143" spans="1:1" s="427" customFormat="1" ht="12" hidden="1" customHeight="1">
      <c r="A3143" s="426"/>
    </row>
    <row r="3144" spans="1:1" s="427" customFormat="1" ht="12" hidden="1" customHeight="1">
      <c r="A3144" s="426"/>
    </row>
    <row r="3145" spans="1:1" s="427" customFormat="1" ht="12" hidden="1" customHeight="1">
      <c r="A3145" s="426"/>
    </row>
    <row r="3146" spans="1:1" s="427" customFormat="1" ht="12" hidden="1" customHeight="1">
      <c r="A3146" s="426"/>
    </row>
    <row r="3147" spans="1:1" s="427" customFormat="1" ht="12" hidden="1" customHeight="1">
      <c r="A3147" s="426"/>
    </row>
    <row r="3148" spans="1:1" s="427" customFormat="1" ht="12" hidden="1" customHeight="1">
      <c r="A3148" s="426"/>
    </row>
    <row r="3149" spans="1:1" s="427" customFormat="1" ht="12" hidden="1" customHeight="1">
      <c r="A3149" s="426"/>
    </row>
    <row r="3150" spans="1:1" s="427" customFormat="1" ht="12" hidden="1" customHeight="1">
      <c r="A3150" s="426"/>
    </row>
    <row r="3151" spans="1:1" s="427" customFormat="1" ht="12" hidden="1" customHeight="1">
      <c r="A3151" s="426"/>
    </row>
    <row r="3152" spans="1:1" s="427" customFormat="1" ht="12" hidden="1" customHeight="1">
      <c r="A3152" s="426"/>
    </row>
    <row r="3153" spans="1:1" s="427" customFormat="1" ht="12" hidden="1" customHeight="1">
      <c r="A3153" s="426"/>
    </row>
    <row r="3154" spans="1:1" s="427" customFormat="1" ht="12" hidden="1" customHeight="1">
      <c r="A3154" s="426"/>
    </row>
    <row r="3155" spans="1:1" s="427" customFormat="1" ht="12" hidden="1" customHeight="1">
      <c r="A3155" s="426"/>
    </row>
    <row r="3156" spans="1:1" s="427" customFormat="1" ht="12" hidden="1" customHeight="1">
      <c r="A3156" s="426"/>
    </row>
    <row r="3157" spans="1:1" s="427" customFormat="1" ht="12" hidden="1" customHeight="1">
      <c r="A3157" s="426"/>
    </row>
    <row r="3158" spans="1:1" s="427" customFormat="1" ht="12" hidden="1" customHeight="1">
      <c r="A3158" s="426"/>
    </row>
    <row r="3159" spans="1:1" s="427" customFormat="1" ht="12" hidden="1" customHeight="1">
      <c r="A3159" s="426"/>
    </row>
    <row r="3160" spans="1:1" s="427" customFormat="1" ht="12" hidden="1" customHeight="1">
      <c r="A3160" s="426"/>
    </row>
    <row r="3161" spans="1:1" s="427" customFormat="1" ht="12" hidden="1" customHeight="1">
      <c r="A3161" s="426"/>
    </row>
    <row r="3162" spans="1:1" s="427" customFormat="1" ht="12" hidden="1" customHeight="1">
      <c r="A3162" s="426"/>
    </row>
    <row r="3163" spans="1:1" s="427" customFormat="1" ht="12" hidden="1" customHeight="1">
      <c r="A3163" s="426"/>
    </row>
    <row r="3164" spans="1:1" s="427" customFormat="1" ht="12" hidden="1" customHeight="1">
      <c r="A3164" s="426"/>
    </row>
    <row r="3165" spans="1:1" s="427" customFormat="1" ht="12" hidden="1" customHeight="1">
      <c r="A3165" s="426"/>
    </row>
    <row r="3166" spans="1:1" s="427" customFormat="1" ht="12" hidden="1" customHeight="1">
      <c r="A3166" s="426"/>
    </row>
    <row r="3167" spans="1:1" s="427" customFormat="1" ht="12" hidden="1" customHeight="1">
      <c r="A3167" s="426"/>
    </row>
    <row r="3168" spans="1:1" s="427" customFormat="1" ht="12" hidden="1" customHeight="1">
      <c r="A3168" s="426"/>
    </row>
    <row r="3169" spans="1:1" s="427" customFormat="1" ht="12" hidden="1" customHeight="1">
      <c r="A3169" s="426"/>
    </row>
    <row r="3170" spans="1:1" s="427" customFormat="1" ht="12" hidden="1" customHeight="1">
      <c r="A3170" s="426"/>
    </row>
    <row r="3171" spans="1:1" s="427" customFormat="1" ht="12" hidden="1" customHeight="1">
      <c r="A3171" s="426"/>
    </row>
    <row r="3172" spans="1:1" s="427" customFormat="1" ht="12" hidden="1" customHeight="1">
      <c r="A3172" s="426"/>
    </row>
    <row r="3173" spans="1:1" s="427" customFormat="1" ht="12" hidden="1" customHeight="1">
      <c r="A3173" s="426"/>
    </row>
    <row r="3174" spans="1:1" s="427" customFormat="1" ht="12" hidden="1" customHeight="1">
      <c r="A3174" s="426"/>
    </row>
    <row r="3175" spans="1:1" s="427" customFormat="1" ht="12" hidden="1" customHeight="1">
      <c r="A3175" s="426"/>
    </row>
    <row r="3176" spans="1:1" s="427" customFormat="1" ht="12" hidden="1" customHeight="1">
      <c r="A3176" s="426"/>
    </row>
    <row r="3177" spans="1:1" s="427" customFormat="1" ht="12" hidden="1" customHeight="1">
      <c r="A3177" s="426"/>
    </row>
    <row r="3178" spans="1:1" s="427" customFormat="1" ht="12" hidden="1" customHeight="1">
      <c r="A3178" s="426"/>
    </row>
    <row r="3179" spans="1:1" s="427" customFormat="1" ht="12" hidden="1" customHeight="1">
      <c r="A3179" s="426"/>
    </row>
    <row r="3180" spans="1:1" s="427" customFormat="1" ht="12" hidden="1" customHeight="1">
      <c r="A3180" s="426"/>
    </row>
    <row r="3181" spans="1:1" s="427" customFormat="1" ht="12" hidden="1" customHeight="1">
      <c r="A3181" s="426"/>
    </row>
    <row r="3182" spans="1:1" s="427" customFormat="1" ht="12" hidden="1" customHeight="1">
      <c r="A3182" s="426"/>
    </row>
    <row r="3183" spans="1:1" s="427" customFormat="1" ht="12" hidden="1" customHeight="1">
      <c r="A3183" s="426"/>
    </row>
    <row r="3184" spans="1:1" s="427" customFormat="1" ht="12" hidden="1" customHeight="1">
      <c r="A3184" s="426"/>
    </row>
    <row r="3185" spans="1:1" s="427" customFormat="1" ht="12" hidden="1" customHeight="1">
      <c r="A3185" s="426"/>
    </row>
    <row r="3186" spans="1:1" s="427" customFormat="1" ht="12" hidden="1" customHeight="1">
      <c r="A3186" s="426"/>
    </row>
    <row r="3187" spans="1:1" s="427" customFormat="1" ht="12" hidden="1" customHeight="1">
      <c r="A3187" s="426"/>
    </row>
    <row r="3188" spans="1:1" s="427" customFormat="1" ht="12" hidden="1" customHeight="1">
      <c r="A3188" s="426"/>
    </row>
    <row r="3189" spans="1:1" s="427" customFormat="1" ht="12" hidden="1" customHeight="1">
      <c r="A3189" s="426"/>
    </row>
    <row r="3190" spans="1:1" s="427" customFormat="1" ht="12" hidden="1" customHeight="1">
      <c r="A3190" s="426"/>
    </row>
    <row r="3191" spans="1:1" s="427" customFormat="1" ht="12" hidden="1" customHeight="1">
      <c r="A3191" s="426"/>
    </row>
    <row r="3192" spans="1:1" s="427" customFormat="1" ht="12" hidden="1" customHeight="1">
      <c r="A3192" s="426"/>
    </row>
    <row r="3193" spans="1:1" s="427" customFormat="1" ht="12" hidden="1" customHeight="1">
      <c r="A3193" s="426"/>
    </row>
    <row r="3194" spans="1:1" s="427" customFormat="1" ht="12" hidden="1" customHeight="1">
      <c r="A3194" s="426"/>
    </row>
    <row r="3195" spans="1:1" s="427" customFormat="1" ht="12" hidden="1" customHeight="1">
      <c r="A3195" s="426"/>
    </row>
    <row r="3196" spans="1:1" s="427" customFormat="1" ht="12" hidden="1" customHeight="1">
      <c r="A3196" s="426"/>
    </row>
    <row r="3197" spans="1:1" s="427" customFormat="1" ht="12" hidden="1" customHeight="1">
      <c r="A3197" s="426"/>
    </row>
    <row r="3198" spans="1:1" s="427" customFormat="1" ht="12" hidden="1" customHeight="1">
      <c r="A3198" s="426"/>
    </row>
    <row r="3199" spans="1:1" s="427" customFormat="1" ht="12" hidden="1" customHeight="1">
      <c r="A3199" s="426"/>
    </row>
    <row r="3200" spans="1:1" s="427" customFormat="1" ht="12" hidden="1" customHeight="1">
      <c r="A3200" s="426"/>
    </row>
    <row r="3201" spans="1:1" s="427" customFormat="1" ht="12" hidden="1" customHeight="1">
      <c r="A3201" s="426"/>
    </row>
    <row r="3202" spans="1:1" s="427" customFormat="1" ht="12" hidden="1" customHeight="1">
      <c r="A3202" s="426"/>
    </row>
    <row r="3203" spans="1:1" s="427" customFormat="1" ht="12" hidden="1" customHeight="1">
      <c r="A3203" s="426"/>
    </row>
    <row r="3204" spans="1:1" s="427" customFormat="1" ht="12" hidden="1" customHeight="1">
      <c r="A3204" s="426"/>
    </row>
    <row r="3205" spans="1:1" s="427" customFormat="1" ht="12" hidden="1" customHeight="1">
      <c r="A3205" s="426"/>
    </row>
    <row r="3206" spans="1:1" s="427" customFormat="1" ht="12" hidden="1" customHeight="1">
      <c r="A3206" s="426"/>
    </row>
    <row r="3207" spans="1:1" s="427" customFormat="1" ht="12" hidden="1" customHeight="1">
      <c r="A3207" s="426"/>
    </row>
    <row r="3208" spans="1:1" s="427" customFormat="1" ht="12" hidden="1" customHeight="1">
      <c r="A3208" s="426"/>
    </row>
    <row r="3209" spans="1:1" s="427" customFormat="1" ht="12" hidden="1" customHeight="1">
      <c r="A3209" s="426"/>
    </row>
    <row r="3210" spans="1:1" s="427" customFormat="1" ht="12" hidden="1" customHeight="1">
      <c r="A3210" s="426"/>
    </row>
    <row r="3211" spans="1:1" s="427" customFormat="1" ht="12" hidden="1" customHeight="1">
      <c r="A3211" s="426"/>
    </row>
    <row r="3212" spans="1:1" s="427" customFormat="1" ht="12" hidden="1" customHeight="1">
      <c r="A3212" s="426"/>
    </row>
    <row r="3213" spans="1:1" s="427" customFormat="1" ht="12" hidden="1" customHeight="1">
      <c r="A3213" s="426"/>
    </row>
    <row r="3214" spans="1:1" s="427" customFormat="1" ht="12" hidden="1" customHeight="1">
      <c r="A3214" s="426"/>
    </row>
    <row r="3215" spans="1:1" s="427" customFormat="1" ht="12" hidden="1" customHeight="1">
      <c r="A3215" s="426"/>
    </row>
    <row r="3216" spans="1:1" s="427" customFormat="1" ht="12" hidden="1" customHeight="1">
      <c r="A3216" s="426"/>
    </row>
    <row r="3217" spans="1:1" s="427" customFormat="1" ht="12" hidden="1" customHeight="1">
      <c r="A3217" s="426"/>
    </row>
    <row r="3218" spans="1:1" s="427" customFormat="1" ht="12" hidden="1" customHeight="1">
      <c r="A3218" s="426"/>
    </row>
    <row r="3219" spans="1:1" s="427" customFormat="1" ht="12" hidden="1" customHeight="1">
      <c r="A3219" s="426"/>
    </row>
    <row r="3220" spans="1:1" s="427" customFormat="1" ht="12" hidden="1" customHeight="1">
      <c r="A3220" s="426"/>
    </row>
    <row r="3221" spans="1:1" s="427" customFormat="1" ht="12" hidden="1" customHeight="1">
      <c r="A3221" s="426"/>
    </row>
    <row r="3222" spans="1:1" s="427" customFormat="1" ht="12" hidden="1" customHeight="1">
      <c r="A3222" s="426"/>
    </row>
    <row r="3223" spans="1:1" s="427" customFormat="1" ht="12" hidden="1" customHeight="1">
      <c r="A3223" s="426"/>
    </row>
    <row r="3224" spans="1:1" s="427" customFormat="1" ht="12" hidden="1" customHeight="1">
      <c r="A3224" s="426"/>
    </row>
    <row r="3225" spans="1:1" s="427" customFormat="1" ht="12" hidden="1" customHeight="1">
      <c r="A3225" s="426"/>
    </row>
    <row r="3226" spans="1:1" s="427" customFormat="1" ht="12" hidden="1" customHeight="1">
      <c r="A3226" s="426"/>
    </row>
    <row r="3227" spans="1:1" s="427" customFormat="1" ht="12" hidden="1" customHeight="1">
      <c r="A3227" s="426"/>
    </row>
    <row r="3228" spans="1:1" s="427" customFormat="1" ht="12" hidden="1" customHeight="1">
      <c r="A3228" s="426"/>
    </row>
    <row r="3229" spans="1:1" s="427" customFormat="1" ht="12" hidden="1" customHeight="1">
      <c r="A3229" s="426"/>
    </row>
    <row r="3230" spans="1:1" s="427" customFormat="1" ht="12" hidden="1" customHeight="1">
      <c r="A3230" s="426"/>
    </row>
    <row r="3231" spans="1:1" s="427" customFormat="1" ht="12" hidden="1" customHeight="1">
      <c r="A3231" s="426"/>
    </row>
    <row r="3232" spans="1:1" s="427" customFormat="1" ht="12" hidden="1" customHeight="1">
      <c r="A3232" s="426"/>
    </row>
    <row r="3233" spans="1:1" s="427" customFormat="1" ht="12" hidden="1" customHeight="1">
      <c r="A3233" s="426"/>
    </row>
    <row r="3234" spans="1:1" s="427" customFormat="1" ht="12" hidden="1" customHeight="1">
      <c r="A3234" s="426"/>
    </row>
    <row r="3235" spans="1:1" s="427" customFormat="1" ht="12" hidden="1" customHeight="1">
      <c r="A3235" s="426"/>
    </row>
    <row r="3236" spans="1:1" s="427" customFormat="1" ht="12" hidden="1" customHeight="1">
      <c r="A3236" s="426"/>
    </row>
    <row r="3237" spans="1:1" s="427" customFormat="1" ht="12" hidden="1" customHeight="1">
      <c r="A3237" s="426"/>
    </row>
    <row r="3238" spans="1:1" s="427" customFormat="1" ht="12" hidden="1" customHeight="1">
      <c r="A3238" s="426"/>
    </row>
    <row r="3239" spans="1:1" s="427" customFormat="1" ht="12" hidden="1" customHeight="1">
      <c r="A3239" s="426"/>
    </row>
    <row r="3240" spans="1:1" s="427" customFormat="1" ht="12" hidden="1" customHeight="1">
      <c r="A3240" s="426"/>
    </row>
    <row r="3241" spans="1:1" s="427" customFormat="1" ht="12" hidden="1" customHeight="1">
      <c r="A3241" s="426"/>
    </row>
    <row r="3242" spans="1:1" s="427" customFormat="1" ht="12" hidden="1" customHeight="1">
      <c r="A3242" s="426"/>
    </row>
    <row r="3243" spans="1:1" s="427" customFormat="1" ht="12" hidden="1" customHeight="1">
      <c r="A3243" s="426"/>
    </row>
    <row r="3244" spans="1:1" s="427" customFormat="1" ht="12" hidden="1" customHeight="1">
      <c r="A3244" s="426"/>
    </row>
    <row r="3245" spans="1:1" s="427" customFormat="1" ht="12" hidden="1" customHeight="1">
      <c r="A3245" s="426"/>
    </row>
    <row r="3246" spans="1:1" s="427" customFormat="1" ht="12" hidden="1" customHeight="1">
      <c r="A3246" s="426"/>
    </row>
    <row r="3247" spans="1:1" s="427" customFormat="1" ht="12" hidden="1" customHeight="1">
      <c r="A3247" s="426"/>
    </row>
    <row r="3248" spans="1:1" s="427" customFormat="1" ht="12" hidden="1" customHeight="1">
      <c r="A3248" s="426"/>
    </row>
    <row r="3249" spans="1:1" s="427" customFormat="1" ht="12" hidden="1" customHeight="1">
      <c r="A3249" s="426"/>
    </row>
    <row r="3250" spans="1:1" s="427" customFormat="1" ht="12" hidden="1" customHeight="1">
      <c r="A3250" s="426"/>
    </row>
    <row r="3251" spans="1:1" s="427" customFormat="1" ht="12" hidden="1" customHeight="1">
      <c r="A3251" s="426"/>
    </row>
    <row r="3252" spans="1:1" s="427" customFormat="1" ht="12" hidden="1" customHeight="1">
      <c r="A3252" s="426"/>
    </row>
    <row r="3253" spans="1:1" s="427" customFormat="1" ht="12" hidden="1" customHeight="1">
      <c r="A3253" s="426"/>
    </row>
    <row r="3254" spans="1:1" s="427" customFormat="1" ht="12" hidden="1" customHeight="1">
      <c r="A3254" s="426"/>
    </row>
    <row r="3255" spans="1:1" s="427" customFormat="1" ht="12" hidden="1" customHeight="1">
      <c r="A3255" s="426"/>
    </row>
    <row r="3256" spans="1:1" s="427" customFormat="1" ht="12" hidden="1" customHeight="1">
      <c r="A3256" s="426"/>
    </row>
    <row r="3257" spans="1:1" s="427" customFormat="1" ht="12" hidden="1" customHeight="1">
      <c r="A3257" s="426"/>
    </row>
    <row r="3258" spans="1:1" s="427" customFormat="1" ht="12" hidden="1" customHeight="1">
      <c r="A3258" s="426"/>
    </row>
    <row r="3259" spans="1:1" s="427" customFormat="1" ht="12" hidden="1" customHeight="1">
      <c r="A3259" s="426"/>
    </row>
    <row r="3260" spans="1:1" s="427" customFormat="1" ht="12" hidden="1" customHeight="1">
      <c r="A3260" s="426"/>
    </row>
    <row r="3261" spans="1:1" s="427" customFormat="1" ht="12" hidden="1" customHeight="1">
      <c r="A3261" s="426"/>
    </row>
    <row r="3262" spans="1:1" s="427" customFormat="1" ht="12" hidden="1" customHeight="1">
      <c r="A3262" s="426"/>
    </row>
    <row r="3263" spans="1:1" s="427" customFormat="1" ht="12" hidden="1" customHeight="1">
      <c r="A3263" s="426"/>
    </row>
    <row r="3264" spans="1:1" s="427" customFormat="1" ht="12" hidden="1" customHeight="1">
      <c r="A3264" s="426"/>
    </row>
    <row r="3265" spans="1:1" s="427" customFormat="1" ht="12" hidden="1" customHeight="1">
      <c r="A3265" s="426"/>
    </row>
    <row r="3266" spans="1:1" s="427" customFormat="1" ht="12" hidden="1" customHeight="1">
      <c r="A3266" s="426"/>
    </row>
    <row r="3267" spans="1:1" s="427" customFormat="1" ht="12" hidden="1" customHeight="1">
      <c r="A3267" s="426"/>
    </row>
    <row r="3268" spans="1:1" s="427" customFormat="1" ht="12" hidden="1" customHeight="1">
      <c r="A3268" s="426"/>
    </row>
    <row r="3269" spans="1:1" s="427" customFormat="1" ht="12" hidden="1" customHeight="1">
      <c r="A3269" s="426"/>
    </row>
    <row r="3270" spans="1:1" s="427" customFormat="1" ht="12" hidden="1" customHeight="1">
      <c r="A3270" s="426"/>
    </row>
    <row r="3271" spans="1:1" s="427" customFormat="1" ht="12" hidden="1" customHeight="1">
      <c r="A3271" s="426"/>
    </row>
    <row r="3272" spans="1:1" s="427" customFormat="1" ht="12" hidden="1" customHeight="1">
      <c r="A3272" s="426"/>
    </row>
    <row r="3273" spans="1:1" s="427" customFormat="1" ht="12" hidden="1" customHeight="1">
      <c r="A3273" s="426"/>
    </row>
    <row r="3274" spans="1:1" s="427" customFormat="1" ht="12" hidden="1" customHeight="1">
      <c r="A3274" s="426"/>
    </row>
    <row r="3275" spans="1:1" s="427" customFormat="1" ht="12" hidden="1" customHeight="1">
      <c r="A3275" s="426"/>
    </row>
    <row r="3276" spans="1:1" s="427" customFormat="1" ht="12" hidden="1" customHeight="1">
      <c r="A3276" s="426"/>
    </row>
    <row r="3277" spans="1:1" s="427" customFormat="1" ht="12" hidden="1" customHeight="1">
      <c r="A3277" s="426"/>
    </row>
    <row r="3278" spans="1:1" s="427" customFormat="1" ht="12" hidden="1" customHeight="1">
      <c r="A3278" s="426"/>
    </row>
    <row r="3279" spans="1:1" s="427" customFormat="1" ht="12" hidden="1" customHeight="1">
      <c r="A3279" s="426"/>
    </row>
    <row r="3280" spans="1:1" s="427" customFormat="1" ht="12" hidden="1" customHeight="1">
      <c r="A3280" s="426"/>
    </row>
    <row r="3281" spans="1:1" s="427" customFormat="1" ht="12" hidden="1" customHeight="1">
      <c r="A3281" s="426"/>
    </row>
    <row r="3282" spans="1:1" s="427" customFormat="1" ht="12" hidden="1" customHeight="1">
      <c r="A3282" s="426"/>
    </row>
    <row r="3283" spans="1:1" s="427" customFormat="1" ht="12" hidden="1" customHeight="1">
      <c r="A3283" s="426"/>
    </row>
    <row r="3284" spans="1:1" s="427" customFormat="1" ht="12" hidden="1" customHeight="1">
      <c r="A3284" s="426"/>
    </row>
    <row r="3285" spans="1:1" s="427" customFormat="1" ht="12" hidden="1" customHeight="1">
      <c r="A3285" s="426"/>
    </row>
    <row r="3286" spans="1:1" s="427" customFormat="1" ht="12" hidden="1" customHeight="1">
      <c r="A3286" s="426"/>
    </row>
    <row r="3287" spans="1:1" s="427" customFormat="1" ht="12" hidden="1" customHeight="1">
      <c r="A3287" s="426"/>
    </row>
    <row r="3288" spans="1:1" s="427" customFormat="1" ht="12" hidden="1" customHeight="1">
      <c r="A3288" s="426"/>
    </row>
    <row r="3289" spans="1:1" s="427" customFormat="1" ht="12" hidden="1" customHeight="1">
      <c r="A3289" s="426"/>
    </row>
    <row r="3290" spans="1:1" s="427" customFormat="1" ht="12" hidden="1" customHeight="1">
      <c r="A3290" s="426"/>
    </row>
    <row r="3291" spans="1:1" s="427" customFormat="1" ht="12" hidden="1" customHeight="1">
      <c r="A3291" s="426"/>
    </row>
    <row r="3292" spans="1:1" s="427" customFormat="1" ht="12" hidden="1" customHeight="1">
      <c r="A3292" s="426"/>
    </row>
    <row r="3293" spans="1:1" s="427" customFormat="1" ht="12" hidden="1" customHeight="1">
      <c r="A3293" s="426"/>
    </row>
    <row r="3294" spans="1:1" s="427" customFormat="1" ht="12" hidden="1" customHeight="1">
      <c r="A3294" s="426"/>
    </row>
    <row r="3295" spans="1:1" s="427" customFormat="1" ht="12" hidden="1" customHeight="1">
      <c r="A3295" s="426"/>
    </row>
    <row r="3296" spans="1:1" s="427" customFormat="1" ht="12" hidden="1" customHeight="1">
      <c r="A3296" s="426"/>
    </row>
    <row r="3297" spans="1:1" s="427" customFormat="1" ht="12" hidden="1" customHeight="1">
      <c r="A3297" s="426"/>
    </row>
    <row r="3298" spans="1:1" s="427" customFormat="1" ht="12" hidden="1" customHeight="1">
      <c r="A3298" s="426"/>
    </row>
    <row r="3299" spans="1:1" s="427" customFormat="1" ht="12" hidden="1" customHeight="1">
      <c r="A3299" s="426"/>
    </row>
    <row r="3300" spans="1:1" s="427" customFormat="1" ht="12" hidden="1" customHeight="1">
      <c r="A3300" s="426"/>
    </row>
    <row r="3301" spans="1:1" s="427" customFormat="1" ht="12" hidden="1" customHeight="1">
      <c r="A3301" s="426"/>
    </row>
    <row r="3302" spans="1:1" s="427" customFormat="1" ht="12" hidden="1" customHeight="1">
      <c r="A3302" s="426"/>
    </row>
    <row r="3303" spans="1:1" s="427" customFormat="1" ht="12" hidden="1" customHeight="1">
      <c r="A3303" s="426"/>
    </row>
    <row r="3304" spans="1:1" s="427" customFormat="1" ht="12" hidden="1" customHeight="1">
      <c r="A3304" s="426"/>
    </row>
    <row r="3305" spans="1:1" s="427" customFormat="1" ht="12" hidden="1" customHeight="1">
      <c r="A3305" s="426"/>
    </row>
    <row r="3306" spans="1:1" s="427" customFormat="1" ht="12" hidden="1" customHeight="1">
      <c r="A3306" s="426"/>
    </row>
    <row r="3307" spans="1:1" s="427" customFormat="1" ht="12" hidden="1" customHeight="1">
      <c r="A3307" s="426"/>
    </row>
    <row r="3308" spans="1:1" s="427" customFormat="1" ht="12" hidden="1" customHeight="1">
      <c r="A3308" s="426"/>
    </row>
    <row r="3309" spans="1:1" s="427" customFormat="1" ht="12" hidden="1" customHeight="1">
      <c r="A3309" s="426"/>
    </row>
    <row r="3310" spans="1:1" s="427" customFormat="1" ht="12" hidden="1" customHeight="1">
      <c r="A3310" s="426"/>
    </row>
    <row r="3311" spans="1:1" s="427" customFormat="1" ht="12" hidden="1" customHeight="1">
      <c r="A3311" s="426"/>
    </row>
    <row r="3312" spans="1:1" s="427" customFormat="1" ht="12" hidden="1" customHeight="1">
      <c r="A3312" s="426"/>
    </row>
    <row r="3313" spans="1:1" s="427" customFormat="1" ht="12" hidden="1" customHeight="1">
      <c r="A3313" s="426"/>
    </row>
    <row r="3314" spans="1:1" s="427" customFormat="1" ht="12" hidden="1" customHeight="1">
      <c r="A3314" s="426"/>
    </row>
    <row r="3315" spans="1:1" s="427" customFormat="1" ht="12" hidden="1" customHeight="1">
      <c r="A3315" s="426"/>
    </row>
    <row r="3316" spans="1:1" s="427" customFormat="1" ht="12" hidden="1" customHeight="1">
      <c r="A3316" s="426"/>
    </row>
    <row r="3317" spans="1:1" s="427" customFormat="1" ht="12" hidden="1" customHeight="1">
      <c r="A3317" s="426"/>
    </row>
    <row r="3318" spans="1:1" s="427" customFormat="1" ht="12" hidden="1" customHeight="1">
      <c r="A3318" s="426"/>
    </row>
    <row r="3319" spans="1:1" s="427" customFormat="1" ht="12" hidden="1" customHeight="1">
      <c r="A3319" s="426"/>
    </row>
    <row r="3320" spans="1:1" s="427" customFormat="1" ht="12" hidden="1" customHeight="1">
      <c r="A3320" s="426"/>
    </row>
    <row r="3321" spans="1:1" s="427" customFormat="1" ht="12" hidden="1" customHeight="1">
      <c r="A3321" s="426"/>
    </row>
    <row r="3322" spans="1:1" s="427" customFormat="1" ht="12" hidden="1" customHeight="1">
      <c r="A3322" s="426"/>
    </row>
    <row r="3323" spans="1:1" s="427" customFormat="1" ht="12" hidden="1" customHeight="1">
      <c r="A3323" s="426"/>
    </row>
    <row r="3324" spans="1:1" s="427" customFormat="1" ht="12" hidden="1" customHeight="1">
      <c r="A3324" s="426"/>
    </row>
    <row r="3325" spans="1:1" s="427" customFormat="1" ht="12" hidden="1" customHeight="1">
      <c r="A3325" s="426"/>
    </row>
    <row r="3326" spans="1:1" s="427" customFormat="1" ht="12" hidden="1" customHeight="1">
      <c r="A3326" s="426"/>
    </row>
    <row r="3327" spans="1:1" s="427" customFormat="1" ht="12" hidden="1" customHeight="1">
      <c r="A3327" s="426"/>
    </row>
    <row r="3328" spans="1:1" s="427" customFormat="1" ht="12" hidden="1" customHeight="1">
      <c r="A3328" s="426"/>
    </row>
    <row r="3329" spans="1:1" s="427" customFormat="1" ht="12" hidden="1" customHeight="1">
      <c r="A3329" s="426"/>
    </row>
    <row r="3330" spans="1:1" s="427" customFormat="1" ht="12" hidden="1" customHeight="1">
      <c r="A3330" s="426"/>
    </row>
    <row r="3331" spans="1:1" s="427" customFormat="1" ht="12" hidden="1" customHeight="1">
      <c r="A3331" s="426"/>
    </row>
    <row r="3332" spans="1:1" s="427" customFormat="1" ht="12" hidden="1" customHeight="1">
      <c r="A3332" s="426"/>
    </row>
    <row r="3333" spans="1:1" s="427" customFormat="1" ht="12" hidden="1" customHeight="1">
      <c r="A3333" s="426"/>
    </row>
    <row r="3334" spans="1:1" s="427" customFormat="1" ht="12" hidden="1" customHeight="1">
      <c r="A3334" s="426"/>
    </row>
    <row r="3335" spans="1:1" s="427" customFormat="1" ht="12" hidden="1" customHeight="1">
      <c r="A3335" s="426"/>
    </row>
    <row r="3336" spans="1:1" s="427" customFormat="1" ht="12" hidden="1" customHeight="1">
      <c r="A3336" s="426"/>
    </row>
    <row r="3337" spans="1:1" s="427" customFormat="1" ht="12" hidden="1" customHeight="1">
      <c r="A3337" s="426"/>
    </row>
    <row r="3338" spans="1:1" s="427" customFormat="1" ht="12" hidden="1" customHeight="1">
      <c r="A3338" s="426"/>
    </row>
    <row r="3339" spans="1:1" s="427" customFormat="1" ht="12" hidden="1" customHeight="1">
      <c r="A3339" s="426"/>
    </row>
    <row r="3340" spans="1:1" s="427" customFormat="1" ht="12" hidden="1" customHeight="1">
      <c r="A3340" s="426"/>
    </row>
    <row r="3341" spans="1:1" s="427" customFormat="1" ht="12" hidden="1" customHeight="1">
      <c r="A3341" s="426"/>
    </row>
    <row r="3342" spans="1:1" s="427" customFormat="1" ht="12" hidden="1" customHeight="1">
      <c r="A3342" s="426"/>
    </row>
    <row r="3343" spans="1:1" s="427" customFormat="1" ht="12" hidden="1" customHeight="1">
      <c r="A3343" s="426"/>
    </row>
    <row r="3344" spans="1:1" s="427" customFormat="1" ht="12" hidden="1" customHeight="1">
      <c r="A3344" s="426"/>
    </row>
    <row r="3345" spans="1:1" s="427" customFormat="1" ht="12" hidden="1" customHeight="1">
      <c r="A3345" s="426"/>
    </row>
    <row r="3346" spans="1:1" s="427" customFormat="1" ht="12" hidden="1" customHeight="1">
      <c r="A3346" s="426"/>
    </row>
    <row r="3347" spans="1:1" s="427" customFormat="1" ht="12" hidden="1" customHeight="1">
      <c r="A3347" s="426"/>
    </row>
    <row r="3348" spans="1:1" s="427" customFormat="1" ht="12" hidden="1" customHeight="1">
      <c r="A3348" s="426"/>
    </row>
    <row r="3349" spans="1:1" s="427" customFormat="1" ht="12" hidden="1" customHeight="1">
      <c r="A3349" s="426"/>
    </row>
    <row r="3350" spans="1:1" s="427" customFormat="1" ht="12" hidden="1" customHeight="1">
      <c r="A3350" s="426"/>
    </row>
    <row r="3351" spans="1:1" s="427" customFormat="1" ht="12" hidden="1" customHeight="1">
      <c r="A3351" s="426"/>
    </row>
    <row r="3352" spans="1:1" s="427" customFormat="1" ht="12" hidden="1" customHeight="1">
      <c r="A3352" s="426"/>
    </row>
    <row r="3353" spans="1:1" s="427" customFormat="1" ht="12" hidden="1" customHeight="1">
      <c r="A3353" s="426"/>
    </row>
    <row r="3354" spans="1:1" s="427" customFormat="1" ht="12" hidden="1" customHeight="1">
      <c r="A3354" s="426"/>
    </row>
    <row r="3355" spans="1:1" s="427" customFormat="1" ht="12" hidden="1" customHeight="1">
      <c r="A3355" s="426"/>
    </row>
    <row r="3356" spans="1:1" s="427" customFormat="1" ht="12" hidden="1" customHeight="1">
      <c r="A3356" s="426"/>
    </row>
    <row r="3357" spans="1:1" s="427" customFormat="1" ht="12" hidden="1" customHeight="1">
      <c r="A3357" s="426"/>
    </row>
    <row r="3358" spans="1:1" s="427" customFormat="1" ht="12" hidden="1" customHeight="1">
      <c r="A3358" s="426"/>
    </row>
    <row r="3359" spans="1:1" s="427" customFormat="1" ht="12" hidden="1" customHeight="1">
      <c r="A3359" s="426"/>
    </row>
    <row r="3360" spans="1:1" s="427" customFormat="1" ht="12" hidden="1" customHeight="1">
      <c r="A3360" s="426"/>
    </row>
    <row r="3361" spans="1:1" s="427" customFormat="1" ht="12" hidden="1" customHeight="1">
      <c r="A3361" s="426"/>
    </row>
    <row r="3362" spans="1:1" s="427" customFormat="1" ht="12" hidden="1" customHeight="1">
      <c r="A3362" s="426"/>
    </row>
    <row r="3363" spans="1:1" s="427" customFormat="1" ht="12" hidden="1" customHeight="1">
      <c r="A3363" s="426"/>
    </row>
    <row r="3364" spans="1:1" s="427" customFormat="1" ht="12" hidden="1" customHeight="1">
      <c r="A3364" s="426"/>
    </row>
    <row r="3365" spans="1:1" s="427" customFormat="1" ht="12" hidden="1" customHeight="1">
      <c r="A3365" s="426"/>
    </row>
    <row r="3366" spans="1:1" s="427" customFormat="1" ht="12" hidden="1" customHeight="1">
      <c r="A3366" s="426"/>
    </row>
    <row r="3367" spans="1:1" s="427" customFormat="1" ht="12" hidden="1" customHeight="1">
      <c r="A3367" s="426"/>
    </row>
    <row r="3368" spans="1:1" s="427" customFormat="1" ht="12" hidden="1" customHeight="1">
      <c r="A3368" s="426"/>
    </row>
    <row r="3369" spans="1:1" s="427" customFormat="1" ht="12" hidden="1" customHeight="1">
      <c r="A3369" s="426"/>
    </row>
    <row r="3370" spans="1:1" s="427" customFormat="1" ht="12" hidden="1" customHeight="1">
      <c r="A3370" s="426"/>
    </row>
    <row r="3371" spans="1:1" s="427" customFormat="1" ht="12" hidden="1" customHeight="1">
      <c r="A3371" s="426"/>
    </row>
    <row r="3372" spans="1:1" s="427" customFormat="1" ht="12" hidden="1" customHeight="1">
      <c r="A3372" s="426"/>
    </row>
    <row r="3373" spans="1:1" s="427" customFormat="1" ht="12" hidden="1" customHeight="1">
      <c r="A3373" s="426"/>
    </row>
    <row r="3374" spans="1:1" s="427" customFormat="1" ht="12" hidden="1" customHeight="1">
      <c r="A3374" s="426"/>
    </row>
    <row r="3375" spans="1:1" s="427" customFormat="1" ht="12" hidden="1" customHeight="1">
      <c r="A3375" s="426"/>
    </row>
    <row r="3376" spans="1:1" s="427" customFormat="1" ht="12" hidden="1" customHeight="1">
      <c r="A3376" s="426"/>
    </row>
    <row r="3377" spans="1:1" s="427" customFormat="1" ht="12" hidden="1" customHeight="1">
      <c r="A3377" s="426"/>
    </row>
    <row r="3378" spans="1:1" s="427" customFormat="1" ht="12" hidden="1" customHeight="1">
      <c r="A3378" s="426"/>
    </row>
    <row r="3379" spans="1:1" s="427" customFormat="1" ht="12" hidden="1" customHeight="1">
      <c r="A3379" s="426"/>
    </row>
    <row r="3380" spans="1:1" s="427" customFormat="1" ht="12" hidden="1" customHeight="1">
      <c r="A3380" s="426"/>
    </row>
    <row r="3381" spans="1:1" s="427" customFormat="1" ht="12" hidden="1" customHeight="1">
      <c r="A3381" s="426"/>
    </row>
    <row r="3382" spans="1:1" s="427" customFormat="1" ht="12" hidden="1" customHeight="1">
      <c r="A3382" s="426"/>
    </row>
    <row r="3383" spans="1:1" s="427" customFormat="1" ht="12" hidden="1" customHeight="1">
      <c r="A3383" s="426"/>
    </row>
    <row r="3384" spans="1:1" s="427" customFormat="1" ht="12" hidden="1" customHeight="1">
      <c r="A3384" s="426"/>
    </row>
    <row r="3385" spans="1:1" s="427" customFormat="1" ht="12" hidden="1" customHeight="1">
      <c r="A3385" s="426"/>
    </row>
    <row r="3386" spans="1:1" s="427" customFormat="1" ht="12" hidden="1" customHeight="1">
      <c r="A3386" s="426"/>
    </row>
    <row r="3387" spans="1:1" s="427" customFormat="1" ht="12" hidden="1" customHeight="1">
      <c r="A3387" s="426"/>
    </row>
    <row r="3388" spans="1:1" s="427" customFormat="1" ht="12" hidden="1" customHeight="1">
      <c r="A3388" s="426"/>
    </row>
    <row r="3389" spans="1:1" s="427" customFormat="1" ht="12" hidden="1" customHeight="1">
      <c r="A3389" s="426"/>
    </row>
    <row r="3390" spans="1:1" s="427" customFormat="1" ht="12" hidden="1" customHeight="1">
      <c r="A3390" s="426"/>
    </row>
    <row r="3391" spans="1:1" s="427" customFormat="1" ht="12" hidden="1" customHeight="1">
      <c r="A3391" s="426"/>
    </row>
    <row r="3392" spans="1:1" s="427" customFormat="1" ht="12" hidden="1" customHeight="1">
      <c r="A3392" s="426"/>
    </row>
    <row r="3393" spans="1:1" s="427" customFormat="1" ht="12" hidden="1" customHeight="1">
      <c r="A3393" s="426"/>
    </row>
    <row r="3394" spans="1:1" s="427" customFormat="1" ht="12" hidden="1" customHeight="1">
      <c r="A3394" s="426"/>
    </row>
    <row r="3395" spans="1:1" s="427" customFormat="1" ht="12" hidden="1" customHeight="1">
      <c r="A3395" s="426"/>
    </row>
    <row r="3396" spans="1:1" s="427" customFormat="1" ht="12" hidden="1" customHeight="1">
      <c r="A3396" s="426"/>
    </row>
    <row r="3397" spans="1:1" s="427" customFormat="1" ht="12" hidden="1" customHeight="1">
      <c r="A3397" s="426"/>
    </row>
    <row r="3398" spans="1:1" s="427" customFormat="1" ht="12" hidden="1" customHeight="1">
      <c r="A3398" s="426"/>
    </row>
    <row r="3399" spans="1:1" s="427" customFormat="1" ht="12" hidden="1" customHeight="1">
      <c r="A3399" s="426"/>
    </row>
    <row r="3400" spans="1:1" s="427" customFormat="1" ht="12" hidden="1" customHeight="1">
      <c r="A3400" s="426"/>
    </row>
    <row r="3401" spans="1:1" s="427" customFormat="1" ht="12" hidden="1" customHeight="1">
      <c r="A3401" s="426"/>
    </row>
    <row r="3402" spans="1:1" s="427" customFormat="1" ht="12" hidden="1" customHeight="1">
      <c r="A3402" s="426"/>
    </row>
    <row r="3403" spans="1:1" s="427" customFormat="1" ht="12" hidden="1" customHeight="1">
      <c r="A3403" s="426"/>
    </row>
    <row r="3404" spans="1:1" s="427" customFormat="1" ht="12" hidden="1" customHeight="1">
      <c r="A3404" s="426"/>
    </row>
    <row r="3405" spans="1:1" s="427" customFormat="1" ht="12" hidden="1" customHeight="1">
      <c r="A3405" s="426"/>
    </row>
    <row r="3406" spans="1:1" s="427" customFormat="1" ht="12" hidden="1" customHeight="1">
      <c r="A3406" s="426"/>
    </row>
    <row r="3407" spans="1:1" s="427" customFormat="1" ht="12" hidden="1" customHeight="1">
      <c r="A3407" s="426"/>
    </row>
    <row r="3408" spans="1:1" s="427" customFormat="1" ht="12" hidden="1" customHeight="1">
      <c r="A3408" s="426"/>
    </row>
    <row r="3409" spans="1:1" s="427" customFormat="1" ht="12" hidden="1" customHeight="1">
      <c r="A3409" s="426"/>
    </row>
    <row r="3410" spans="1:1" s="427" customFormat="1" ht="12" hidden="1" customHeight="1">
      <c r="A3410" s="426"/>
    </row>
    <row r="3411" spans="1:1" s="427" customFormat="1" ht="12" hidden="1" customHeight="1">
      <c r="A3411" s="426"/>
    </row>
    <row r="3412" spans="1:1" s="427" customFormat="1" ht="12" hidden="1" customHeight="1">
      <c r="A3412" s="426"/>
    </row>
    <row r="3413" spans="1:1" s="427" customFormat="1" ht="12" hidden="1" customHeight="1">
      <c r="A3413" s="426"/>
    </row>
    <row r="3414" spans="1:1" s="427" customFormat="1" ht="12" hidden="1" customHeight="1">
      <c r="A3414" s="426"/>
    </row>
    <row r="3415" spans="1:1" s="427" customFormat="1" ht="12" hidden="1" customHeight="1">
      <c r="A3415" s="426"/>
    </row>
    <row r="3416" spans="1:1" s="427" customFormat="1" ht="12" hidden="1" customHeight="1">
      <c r="A3416" s="426"/>
    </row>
    <row r="3417" spans="1:1" s="427" customFormat="1" ht="12" hidden="1" customHeight="1">
      <c r="A3417" s="426"/>
    </row>
    <row r="3418" spans="1:1" s="427" customFormat="1" ht="12" hidden="1" customHeight="1">
      <c r="A3418" s="426"/>
    </row>
    <row r="3419" spans="1:1" s="427" customFormat="1" ht="12" hidden="1" customHeight="1">
      <c r="A3419" s="426"/>
    </row>
    <row r="3420" spans="1:1" s="427" customFormat="1" ht="12" hidden="1" customHeight="1">
      <c r="A3420" s="426"/>
    </row>
    <row r="3421" spans="1:1" s="427" customFormat="1" ht="12" hidden="1" customHeight="1">
      <c r="A3421" s="426"/>
    </row>
    <row r="3422" spans="1:1" s="427" customFormat="1" ht="12" hidden="1" customHeight="1">
      <c r="A3422" s="426"/>
    </row>
    <row r="3423" spans="1:1" s="427" customFormat="1" ht="12" hidden="1" customHeight="1">
      <c r="A3423" s="426"/>
    </row>
    <row r="3424" spans="1:1" s="427" customFormat="1" ht="12" hidden="1" customHeight="1">
      <c r="A3424" s="426"/>
    </row>
    <row r="3425" spans="1:1" s="427" customFormat="1" ht="12" hidden="1" customHeight="1">
      <c r="A3425" s="426"/>
    </row>
    <row r="3426" spans="1:1" s="427" customFormat="1" ht="12" hidden="1" customHeight="1">
      <c r="A3426" s="426"/>
    </row>
    <row r="3427" spans="1:1" s="427" customFormat="1" ht="12" hidden="1" customHeight="1">
      <c r="A3427" s="426"/>
    </row>
    <row r="3428" spans="1:1" s="427" customFormat="1" ht="12" hidden="1" customHeight="1">
      <c r="A3428" s="426"/>
    </row>
    <row r="3429" spans="1:1" s="427" customFormat="1" ht="12" hidden="1" customHeight="1">
      <c r="A3429" s="426"/>
    </row>
    <row r="3430" spans="1:1" s="427" customFormat="1" ht="12" hidden="1" customHeight="1">
      <c r="A3430" s="426"/>
    </row>
    <row r="3431" spans="1:1" s="427" customFormat="1" ht="12" hidden="1" customHeight="1">
      <c r="A3431" s="426"/>
    </row>
    <row r="3432" spans="1:1" s="427" customFormat="1" ht="12" hidden="1" customHeight="1">
      <c r="A3432" s="426"/>
    </row>
    <row r="3433" spans="1:1" s="427" customFormat="1" ht="12" hidden="1" customHeight="1">
      <c r="A3433" s="426"/>
    </row>
    <row r="3434" spans="1:1" s="427" customFormat="1" ht="12" hidden="1" customHeight="1">
      <c r="A3434" s="426"/>
    </row>
    <row r="3435" spans="1:1" s="427" customFormat="1" ht="12" hidden="1" customHeight="1">
      <c r="A3435" s="426"/>
    </row>
    <row r="3436" spans="1:1" s="427" customFormat="1" ht="12" hidden="1" customHeight="1">
      <c r="A3436" s="426"/>
    </row>
    <row r="3437" spans="1:1" s="427" customFormat="1" ht="12" hidden="1" customHeight="1">
      <c r="A3437" s="426"/>
    </row>
    <row r="3438" spans="1:1" s="427" customFormat="1" ht="12" hidden="1" customHeight="1">
      <c r="A3438" s="426"/>
    </row>
    <row r="3439" spans="1:1" s="427" customFormat="1" ht="12" hidden="1" customHeight="1">
      <c r="A3439" s="426"/>
    </row>
    <row r="3440" spans="1:1" s="427" customFormat="1" ht="12" hidden="1" customHeight="1">
      <c r="A3440" s="426"/>
    </row>
    <row r="3441" spans="1:1" s="427" customFormat="1" ht="12" hidden="1" customHeight="1">
      <c r="A3441" s="426"/>
    </row>
    <row r="3442" spans="1:1" s="427" customFormat="1" ht="12" hidden="1" customHeight="1">
      <c r="A3442" s="426"/>
    </row>
    <row r="3443" spans="1:1" s="427" customFormat="1" ht="12" hidden="1" customHeight="1">
      <c r="A3443" s="426"/>
    </row>
    <row r="3444" spans="1:1" s="427" customFormat="1" ht="12" hidden="1" customHeight="1">
      <c r="A3444" s="426"/>
    </row>
    <row r="3445" spans="1:1" s="427" customFormat="1" ht="12" hidden="1" customHeight="1">
      <c r="A3445" s="426"/>
    </row>
    <row r="3446" spans="1:1" s="427" customFormat="1" ht="12" hidden="1" customHeight="1">
      <c r="A3446" s="426"/>
    </row>
    <row r="3447" spans="1:1" s="427" customFormat="1" ht="12" hidden="1" customHeight="1">
      <c r="A3447" s="426"/>
    </row>
    <row r="3448" spans="1:1" s="427" customFormat="1" ht="12" hidden="1" customHeight="1">
      <c r="A3448" s="426"/>
    </row>
    <row r="3449" spans="1:1" s="427" customFormat="1" ht="12" hidden="1" customHeight="1">
      <c r="A3449" s="426"/>
    </row>
    <row r="3450" spans="1:1" s="427" customFormat="1" ht="12" hidden="1" customHeight="1">
      <c r="A3450" s="426"/>
    </row>
    <row r="3451" spans="1:1" s="427" customFormat="1" ht="12" hidden="1" customHeight="1">
      <c r="A3451" s="426"/>
    </row>
    <row r="3452" spans="1:1" s="427" customFormat="1" ht="12" hidden="1" customHeight="1">
      <c r="A3452" s="426"/>
    </row>
    <row r="3453" spans="1:1" s="427" customFormat="1" ht="12" hidden="1" customHeight="1">
      <c r="A3453" s="426"/>
    </row>
    <row r="3454" spans="1:1" s="427" customFormat="1" ht="12" hidden="1" customHeight="1">
      <c r="A3454" s="426"/>
    </row>
    <row r="3455" spans="1:1" s="427" customFormat="1" ht="12" hidden="1" customHeight="1">
      <c r="A3455" s="426"/>
    </row>
    <row r="3456" spans="1:1" s="427" customFormat="1" ht="12" hidden="1" customHeight="1">
      <c r="A3456" s="426"/>
    </row>
    <row r="3457" spans="1:1" s="427" customFormat="1" ht="12" hidden="1" customHeight="1">
      <c r="A3457" s="426"/>
    </row>
    <row r="3458" spans="1:1" s="427" customFormat="1" ht="12" hidden="1" customHeight="1">
      <c r="A3458" s="426"/>
    </row>
    <row r="3459" spans="1:1" s="427" customFormat="1" ht="12" hidden="1" customHeight="1">
      <c r="A3459" s="426"/>
    </row>
    <row r="3460" spans="1:1" s="427" customFormat="1" ht="12" hidden="1" customHeight="1">
      <c r="A3460" s="426"/>
    </row>
    <row r="3461" spans="1:1" s="427" customFormat="1" ht="12" hidden="1" customHeight="1">
      <c r="A3461" s="426"/>
    </row>
    <row r="3462" spans="1:1" s="427" customFormat="1" ht="12" hidden="1" customHeight="1">
      <c r="A3462" s="426"/>
    </row>
    <row r="3463" spans="1:1" s="427" customFormat="1" ht="12" hidden="1" customHeight="1">
      <c r="A3463" s="426"/>
    </row>
    <row r="3464" spans="1:1" s="427" customFormat="1" ht="12" hidden="1" customHeight="1">
      <c r="A3464" s="426"/>
    </row>
    <row r="3465" spans="1:1" s="427" customFormat="1" ht="12" hidden="1" customHeight="1">
      <c r="A3465" s="426"/>
    </row>
    <row r="3466" spans="1:1" s="427" customFormat="1" ht="12" hidden="1" customHeight="1">
      <c r="A3466" s="426"/>
    </row>
    <row r="3467" spans="1:1" s="427" customFormat="1" ht="12" hidden="1" customHeight="1">
      <c r="A3467" s="426"/>
    </row>
    <row r="3468" spans="1:1" s="427" customFormat="1" ht="12" hidden="1" customHeight="1">
      <c r="A3468" s="426"/>
    </row>
    <row r="3469" spans="1:1" s="427" customFormat="1" ht="12" hidden="1" customHeight="1">
      <c r="A3469" s="426"/>
    </row>
    <row r="3470" spans="1:1" s="427" customFormat="1" ht="12" hidden="1" customHeight="1">
      <c r="A3470" s="426"/>
    </row>
    <row r="3471" spans="1:1" s="427" customFormat="1" ht="12" hidden="1" customHeight="1">
      <c r="A3471" s="426"/>
    </row>
    <row r="3472" spans="1:1" s="427" customFormat="1" ht="12" hidden="1" customHeight="1">
      <c r="A3472" s="426"/>
    </row>
    <row r="3473" spans="1:1" s="427" customFormat="1" ht="12" hidden="1" customHeight="1">
      <c r="A3473" s="426"/>
    </row>
    <row r="3474" spans="1:1" s="427" customFormat="1" ht="12" hidden="1" customHeight="1">
      <c r="A3474" s="426"/>
    </row>
    <row r="3475" spans="1:1" s="427" customFormat="1" ht="12" hidden="1" customHeight="1">
      <c r="A3475" s="426"/>
    </row>
    <row r="3476" spans="1:1" s="427" customFormat="1" ht="12" hidden="1" customHeight="1">
      <c r="A3476" s="426"/>
    </row>
    <row r="3477" spans="1:1" s="427" customFormat="1" ht="12" hidden="1" customHeight="1">
      <c r="A3477" s="426"/>
    </row>
    <row r="3478" spans="1:1" s="427" customFormat="1" ht="12" hidden="1" customHeight="1">
      <c r="A3478" s="426"/>
    </row>
    <row r="3479" spans="1:1" s="427" customFormat="1" ht="12" hidden="1" customHeight="1">
      <c r="A3479" s="426"/>
    </row>
    <row r="3480" spans="1:1" s="427" customFormat="1" ht="12" hidden="1" customHeight="1">
      <c r="A3480" s="426"/>
    </row>
    <row r="3481" spans="1:1" s="427" customFormat="1" ht="12" hidden="1" customHeight="1">
      <c r="A3481" s="426"/>
    </row>
    <row r="3482" spans="1:1" s="427" customFormat="1" ht="12" hidden="1" customHeight="1">
      <c r="A3482" s="426"/>
    </row>
    <row r="3483" spans="1:1" s="427" customFormat="1" ht="12" hidden="1" customHeight="1">
      <c r="A3483" s="426"/>
    </row>
    <row r="3484" spans="1:1" s="427" customFormat="1" ht="12" hidden="1" customHeight="1">
      <c r="A3484" s="426"/>
    </row>
    <row r="3485" spans="1:1" s="427" customFormat="1" ht="12" hidden="1" customHeight="1">
      <c r="A3485" s="426"/>
    </row>
    <row r="3486" spans="1:1" s="427" customFormat="1" ht="12" hidden="1" customHeight="1">
      <c r="A3486" s="426"/>
    </row>
    <row r="3487" spans="1:1" s="427" customFormat="1" ht="12" hidden="1" customHeight="1">
      <c r="A3487" s="426"/>
    </row>
    <row r="3488" spans="1:1" s="427" customFormat="1" ht="12" hidden="1" customHeight="1">
      <c r="A3488" s="426"/>
    </row>
    <row r="3489" spans="1:1" s="427" customFormat="1" ht="12" hidden="1" customHeight="1">
      <c r="A3489" s="426"/>
    </row>
    <row r="3490" spans="1:1" s="427" customFormat="1" ht="12" hidden="1" customHeight="1">
      <c r="A3490" s="426"/>
    </row>
    <row r="3491" spans="1:1" s="427" customFormat="1" ht="12" hidden="1" customHeight="1">
      <c r="A3491" s="426"/>
    </row>
    <row r="3492" spans="1:1" s="427" customFormat="1" ht="12" hidden="1" customHeight="1">
      <c r="A3492" s="426"/>
    </row>
    <row r="3493" spans="1:1" s="427" customFormat="1" ht="12" hidden="1" customHeight="1">
      <c r="A3493" s="426"/>
    </row>
    <row r="3494" spans="1:1" s="427" customFormat="1" ht="12" hidden="1" customHeight="1">
      <c r="A3494" s="426"/>
    </row>
    <row r="3495" spans="1:1" s="427" customFormat="1" ht="12" hidden="1" customHeight="1">
      <c r="A3495" s="426"/>
    </row>
    <row r="3496" spans="1:1" s="427" customFormat="1" ht="12" hidden="1" customHeight="1">
      <c r="A3496" s="426"/>
    </row>
    <row r="3497" spans="1:1" s="427" customFormat="1" ht="12" hidden="1" customHeight="1">
      <c r="A3497" s="426"/>
    </row>
    <row r="3498" spans="1:1" s="427" customFormat="1" ht="12" hidden="1" customHeight="1">
      <c r="A3498" s="426"/>
    </row>
    <row r="3499" spans="1:1" s="427" customFormat="1" ht="12" hidden="1" customHeight="1">
      <c r="A3499" s="426"/>
    </row>
    <row r="3500" spans="1:1" s="427" customFormat="1" ht="12" hidden="1" customHeight="1">
      <c r="A3500" s="426"/>
    </row>
    <row r="3501" spans="1:1" s="427" customFormat="1" ht="12" hidden="1" customHeight="1">
      <c r="A3501" s="426"/>
    </row>
    <row r="3502" spans="1:1" s="427" customFormat="1" ht="12" hidden="1" customHeight="1">
      <c r="A3502" s="426"/>
    </row>
    <row r="3503" spans="1:1" s="427" customFormat="1" ht="12" hidden="1" customHeight="1">
      <c r="A3503" s="426"/>
    </row>
    <row r="3504" spans="1:1" s="427" customFormat="1" ht="12" hidden="1" customHeight="1">
      <c r="A3504" s="426"/>
    </row>
    <row r="3505" spans="1:1" s="427" customFormat="1" ht="12" hidden="1" customHeight="1">
      <c r="A3505" s="426"/>
    </row>
    <row r="3506" spans="1:1" s="427" customFormat="1" ht="12" hidden="1" customHeight="1">
      <c r="A3506" s="426"/>
    </row>
    <row r="3507" spans="1:1" s="427" customFormat="1" ht="12" hidden="1" customHeight="1">
      <c r="A3507" s="426"/>
    </row>
    <row r="3508" spans="1:1" s="427" customFormat="1" ht="12" hidden="1" customHeight="1">
      <c r="A3508" s="426"/>
    </row>
    <row r="3509" spans="1:1" s="427" customFormat="1" ht="12" hidden="1" customHeight="1">
      <c r="A3509" s="426"/>
    </row>
    <row r="3510" spans="1:1" s="427" customFormat="1" ht="12" hidden="1" customHeight="1">
      <c r="A3510" s="426"/>
    </row>
    <row r="3511" spans="1:1" s="427" customFormat="1" ht="12" hidden="1" customHeight="1">
      <c r="A3511" s="426"/>
    </row>
    <row r="3512" spans="1:1" s="427" customFormat="1" ht="12" hidden="1" customHeight="1">
      <c r="A3512" s="426"/>
    </row>
    <row r="3513" spans="1:1" s="427" customFormat="1" ht="12" hidden="1" customHeight="1">
      <c r="A3513" s="426"/>
    </row>
    <row r="3514" spans="1:1" s="427" customFormat="1" ht="12" hidden="1" customHeight="1">
      <c r="A3514" s="426"/>
    </row>
    <row r="3515" spans="1:1" s="427" customFormat="1" ht="12" hidden="1" customHeight="1">
      <c r="A3515" s="426"/>
    </row>
    <row r="3516" spans="1:1" s="427" customFormat="1" ht="12" hidden="1" customHeight="1">
      <c r="A3516" s="426"/>
    </row>
    <row r="3517" spans="1:1" s="427" customFormat="1" ht="12" hidden="1" customHeight="1">
      <c r="A3517" s="426"/>
    </row>
    <row r="3518" spans="1:1" s="427" customFormat="1" ht="12" hidden="1" customHeight="1">
      <c r="A3518" s="426"/>
    </row>
    <row r="3519" spans="1:1" s="427" customFormat="1" ht="12" hidden="1" customHeight="1">
      <c r="A3519" s="426"/>
    </row>
    <row r="3520" spans="1:1" s="427" customFormat="1" ht="12" hidden="1" customHeight="1">
      <c r="A3520" s="426"/>
    </row>
    <row r="3521" spans="1:1" s="427" customFormat="1" ht="12" hidden="1" customHeight="1">
      <c r="A3521" s="426"/>
    </row>
    <row r="3522" spans="1:1" s="427" customFormat="1" ht="12" hidden="1" customHeight="1">
      <c r="A3522" s="426"/>
    </row>
    <row r="3523" spans="1:1" s="427" customFormat="1" ht="12" hidden="1" customHeight="1">
      <c r="A3523" s="426"/>
    </row>
    <row r="3524" spans="1:1" s="427" customFormat="1" ht="12" hidden="1" customHeight="1">
      <c r="A3524" s="426"/>
    </row>
    <row r="3525" spans="1:1" s="427" customFormat="1" ht="12" hidden="1" customHeight="1">
      <c r="A3525" s="426"/>
    </row>
    <row r="3526" spans="1:1" s="427" customFormat="1" ht="12" hidden="1" customHeight="1">
      <c r="A3526" s="426"/>
    </row>
    <row r="3527" spans="1:1" s="427" customFormat="1" ht="12" hidden="1" customHeight="1">
      <c r="A3527" s="426"/>
    </row>
    <row r="3528" spans="1:1" s="427" customFormat="1" ht="12" hidden="1" customHeight="1">
      <c r="A3528" s="426"/>
    </row>
    <row r="3529" spans="1:1" s="427" customFormat="1" ht="12" hidden="1" customHeight="1">
      <c r="A3529" s="426"/>
    </row>
    <row r="3530" spans="1:1" s="427" customFormat="1" ht="12" hidden="1" customHeight="1">
      <c r="A3530" s="426"/>
    </row>
    <row r="3531" spans="1:1" s="427" customFormat="1" ht="12" hidden="1" customHeight="1">
      <c r="A3531" s="426"/>
    </row>
    <row r="3532" spans="1:1" s="427" customFormat="1" ht="12" hidden="1" customHeight="1">
      <c r="A3532" s="426"/>
    </row>
    <row r="3533" spans="1:1" s="427" customFormat="1" ht="12" hidden="1" customHeight="1">
      <c r="A3533" s="426"/>
    </row>
    <row r="3534" spans="1:1" s="427" customFormat="1" ht="12" hidden="1" customHeight="1">
      <c r="A3534" s="426"/>
    </row>
    <row r="3535" spans="1:1" s="427" customFormat="1" ht="12" hidden="1" customHeight="1">
      <c r="A3535" s="426"/>
    </row>
    <row r="3536" spans="1:1" s="427" customFormat="1" ht="12" hidden="1" customHeight="1">
      <c r="A3536" s="426"/>
    </row>
    <row r="3537" spans="1:1" s="427" customFormat="1" ht="12" hidden="1" customHeight="1">
      <c r="A3537" s="426"/>
    </row>
    <row r="3538" spans="1:1" s="427" customFormat="1" ht="12" hidden="1" customHeight="1">
      <c r="A3538" s="426"/>
    </row>
    <row r="3539" spans="1:1" s="427" customFormat="1" ht="12" hidden="1" customHeight="1">
      <c r="A3539" s="426"/>
    </row>
    <row r="3540" spans="1:1" s="427" customFormat="1" ht="12" hidden="1" customHeight="1">
      <c r="A3540" s="426"/>
    </row>
    <row r="3541" spans="1:1" s="427" customFormat="1" ht="12" hidden="1" customHeight="1">
      <c r="A3541" s="426"/>
    </row>
    <row r="3542" spans="1:1" s="427" customFormat="1" ht="12" hidden="1" customHeight="1">
      <c r="A3542" s="426"/>
    </row>
    <row r="3543" spans="1:1" s="427" customFormat="1" ht="12" hidden="1" customHeight="1">
      <c r="A3543" s="426"/>
    </row>
    <row r="3544" spans="1:1" s="427" customFormat="1" ht="12" hidden="1" customHeight="1">
      <c r="A3544" s="426"/>
    </row>
    <row r="3545" spans="1:1" s="427" customFormat="1" ht="12" hidden="1" customHeight="1">
      <c r="A3545" s="426"/>
    </row>
    <row r="3546" spans="1:1" s="427" customFormat="1" ht="12" hidden="1" customHeight="1">
      <c r="A3546" s="426"/>
    </row>
    <row r="3547" spans="1:1" s="427" customFormat="1" ht="12" hidden="1" customHeight="1">
      <c r="A3547" s="426"/>
    </row>
    <row r="3548" spans="1:1" s="427" customFormat="1" ht="12" hidden="1" customHeight="1">
      <c r="A3548" s="426"/>
    </row>
    <row r="3549" spans="1:1" s="427" customFormat="1" ht="12" hidden="1" customHeight="1">
      <c r="A3549" s="426"/>
    </row>
    <row r="3550" spans="1:1" s="427" customFormat="1" ht="12" hidden="1" customHeight="1">
      <c r="A3550" s="426"/>
    </row>
    <row r="3551" spans="1:1" s="427" customFormat="1" ht="12" hidden="1" customHeight="1">
      <c r="A3551" s="426"/>
    </row>
    <row r="3552" spans="1:1" s="427" customFormat="1" ht="12" hidden="1" customHeight="1">
      <c r="A3552" s="426"/>
    </row>
    <row r="3553" spans="1:1" s="427" customFormat="1" ht="12" hidden="1" customHeight="1">
      <c r="A3553" s="426"/>
    </row>
    <row r="3554" spans="1:1" s="427" customFormat="1" ht="12" hidden="1" customHeight="1">
      <c r="A3554" s="426"/>
    </row>
    <row r="3555" spans="1:1" s="427" customFormat="1" ht="12" hidden="1" customHeight="1">
      <c r="A3555" s="426"/>
    </row>
    <row r="3556" spans="1:1" s="427" customFormat="1" ht="12" hidden="1" customHeight="1">
      <c r="A3556" s="426"/>
    </row>
    <row r="3557" spans="1:1" s="427" customFormat="1" ht="12" hidden="1" customHeight="1">
      <c r="A3557" s="426"/>
    </row>
    <row r="3558" spans="1:1" s="427" customFormat="1" ht="12" hidden="1" customHeight="1">
      <c r="A3558" s="426"/>
    </row>
    <row r="3559" spans="1:1" s="427" customFormat="1" ht="12" hidden="1" customHeight="1">
      <c r="A3559" s="426"/>
    </row>
    <row r="3560" spans="1:1" s="427" customFormat="1" ht="12" hidden="1" customHeight="1">
      <c r="A3560" s="426"/>
    </row>
    <row r="3561" spans="1:1" s="427" customFormat="1" ht="12" hidden="1" customHeight="1">
      <c r="A3561" s="426"/>
    </row>
    <row r="3562" spans="1:1" s="427" customFormat="1" ht="12" hidden="1" customHeight="1">
      <c r="A3562" s="426"/>
    </row>
    <row r="3563" spans="1:1" s="427" customFormat="1" ht="12" hidden="1" customHeight="1">
      <c r="A3563" s="426"/>
    </row>
    <row r="3564" spans="1:1" s="427" customFormat="1" ht="12" hidden="1" customHeight="1">
      <c r="A3564" s="426"/>
    </row>
    <row r="3565" spans="1:1" s="427" customFormat="1" ht="12" hidden="1" customHeight="1">
      <c r="A3565" s="426"/>
    </row>
    <row r="3566" spans="1:1" s="427" customFormat="1" ht="12" hidden="1" customHeight="1">
      <c r="A3566" s="426"/>
    </row>
    <row r="3567" spans="1:1" s="427" customFormat="1" ht="12" hidden="1" customHeight="1">
      <c r="A3567" s="426"/>
    </row>
    <row r="3568" spans="1:1" s="427" customFormat="1" ht="12" hidden="1" customHeight="1">
      <c r="A3568" s="426"/>
    </row>
    <row r="3569" spans="1:1" s="427" customFormat="1" ht="12" hidden="1" customHeight="1">
      <c r="A3569" s="426"/>
    </row>
    <row r="3570" spans="1:1" s="427" customFormat="1" ht="12" hidden="1" customHeight="1">
      <c r="A3570" s="426"/>
    </row>
    <row r="3571" spans="1:1" s="427" customFormat="1" ht="12" hidden="1" customHeight="1">
      <c r="A3571" s="426"/>
    </row>
    <row r="3572" spans="1:1" s="427" customFormat="1" ht="12" hidden="1" customHeight="1">
      <c r="A3572" s="426"/>
    </row>
    <row r="3573" spans="1:1" s="427" customFormat="1" ht="12" hidden="1" customHeight="1">
      <c r="A3573" s="426"/>
    </row>
    <row r="3574" spans="1:1" s="427" customFormat="1" ht="12" hidden="1" customHeight="1">
      <c r="A3574" s="426"/>
    </row>
    <row r="3575" spans="1:1" s="427" customFormat="1" ht="12" hidden="1" customHeight="1">
      <c r="A3575" s="426"/>
    </row>
    <row r="3576" spans="1:1" s="427" customFormat="1" ht="12" hidden="1" customHeight="1">
      <c r="A3576" s="426"/>
    </row>
    <row r="3577" spans="1:1" s="427" customFormat="1" ht="12" hidden="1" customHeight="1">
      <c r="A3577" s="426"/>
    </row>
    <row r="3578" spans="1:1" s="427" customFormat="1" ht="12" hidden="1" customHeight="1">
      <c r="A3578" s="426"/>
    </row>
    <row r="3579" spans="1:1" s="427" customFormat="1" ht="12" hidden="1" customHeight="1">
      <c r="A3579" s="426"/>
    </row>
    <row r="3580" spans="1:1" s="427" customFormat="1" ht="12" hidden="1" customHeight="1">
      <c r="A3580" s="426"/>
    </row>
    <row r="3581" spans="1:1" s="427" customFormat="1" ht="12" hidden="1" customHeight="1">
      <c r="A3581" s="426"/>
    </row>
    <row r="3582" spans="1:1" s="427" customFormat="1" ht="12" hidden="1" customHeight="1">
      <c r="A3582" s="426"/>
    </row>
    <row r="3583" spans="1:1" s="427" customFormat="1" ht="12" hidden="1" customHeight="1">
      <c r="A3583" s="426"/>
    </row>
    <row r="3584" spans="1:1" s="427" customFormat="1" ht="12" hidden="1" customHeight="1">
      <c r="A3584" s="426"/>
    </row>
    <row r="3585" spans="1:1" s="427" customFormat="1" ht="12" hidden="1" customHeight="1">
      <c r="A3585" s="426"/>
    </row>
    <row r="3586" spans="1:1" s="427" customFormat="1" ht="12" hidden="1" customHeight="1">
      <c r="A3586" s="426"/>
    </row>
    <row r="3587" spans="1:1" s="427" customFormat="1" ht="12" hidden="1" customHeight="1">
      <c r="A3587" s="426"/>
    </row>
    <row r="3588" spans="1:1" s="427" customFormat="1" ht="12" hidden="1" customHeight="1">
      <c r="A3588" s="426"/>
    </row>
    <row r="3589" spans="1:1" s="427" customFormat="1" ht="12" hidden="1" customHeight="1">
      <c r="A3589" s="426"/>
    </row>
    <row r="3590" spans="1:1" s="427" customFormat="1" ht="12" hidden="1" customHeight="1">
      <c r="A3590" s="426"/>
    </row>
    <row r="3591" spans="1:1" s="427" customFormat="1" ht="12" hidden="1" customHeight="1">
      <c r="A3591" s="426"/>
    </row>
    <row r="3592" spans="1:1" s="427" customFormat="1" ht="12" hidden="1" customHeight="1">
      <c r="A3592" s="426"/>
    </row>
    <row r="3593" spans="1:1" s="427" customFormat="1" ht="12" hidden="1" customHeight="1">
      <c r="A3593" s="426"/>
    </row>
    <row r="3594" spans="1:1" s="427" customFormat="1" ht="12" hidden="1" customHeight="1">
      <c r="A3594" s="426"/>
    </row>
    <row r="3595" spans="1:1" s="427" customFormat="1" ht="12" hidden="1" customHeight="1">
      <c r="A3595" s="426"/>
    </row>
    <row r="3596" spans="1:1" s="427" customFormat="1" ht="12" hidden="1" customHeight="1">
      <c r="A3596" s="426"/>
    </row>
    <row r="3597" spans="1:1" s="427" customFormat="1" ht="12" hidden="1" customHeight="1">
      <c r="A3597" s="426"/>
    </row>
    <row r="3598" spans="1:1" s="427" customFormat="1" ht="12" hidden="1" customHeight="1">
      <c r="A3598" s="426"/>
    </row>
    <row r="3599" spans="1:1" s="427" customFormat="1" ht="12" hidden="1" customHeight="1">
      <c r="A3599" s="426"/>
    </row>
    <row r="3600" spans="1:1" s="427" customFormat="1" ht="12" hidden="1" customHeight="1">
      <c r="A3600" s="426"/>
    </row>
    <row r="3601" spans="1:1" s="427" customFormat="1" ht="12" hidden="1" customHeight="1">
      <c r="A3601" s="426"/>
    </row>
    <row r="3602" spans="1:1" s="427" customFormat="1" ht="12" hidden="1" customHeight="1">
      <c r="A3602" s="426"/>
    </row>
    <row r="3603" spans="1:1" s="427" customFormat="1" ht="12" hidden="1" customHeight="1">
      <c r="A3603" s="426"/>
    </row>
    <row r="3604" spans="1:1" s="427" customFormat="1" ht="12" hidden="1" customHeight="1">
      <c r="A3604" s="426"/>
    </row>
    <row r="3605" spans="1:1" s="427" customFormat="1" ht="12" hidden="1" customHeight="1">
      <c r="A3605" s="426"/>
    </row>
    <row r="3606" spans="1:1" s="427" customFormat="1" ht="12" hidden="1" customHeight="1">
      <c r="A3606" s="426"/>
    </row>
    <row r="3607" spans="1:1" s="427" customFormat="1" ht="12" hidden="1" customHeight="1">
      <c r="A3607" s="426"/>
    </row>
    <row r="3608" spans="1:1" s="427" customFormat="1" ht="12" hidden="1" customHeight="1">
      <c r="A3608" s="426"/>
    </row>
    <row r="3609" spans="1:1" s="427" customFormat="1" ht="12" hidden="1" customHeight="1">
      <c r="A3609" s="426"/>
    </row>
    <row r="3610" spans="1:1" s="427" customFormat="1" ht="12" hidden="1" customHeight="1">
      <c r="A3610" s="426"/>
    </row>
    <row r="3611" spans="1:1" s="427" customFormat="1" ht="12" hidden="1" customHeight="1">
      <c r="A3611" s="426"/>
    </row>
    <row r="3612" spans="1:1" s="427" customFormat="1" ht="12" hidden="1" customHeight="1">
      <c r="A3612" s="426"/>
    </row>
    <row r="3613" spans="1:1" s="427" customFormat="1" ht="12" hidden="1" customHeight="1">
      <c r="A3613" s="426"/>
    </row>
    <row r="3614" spans="1:1" s="427" customFormat="1" ht="12" hidden="1" customHeight="1">
      <c r="A3614" s="426"/>
    </row>
    <row r="3615" spans="1:1" s="427" customFormat="1" ht="12" hidden="1" customHeight="1">
      <c r="A3615" s="426"/>
    </row>
    <row r="3616" spans="1:1" s="427" customFormat="1" ht="12" hidden="1" customHeight="1">
      <c r="A3616" s="426"/>
    </row>
    <row r="3617" spans="1:1" s="427" customFormat="1" ht="12" hidden="1" customHeight="1">
      <c r="A3617" s="426"/>
    </row>
    <row r="3618" spans="1:1" s="427" customFormat="1" ht="12" hidden="1" customHeight="1">
      <c r="A3618" s="426"/>
    </row>
    <row r="3619" spans="1:1" s="427" customFormat="1" ht="12" hidden="1" customHeight="1">
      <c r="A3619" s="426"/>
    </row>
    <row r="3620" spans="1:1" s="427" customFormat="1" ht="12" hidden="1" customHeight="1">
      <c r="A3620" s="426"/>
    </row>
    <row r="3621" spans="1:1" s="427" customFormat="1" ht="12" hidden="1" customHeight="1">
      <c r="A3621" s="426"/>
    </row>
    <row r="3622" spans="1:1" s="427" customFormat="1" ht="12" hidden="1" customHeight="1">
      <c r="A3622" s="426"/>
    </row>
    <row r="3623" spans="1:1" s="427" customFormat="1" ht="12" hidden="1" customHeight="1">
      <c r="A3623" s="426"/>
    </row>
    <row r="3624" spans="1:1" s="427" customFormat="1" ht="12" hidden="1" customHeight="1">
      <c r="A3624" s="426"/>
    </row>
    <row r="3625" spans="1:1" s="427" customFormat="1" ht="12" hidden="1" customHeight="1">
      <c r="A3625" s="426"/>
    </row>
    <row r="3626" spans="1:1" s="427" customFormat="1" ht="12" hidden="1" customHeight="1">
      <c r="A3626" s="426"/>
    </row>
    <row r="3627" spans="1:1" s="427" customFormat="1" ht="12" hidden="1" customHeight="1">
      <c r="A3627" s="426"/>
    </row>
    <row r="3628" spans="1:1" s="427" customFormat="1" ht="12" hidden="1" customHeight="1">
      <c r="A3628" s="426"/>
    </row>
    <row r="3629" spans="1:1" s="427" customFormat="1" ht="12" hidden="1" customHeight="1">
      <c r="A3629" s="426"/>
    </row>
    <row r="3630" spans="1:1" s="427" customFormat="1" ht="12" hidden="1" customHeight="1">
      <c r="A3630" s="426"/>
    </row>
    <row r="3631" spans="1:1" s="427" customFormat="1" ht="12" hidden="1" customHeight="1">
      <c r="A3631" s="426"/>
    </row>
    <row r="3632" spans="1:1" s="427" customFormat="1" ht="12" hidden="1" customHeight="1">
      <c r="A3632" s="426"/>
    </row>
    <row r="3633" spans="1:1" s="427" customFormat="1" ht="12" hidden="1" customHeight="1">
      <c r="A3633" s="426"/>
    </row>
    <row r="3634" spans="1:1" s="427" customFormat="1" ht="12" hidden="1" customHeight="1">
      <c r="A3634" s="426"/>
    </row>
    <row r="3635" spans="1:1" s="427" customFormat="1" ht="12" hidden="1" customHeight="1">
      <c r="A3635" s="426"/>
    </row>
    <row r="3636" spans="1:1" s="427" customFormat="1" ht="12" hidden="1" customHeight="1">
      <c r="A3636" s="426"/>
    </row>
    <row r="3637" spans="1:1" s="427" customFormat="1" ht="12" hidden="1" customHeight="1">
      <c r="A3637" s="426"/>
    </row>
    <row r="3638" spans="1:1" s="427" customFormat="1" ht="12" hidden="1" customHeight="1">
      <c r="A3638" s="426"/>
    </row>
    <row r="3639" spans="1:1" s="427" customFormat="1" ht="12" hidden="1" customHeight="1">
      <c r="A3639" s="426"/>
    </row>
    <row r="3640" spans="1:1" s="427" customFormat="1" ht="12" hidden="1" customHeight="1">
      <c r="A3640" s="426"/>
    </row>
    <row r="3641" spans="1:1" s="427" customFormat="1" ht="12" hidden="1" customHeight="1">
      <c r="A3641" s="426"/>
    </row>
    <row r="3642" spans="1:1" s="427" customFormat="1" ht="12" hidden="1" customHeight="1">
      <c r="A3642" s="426"/>
    </row>
    <row r="3643" spans="1:1" s="427" customFormat="1" ht="12" hidden="1" customHeight="1">
      <c r="A3643" s="426"/>
    </row>
    <row r="3644" spans="1:1" s="427" customFormat="1" ht="12" hidden="1" customHeight="1">
      <c r="A3644" s="426"/>
    </row>
    <row r="3645" spans="1:1" s="427" customFormat="1" ht="12" hidden="1" customHeight="1">
      <c r="A3645" s="426"/>
    </row>
    <row r="3646" spans="1:1" s="427" customFormat="1" ht="12" hidden="1" customHeight="1">
      <c r="A3646" s="426"/>
    </row>
    <row r="3647" spans="1:1" s="427" customFormat="1" ht="12" hidden="1" customHeight="1">
      <c r="A3647" s="426"/>
    </row>
    <row r="3648" spans="1:1" s="427" customFormat="1" ht="12" hidden="1" customHeight="1">
      <c r="A3648" s="426"/>
    </row>
    <row r="3649" spans="1:1" s="427" customFormat="1" ht="12" hidden="1" customHeight="1">
      <c r="A3649" s="426"/>
    </row>
    <row r="3650" spans="1:1" s="427" customFormat="1" ht="12" hidden="1" customHeight="1">
      <c r="A3650" s="426"/>
    </row>
    <row r="3651" spans="1:1" s="427" customFormat="1" ht="12" hidden="1" customHeight="1">
      <c r="A3651" s="426"/>
    </row>
    <row r="3652" spans="1:1" s="427" customFormat="1" ht="12" hidden="1" customHeight="1">
      <c r="A3652" s="426"/>
    </row>
    <row r="3653" spans="1:1" s="427" customFormat="1" ht="12" hidden="1" customHeight="1">
      <c r="A3653" s="426"/>
    </row>
    <row r="3654" spans="1:1" s="427" customFormat="1" ht="12" hidden="1" customHeight="1">
      <c r="A3654" s="426"/>
    </row>
    <row r="3655" spans="1:1" s="427" customFormat="1" ht="12" hidden="1" customHeight="1">
      <c r="A3655" s="426"/>
    </row>
    <row r="3656" spans="1:1" s="427" customFormat="1" ht="12" hidden="1" customHeight="1">
      <c r="A3656" s="426"/>
    </row>
    <row r="3657" spans="1:1" s="427" customFormat="1" ht="12" hidden="1" customHeight="1">
      <c r="A3657" s="426"/>
    </row>
    <row r="3658" spans="1:1" s="427" customFormat="1" ht="12" hidden="1" customHeight="1">
      <c r="A3658" s="426"/>
    </row>
    <row r="3659" spans="1:1" s="427" customFormat="1" ht="12" hidden="1" customHeight="1">
      <c r="A3659" s="426"/>
    </row>
    <row r="3660" spans="1:1" s="427" customFormat="1" ht="12" hidden="1" customHeight="1">
      <c r="A3660" s="426"/>
    </row>
    <row r="3661" spans="1:1" s="427" customFormat="1" ht="12" hidden="1" customHeight="1">
      <c r="A3661" s="426"/>
    </row>
    <row r="3662" spans="1:1" s="427" customFormat="1" ht="12" hidden="1" customHeight="1">
      <c r="A3662" s="426"/>
    </row>
    <row r="3663" spans="1:1" s="427" customFormat="1" ht="12" hidden="1" customHeight="1">
      <c r="A3663" s="426"/>
    </row>
    <row r="3664" spans="1:1" s="427" customFormat="1" ht="12" hidden="1" customHeight="1">
      <c r="A3664" s="426"/>
    </row>
    <row r="3665" spans="1:1" s="427" customFormat="1" ht="12" hidden="1" customHeight="1">
      <c r="A3665" s="426"/>
    </row>
    <row r="3666" spans="1:1" s="427" customFormat="1" ht="12" hidden="1" customHeight="1">
      <c r="A3666" s="426"/>
    </row>
    <row r="3667" spans="1:1" s="427" customFormat="1" ht="12" hidden="1" customHeight="1">
      <c r="A3667" s="426"/>
    </row>
    <row r="3668" spans="1:1" s="427" customFormat="1" ht="12" hidden="1" customHeight="1">
      <c r="A3668" s="426"/>
    </row>
    <row r="3669" spans="1:1" s="427" customFormat="1" ht="12" hidden="1" customHeight="1">
      <c r="A3669" s="426"/>
    </row>
    <row r="3670" spans="1:1" s="427" customFormat="1" ht="12" hidden="1" customHeight="1">
      <c r="A3670" s="426"/>
    </row>
    <row r="3671" spans="1:1" s="427" customFormat="1" ht="12" hidden="1" customHeight="1">
      <c r="A3671" s="426"/>
    </row>
    <row r="3672" spans="1:1" s="427" customFormat="1" ht="12" hidden="1" customHeight="1">
      <c r="A3672" s="426"/>
    </row>
    <row r="3673" spans="1:1" s="427" customFormat="1" ht="12" hidden="1" customHeight="1">
      <c r="A3673" s="426"/>
    </row>
    <row r="3674" spans="1:1" s="427" customFormat="1" ht="12" hidden="1" customHeight="1">
      <c r="A3674" s="426"/>
    </row>
    <row r="3675" spans="1:1" s="427" customFormat="1" ht="12" hidden="1" customHeight="1">
      <c r="A3675" s="426"/>
    </row>
    <row r="3676" spans="1:1" s="427" customFormat="1" ht="12" hidden="1" customHeight="1">
      <c r="A3676" s="426"/>
    </row>
    <row r="3677" spans="1:1" s="427" customFormat="1" ht="12" hidden="1" customHeight="1">
      <c r="A3677" s="426"/>
    </row>
    <row r="3678" spans="1:1" s="427" customFormat="1" ht="12" hidden="1" customHeight="1">
      <c r="A3678" s="426"/>
    </row>
    <row r="3679" spans="1:1" s="427" customFormat="1" ht="12" hidden="1" customHeight="1">
      <c r="A3679" s="426"/>
    </row>
    <row r="3680" spans="1:1" s="427" customFormat="1" ht="12" hidden="1" customHeight="1">
      <c r="A3680" s="426"/>
    </row>
    <row r="3681" spans="1:1" s="427" customFormat="1" ht="12" hidden="1" customHeight="1">
      <c r="A3681" s="426"/>
    </row>
    <row r="3682" spans="1:1" s="427" customFormat="1" ht="12" hidden="1" customHeight="1">
      <c r="A3682" s="426"/>
    </row>
    <row r="3683" spans="1:1" s="427" customFormat="1" ht="12" hidden="1" customHeight="1">
      <c r="A3683" s="426"/>
    </row>
    <row r="3684" spans="1:1" s="427" customFormat="1" ht="12" hidden="1" customHeight="1">
      <c r="A3684" s="426"/>
    </row>
    <row r="3685" spans="1:1" s="427" customFormat="1" ht="12" hidden="1" customHeight="1">
      <c r="A3685" s="426"/>
    </row>
    <row r="3686" spans="1:1" s="427" customFormat="1" ht="12" hidden="1" customHeight="1">
      <c r="A3686" s="426"/>
    </row>
    <row r="3687" spans="1:1" s="427" customFormat="1" ht="12" hidden="1" customHeight="1">
      <c r="A3687" s="426"/>
    </row>
    <row r="3688" spans="1:1" s="427" customFormat="1" ht="12" hidden="1" customHeight="1">
      <c r="A3688" s="426"/>
    </row>
    <row r="3689" spans="1:1" s="427" customFormat="1" ht="12" hidden="1" customHeight="1">
      <c r="A3689" s="426"/>
    </row>
    <row r="3690" spans="1:1" s="427" customFormat="1" ht="12" hidden="1" customHeight="1">
      <c r="A3690" s="426"/>
    </row>
    <row r="3691" spans="1:1" s="427" customFormat="1" ht="12" hidden="1" customHeight="1">
      <c r="A3691" s="426"/>
    </row>
    <row r="3692" spans="1:1" s="427" customFormat="1" ht="12" hidden="1" customHeight="1">
      <c r="A3692" s="426"/>
    </row>
    <row r="3693" spans="1:1" s="427" customFormat="1" ht="12" hidden="1" customHeight="1">
      <c r="A3693" s="426"/>
    </row>
    <row r="3694" spans="1:1" s="427" customFormat="1" ht="12" hidden="1" customHeight="1">
      <c r="A3694" s="426"/>
    </row>
    <row r="3695" spans="1:1" s="427" customFormat="1" ht="12" hidden="1" customHeight="1">
      <c r="A3695" s="426"/>
    </row>
    <row r="3696" spans="1:1" s="427" customFormat="1" ht="12" hidden="1" customHeight="1">
      <c r="A3696" s="426"/>
    </row>
    <row r="3697" spans="1:1" s="427" customFormat="1" ht="12" hidden="1" customHeight="1">
      <c r="A3697" s="426"/>
    </row>
    <row r="3698" spans="1:1" s="427" customFormat="1" ht="12" hidden="1" customHeight="1">
      <c r="A3698" s="426"/>
    </row>
    <row r="3699" spans="1:1" s="427" customFormat="1" ht="12" hidden="1" customHeight="1">
      <c r="A3699" s="426"/>
    </row>
    <row r="3700" spans="1:1" s="427" customFormat="1" ht="12" hidden="1" customHeight="1">
      <c r="A3700" s="426"/>
    </row>
    <row r="3701" spans="1:1" s="427" customFormat="1" ht="12" hidden="1" customHeight="1">
      <c r="A3701" s="426"/>
    </row>
    <row r="3702" spans="1:1" s="427" customFormat="1" ht="12" hidden="1" customHeight="1">
      <c r="A3702" s="426"/>
    </row>
    <row r="3703" spans="1:1" s="427" customFormat="1" ht="12" hidden="1" customHeight="1">
      <c r="A3703" s="426"/>
    </row>
    <row r="3704" spans="1:1" s="427" customFormat="1" ht="12" hidden="1" customHeight="1">
      <c r="A3704" s="426"/>
    </row>
    <row r="3705" spans="1:1" s="427" customFormat="1" ht="12" hidden="1" customHeight="1">
      <c r="A3705" s="426"/>
    </row>
    <row r="3706" spans="1:1" s="427" customFormat="1" ht="12" hidden="1" customHeight="1">
      <c r="A3706" s="426"/>
    </row>
    <row r="3707" spans="1:1" s="427" customFormat="1" ht="12" hidden="1" customHeight="1">
      <c r="A3707" s="426"/>
    </row>
    <row r="3708" spans="1:1" s="427" customFormat="1" ht="12" hidden="1" customHeight="1">
      <c r="A3708" s="426"/>
    </row>
    <row r="3709" spans="1:1" s="427" customFormat="1" ht="12" hidden="1" customHeight="1">
      <c r="A3709" s="426"/>
    </row>
    <row r="3710" spans="1:1" s="427" customFormat="1" ht="12" hidden="1" customHeight="1">
      <c r="A3710" s="426"/>
    </row>
    <row r="3711" spans="1:1" s="427" customFormat="1" ht="12" hidden="1" customHeight="1">
      <c r="A3711" s="426"/>
    </row>
    <row r="3712" spans="1:1" s="427" customFormat="1" ht="12" hidden="1" customHeight="1">
      <c r="A3712" s="426"/>
    </row>
    <row r="3713" spans="1:1" s="427" customFormat="1" ht="12" hidden="1" customHeight="1">
      <c r="A3713" s="426"/>
    </row>
    <row r="3714" spans="1:1" s="427" customFormat="1" ht="12" hidden="1" customHeight="1">
      <c r="A3714" s="426"/>
    </row>
    <row r="3715" spans="1:1" s="427" customFormat="1" ht="12" hidden="1" customHeight="1">
      <c r="A3715" s="426"/>
    </row>
    <row r="3716" spans="1:1" s="427" customFormat="1" ht="12" hidden="1" customHeight="1">
      <c r="A3716" s="426"/>
    </row>
    <row r="3717" spans="1:1" s="427" customFormat="1" ht="12" hidden="1" customHeight="1">
      <c r="A3717" s="426"/>
    </row>
    <row r="3718" spans="1:1" s="427" customFormat="1" ht="12" hidden="1" customHeight="1">
      <c r="A3718" s="426"/>
    </row>
    <row r="3719" spans="1:1" s="427" customFormat="1" ht="12" hidden="1" customHeight="1">
      <c r="A3719" s="426"/>
    </row>
    <row r="3720" spans="1:1" s="427" customFormat="1" ht="12" hidden="1" customHeight="1">
      <c r="A3720" s="426"/>
    </row>
    <row r="3721" spans="1:1" s="427" customFormat="1" ht="12" hidden="1" customHeight="1">
      <c r="A3721" s="426"/>
    </row>
    <row r="3722" spans="1:1" s="427" customFormat="1" ht="12" hidden="1" customHeight="1">
      <c r="A3722" s="426"/>
    </row>
    <row r="3723" spans="1:1" s="427" customFormat="1" ht="12" hidden="1" customHeight="1">
      <c r="A3723" s="426"/>
    </row>
    <row r="3724" spans="1:1" s="427" customFormat="1" ht="12" hidden="1" customHeight="1">
      <c r="A3724" s="426"/>
    </row>
    <row r="3725" spans="1:1" s="427" customFormat="1" ht="12" hidden="1" customHeight="1">
      <c r="A3725" s="426"/>
    </row>
    <row r="3726" spans="1:1" s="427" customFormat="1" ht="12" hidden="1" customHeight="1">
      <c r="A3726" s="426"/>
    </row>
    <row r="3727" spans="1:1" s="427" customFormat="1" ht="12" hidden="1" customHeight="1">
      <c r="A3727" s="426"/>
    </row>
    <row r="3728" spans="1:1" s="427" customFormat="1" ht="12" hidden="1" customHeight="1">
      <c r="A3728" s="426"/>
    </row>
    <row r="3729" spans="1:1" s="427" customFormat="1" ht="12" hidden="1" customHeight="1">
      <c r="A3729" s="426"/>
    </row>
    <row r="3730" spans="1:1" s="427" customFormat="1" ht="12" hidden="1" customHeight="1">
      <c r="A3730" s="426"/>
    </row>
    <row r="3731" spans="1:1" s="427" customFormat="1" ht="12" hidden="1" customHeight="1">
      <c r="A3731" s="426"/>
    </row>
    <row r="3732" spans="1:1" s="427" customFormat="1" ht="12" hidden="1" customHeight="1">
      <c r="A3732" s="426"/>
    </row>
    <row r="3733" spans="1:1" s="427" customFormat="1" ht="12" hidden="1" customHeight="1">
      <c r="A3733" s="426"/>
    </row>
    <row r="3734" spans="1:1" s="427" customFormat="1" ht="12" hidden="1" customHeight="1">
      <c r="A3734" s="426"/>
    </row>
    <row r="3735" spans="1:1" s="427" customFormat="1" ht="12" hidden="1" customHeight="1">
      <c r="A3735" s="426"/>
    </row>
    <row r="3736" spans="1:1" s="427" customFormat="1" ht="12" hidden="1" customHeight="1">
      <c r="A3736" s="426"/>
    </row>
    <row r="3737" spans="1:1" s="427" customFormat="1" ht="12" hidden="1" customHeight="1">
      <c r="A3737" s="426"/>
    </row>
    <row r="3738" spans="1:1" s="427" customFormat="1" ht="12" hidden="1" customHeight="1">
      <c r="A3738" s="426"/>
    </row>
    <row r="3739" spans="1:1" s="427" customFormat="1" ht="12" hidden="1" customHeight="1">
      <c r="A3739" s="426"/>
    </row>
    <row r="3740" spans="1:1" s="427" customFormat="1" ht="12" hidden="1" customHeight="1">
      <c r="A3740" s="426"/>
    </row>
    <row r="3741" spans="1:1" s="427" customFormat="1" ht="12" hidden="1" customHeight="1">
      <c r="A3741" s="426"/>
    </row>
    <row r="3742" spans="1:1" s="427" customFormat="1" ht="12" hidden="1" customHeight="1">
      <c r="A3742" s="426"/>
    </row>
    <row r="3743" spans="1:1" s="427" customFormat="1" ht="12" hidden="1" customHeight="1">
      <c r="A3743" s="426"/>
    </row>
    <row r="3744" spans="1:1" s="427" customFormat="1" ht="12" hidden="1" customHeight="1">
      <c r="A3744" s="426"/>
    </row>
    <row r="3745" spans="1:1" s="427" customFormat="1" ht="12" hidden="1" customHeight="1">
      <c r="A3745" s="426"/>
    </row>
    <row r="3746" spans="1:1" s="427" customFormat="1" ht="12" hidden="1" customHeight="1">
      <c r="A3746" s="426"/>
    </row>
    <row r="3747" spans="1:1" s="427" customFormat="1" ht="12" hidden="1" customHeight="1">
      <c r="A3747" s="426"/>
    </row>
    <row r="3748" spans="1:1" s="427" customFormat="1" ht="12" hidden="1" customHeight="1">
      <c r="A3748" s="426"/>
    </row>
    <row r="3749" spans="1:1" s="427" customFormat="1" ht="12" hidden="1" customHeight="1">
      <c r="A3749" s="426"/>
    </row>
    <row r="3750" spans="1:1" s="427" customFormat="1" ht="12" hidden="1" customHeight="1">
      <c r="A3750" s="426"/>
    </row>
    <row r="3751" spans="1:1" s="427" customFormat="1" ht="12" hidden="1" customHeight="1">
      <c r="A3751" s="426"/>
    </row>
    <row r="3752" spans="1:1" s="427" customFormat="1" ht="12" hidden="1" customHeight="1">
      <c r="A3752" s="426"/>
    </row>
    <row r="3753" spans="1:1" s="427" customFormat="1" ht="12" hidden="1" customHeight="1">
      <c r="A3753" s="426"/>
    </row>
    <row r="3754" spans="1:1" s="427" customFormat="1" ht="12" hidden="1" customHeight="1">
      <c r="A3754" s="426"/>
    </row>
    <row r="3755" spans="1:1" s="427" customFormat="1" ht="12" hidden="1" customHeight="1">
      <c r="A3755" s="426"/>
    </row>
    <row r="3756" spans="1:1" s="427" customFormat="1" ht="12" hidden="1" customHeight="1">
      <c r="A3756" s="426"/>
    </row>
    <row r="3757" spans="1:1" s="427" customFormat="1" ht="12" hidden="1" customHeight="1">
      <c r="A3757" s="426"/>
    </row>
    <row r="3758" spans="1:1" s="427" customFormat="1" ht="12" hidden="1" customHeight="1">
      <c r="A3758" s="426"/>
    </row>
    <row r="3759" spans="1:1" s="427" customFormat="1" ht="12" hidden="1" customHeight="1">
      <c r="A3759" s="426"/>
    </row>
    <row r="3760" spans="1:1" s="427" customFormat="1" ht="12" hidden="1" customHeight="1">
      <c r="A3760" s="426"/>
    </row>
    <row r="3761" spans="1:1" s="427" customFormat="1" ht="12" hidden="1" customHeight="1">
      <c r="A3761" s="426"/>
    </row>
    <row r="3762" spans="1:1" s="427" customFormat="1" ht="12" hidden="1" customHeight="1">
      <c r="A3762" s="426"/>
    </row>
    <row r="3763" spans="1:1" s="427" customFormat="1" ht="12" hidden="1" customHeight="1">
      <c r="A3763" s="426"/>
    </row>
    <row r="3764" spans="1:1" s="427" customFormat="1" ht="12" hidden="1" customHeight="1">
      <c r="A3764" s="426"/>
    </row>
    <row r="3765" spans="1:1" s="427" customFormat="1" ht="12" hidden="1" customHeight="1">
      <c r="A3765" s="426"/>
    </row>
    <row r="3766" spans="1:1" s="427" customFormat="1" ht="12" hidden="1" customHeight="1">
      <c r="A3766" s="426"/>
    </row>
    <row r="3767" spans="1:1" s="427" customFormat="1" ht="12" hidden="1" customHeight="1">
      <c r="A3767" s="426"/>
    </row>
    <row r="3768" spans="1:1" s="427" customFormat="1" ht="12" hidden="1" customHeight="1">
      <c r="A3768" s="426"/>
    </row>
    <row r="3769" spans="1:1" s="427" customFormat="1" ht="12" hidden="1" customHeight="1">
      <c r="A3769" s="426"/>
    </row>
    <row r="3770" spans="1:1" s="427" customFormat="1" ht="12" hidden="1" customHeight="1">
      <c r="A3770" s="426"/>
    </row>
    <row r="3771" spans="1:1" s="427" customFormat="1" ht="12" hidden="1" customHeight="1">
      <c r="A3771" s="426"/>
    </row>
    <row r="3772" spans="1:1" s="427" customFormat="1" ht="12" hidden="1" customHeight="1">
      <c r="A3772" s="426"/>
    </row>
    <row r="3773" spans="1:1" s="427" customFormat="1" ht="12" hidden="1" customHeight="1">
      <c r="A3773" s="426"/>
    </row>
    <row r="3774" spans="1:1" s="427" customFormat="1" ht="12" hidden="1" customHeight="1">
      <c r="A3774" s="426"/>
    </row>
    <row r="3775" spans="1:1" s="427" customFormat="1" ht="12" hidden="1" customHeight="1">
      <c r="A3775" s="426"/>
    </row>
    <row r="3776" spans="1:1" s="427" customFormat="1" ht="12" hidden="1" customHeight="1">
      <c r="A3776" s="426"/>
    </row>
    <row r="3777" spans="1:1" s="427" customFormat="1" ht="12" hidden="1" customHeight="1">
      <c r="A3777" s="426"/>
    </row>
    <row r="3778" spans="1:1" s="427" customFormat="1" ht="12" hidden="1" customHeight="1">
      <c r="A3778" s="426"/>
    </row>
    <row r="3779" spans="1:1" s="427" customFormat="1" ht="12" hidden="1" customHeight="1">
      <c r="A3779" s="426"/>
    </row>
    <row r="3780" spans="1:1" s="427" customFormat="1" ht="12" hidden="1" customHeight="1">
      <c r="A3780" s="426"/>
    </row>
    <row r="3781" spans="1:1" s="427" customFormat="1" ht="12" hidden="1" customHeight="1">
      <c r="A3781" s="426"/>
    </row>
    <row r="3782" spans="1:1" s="427" customFormat="1" ht="12" hidden="1" customHeight="1">
      <c r="A3782" s="426"/>
    </row>
    <row r="3783" spans="1:1" s="427" customFormat="1" ht="12" hidden="1" customHeight="1">
      <c r="A3783" s="426"/>
    </row>
    <row r="3784" spans="1:1" s="427" customFormat="1" ht="12" hidden="1" customHeight="1">
      <c r="A3784" s="426"/>
    </row>
    <row r="3785" spans="1:1" s="427" customFormat="1" ht="12" hidden="1" customHeight="1">
      <c r="A3785" s="426"/>
    </row>
    <row r="3786" spans="1:1" s="427" customFormat="1" ht="12" hidden="1" customHeight="1">
      <c r="A3786" s="426"/>
    </row>
    <row r="3787" spans="1:1" s="427" customFormat="1" ht="12" hidden="1" customHeight="1">
      <c r="A3787" s="426"/>
    </row>
    <row r="3788" spans="1:1" s="427" customFormat="1" ht="12" hidden="1" customHeight="1">
      <c r="A3788" s="426"/>
    </row>
    <row r="3789" spans="1:1" s="427" customFormat="1" ht="12" hidden="1" customHeight="1">
      <c r="A3789" s="426"/>
    </row>
    <row r="3790" spans="1:1" s="427" customFormat="1" ht="12" hidden="1" customHeight="1">
      <c r="A3790" s="426"/>
    </row>
    <row r="3791" spans="1:1" s="427" customFormat="1" ht="12" hidden="1" customHeight="1">
      <c r="A3791" s="426"/>
    </row>
    <row r="3792" spans="1:1" s="427" customFormat="1" ht="12" hidden="1" customHeight="1">
      <c r="A3792" s="426"/>
    </row>
    <row r="3793" spans="1:1" s="427" customFormat="1" ht="12" hidden="1" customHeight="1">
      <c r="A3793" s="426"/>
    </row>
    <row r="3794" spans="1:1" s="427" customFormat="1" ht="12" hidden="1" customHeight="1">
      <c r="A3794" s="426"/>
    </row>
    <row r="3795" spans="1:1" s="427" customFormat="1" ht="12" hidden="1" customHeight="1">
      <c r="A3795" s="426"/>
    </row>
    <row r="3796" spans="1:1" s="427" customFormat="1" ht="12" hidden="1" customHeight="1">
      <c r="A3796" s="426"/>
    </row>
    <row r="3797" spans="1:1" s="427" customFormat="1" ht="12" hidden="1" customHeight="1">
      <c r="A3797" s="426"/>
    </row>
    <row r="3798" spans="1:1" s="427" customFormat="1" ht="12" hidden="1" customHeight="1">
      <c r="A3798" s="426"/>
    </row>
    <row r="3799" spans="1:1" s="427" customFormat="1" ht="12" hidden="1" customHeight="1">
      <c r="A3799" s="426"/>
    </row>
    <row r="3800" spans="1:1" s="427" customFormat="1" ht="12" hidden="1" customHeight="1">
      <c r="A3800" s="426"/>
    </row>
    <row r="3801" spans="1:1" s="427" customFormat="1" ht="12" hidden="1" customHeight="1">
      <c r="A3801" s="426"/>
    </row>
    <row r="3802" spans="1:1" s="427" customFormat="1" ht="12" hidden="1" customHeight="1">
      <c r="A3802" s="426"/>
    </row>
    <row r="3803" spans="1:1" s="427" customFormat="1" ht="12" hidden="1" customHeight="1">
      <c r="A3803" s="426"/>
    </row>
    <row r="3804" spans="1:1" s="427" customFormat="1" ht="12" hidden="1" customHeight="1">
      <c r="A3804" s="426"/>
    </row>
    <row r="3805" spans="1:1" s="427" customFormat="1" ht="12" hidden="1" customHeight="1">
      <c r="A3805" s="426"/>
    </row>
    <row r="3806" spans="1:1" s="427" customFormat="1" ht="12" hidden="1" customHeight="1">
      <c r="A3806" s="426"/>
    </row>
    <row r="3807" spans="1:1" s="427" customFormat="1" ht="12" hidden="1" customHeight="1">
      <c r="A3807" s="426"/>
    </row>
    <row r="3808" spans="1:1" s="427" customFormat="1" ht="12" hidden="1" customHeight="1">
      <c r="A3808" s="426"/>
    </row>
    <row r="3809" spans="1:1" s="427" customFormat="1" ht="12" hidden="1" customHeight="1">
      <c r="A3809" s="426"/>
    </row>
    <row r="3810" spans="1:1" s="427" customFormat="1" ht="12" hidden="1" customHeight="1">
      <c r="A3810" s="426"/>
    </row>
    <row r="3811" spans="1:1" s="427" customFormat="1" ht="12" hidden="1" customHeight="1">
      <c r="A3811" s="426"/>
    </row>
    <row r="3812" spans="1:1" s="427" customFormat="1" ht="12" hidden="1" customHeight="1">
      <c r="A3812" s="426"/>
    </row>
    <row r="3813" spans="1:1" s="427" customFormat="1" ht="12" hidden="1" customHeight="1">
      <c r="A3813" s="426"/>
    </row>
    <row r="3814" spans="1:1" s="427" customFormat="1" ht="12" hidden="1" customHeight="1">
      <c r="A3814" s="426"/>
    </row>
    <row r="3815" spans="1:1" s="427" customFormat="1" ht="12" hidden="1" customHeight="1">
      <c r="A3815" s="426"/>
    </row>
    <row r="3816" spans="1:1" s="427" customFormat="1" ht="12" hidden="1" customHeight="1">
      <c r="A3816" s="426"/>
    </row>
    <row r="3817" spans="1:1" s="427" customFormat="1" ht="12" hidden="1" customHeight="1">
      <c r="A3817" s="426"/>
    </row>
    <row r="3818" spans="1:1" s="427" customFormat="1" ht="12" hidden="1" customHeight="1">
      <c r="A3818" s="426"/>
    </row>
    <row r="3819" spans="1:1" s="427" customFormat="1" ht="12" hidden="1" customHeight="1">
      <c r="A3819" s="426"/>
    </row>
    <row r="3820" spans="1:1" s="427" customFormat="1" ht="12" hidden="1" customHeight="1">
      <c r="A3820" s="426"/>
    </row>
    <row r="3821" spans="1:1" s="427" customFormat="1" ht="12" hidden="1" customHeight="1">
      <c r="A3821" s="426"/>
    </row>
    <row r="3822" spans="1:1" s="427" customFormat="1" ht="12" hidden="1" customHeight="1">
      <c r="A3822" s="426"/>
    </row>
    <row r="3823" spans="1:1" s="427" customFormat="1" ht="12" hidden="1" customHeight="1">
      <c r="A3823" s="426"/>
    </row>
    <row r="3824" spans="1:1" s="427" customFormat="1" ht="12" hidden="1" customHeight="1">
      <c r="A3824" s="426"/>
    </row>
    <row r="3825" spans="1:1" s="427" customFormat="1" ht="12" hidden="1" customHeight="1">
      <c r="A3825" s="426"/>
    </row>
    <row r="3826" spans="1:1" s="427" customFormat="1" ht="12" hidden="1" customHeight="1">
      <c r="A3826" s="426"/>
    </row>
    <row r="3827" spans="1:1" s="427" customFormat="1" ht="12" hidden="1" customHeight="1">
      <c r="A3827" s="426"/>
    </row>
    <row r="3828" spans="1:1" s="427" customFormat="1" ht="12" hidden="1" customHeight="1">
      <c r="A3828" s="426"/>
    </row>
    <row r="3829" spans="1:1" s="427" customFormat="1" ht="12" hidden="1" customHeight="1">
      <c r="A3829" s="426"/>
    </row>
    <row r="3830" spans="1:1" s="427" customFormat="1" ht="12" hidden="1" customHeight="1">
      <c r="A3830" s="426"/>
    </row>
    <row r="3831" spans="1:1" s="427" customFormat="1" ht="12" hidden="1" customHeight="1">
      <c r="A3831" s="426"/>
    </row>
    <row r="3832" spans="1:1" s="427" customFormat="1" ht="12" hidden="1" customHeight="1">
      <c r="A3832" s="426"/>
    </row>
    <row r="3833" spans="1:1" s="427" customFormat="1" ht="12" hidden="1" customHeight="1">
      <c r="A3833" s="426"/>
    </row>
    <row r="3834" spans="1:1" s="427" customFormat="1" ht="12" hidden="1" customHeight="1">
      <c r="A3834" s="426"/>
    </row>
    <row r="3835" spans="1:1" s="427" customFormat="1" ht="12" hidden="1" customHeight="1">
      <c r="A3835" s="426"/>
    </row>
    <row r="3836" spans="1:1" s="427" customFormat="1" ht="12" hidden="1" customHeight="1">
      <c r="A3836" s="426"/>
    </row>
    <row r="3837" spans="1:1" s="427" customFormat="1" ht="12" hidden="1" customHeight="1">
      <c r="A3837" s="426"/>
    </row>
    <row r="3838" spans="1:1" s="427" customFormat="1" ht="12" hidden="1" customHeight="1">
      <c r="A3838" s="426"/>
    </row>
    <row r="3839" spans="1:1" s="427" customFormat="1" ht="12" hidden="1" customHeight="1">
      <c r="A3839" s="426"/>
    </row>
    <row r="3840" spans="1:1" s="427" customFormat="1" ht="12" hidden="1" customHeight="1">
      <c r="A3840" s="426"/>
    </row>
    <row r="3841" spans="1:1" s="427" customFormat="1" ht="12" hidden="1" customHeight="1">
      <c r="A3841" s="426"/>
    </row>
    <row r="3842" spans="1:1" s="427" customFormat="1" ht="12" hidden="1" customHeight="1">
      <c r="A3842" s="426"/>
    </row>
    <row r="3843" spans="1:1" s="427" customFormat="1" ht="12" hidden="1" customHeight="1">
      <c r="A3843" s="426"/>
    </row>
    <row r="3844" spans="1:1" s="427" customFormat="1" ht="12" hidden="1" customHeight="1">
      <c r="A3844" s="426"/>
    </row>
    <row r="3845" spans="1:1" s="427" customFormat="1" ht="12" hidden="1" customHeight="1">
      <c r="A3845" s="426"/>
    </row>
    <row r="3846" spans="1:1" s="427" customFormat="1" ht="12" hidden="1" customHeight="1">
      <c r="A3846" s="426"/>
    </row>
    <row r="3847" spans="1:1" s="427" customFormat="1" ht="12" hidden="1" customHeight="1">
      <c r="A3847" s="426"/>
    </row>
    <row r="3848" spans="1:1" s="427" customFormat="1" ht="12" hidden="1" customHeight="1">
      <c r="A3848" s="426"/>
    </row>
    <row r="3849" spans="1:1" s="427" customFormat="1" ht="12" hidden="1" customHeight="1">
      <c r="A3849" s="426"/>
    </row>
    <row r="3850" spans="1:1" s="427" customFormat="1" ht="12" hidden="1" customHeight="1">
      <c r="A3850" s="426"/>
    </row>
    <row r="3851" spans="1:1" s="427" customFormat="1" ht="12" hidden="1" customHeight="1">
      <c r="A3851" s="426"/>
    </row>
    <row r="3852" spans="1:1" s="427" customFormat="1" ht="12" hidden="1" customHeight="1">
      <c r="A3852" s="426"/>
    </row>
    <row r="3853" spans="1:1" s="427" customFormat="1" ht="12" hidden="1" customHeight="1">
      <c r="A3853" s="426"/>
    </row>
    <row r="3854" spans="1:1" s="427" customFormat="1" ht="12" hidden="1" customHeight="1">
      <c r="A3854" s="426"/>
    </row>
    <row r="3855" spans="1:1" s="427" customFormat="1" ht="12" hidden="1" customHeight="1">
      <c r="A3855" s="426"/>
    </row>
    <row r="3856" spans="1:1" s="427" customFormat="1" ht="12" hidden="1" customHeight="1">
      <c r="A3856" s="426"/>
    </row>
    <row r="3857" spans="1:1" s="427" customFormat="1" ht="12" hidden="1" customHeight="1">
      <c r="A3857" s="426"/>
    </row>
    <row r="3858" spans="1:1" s="427" customFormat="1" ht="12" hidden="1" customHeight="1">
      <c r="A3858" s="426"/>
    </row>
    <row r="3859" spans="1:1" s="427" customFormat="1" ht="12" hidden="1" customHeight="1">
      <c r="A3859" s="426"/>
    </row>
    <row r="3860" spans="1:1" s="427" customFormat="1" ht="12" hidden="1" customHeight="1">
      <c r="A3860" s="426"/>
    </row>
    <row r="3861" spans="1:1" s="427" customFormat="1" ht="12" hidden="1" customHeight="1">
      <c r="A3861" s="426"/>
    </row>
    <row r="3862" spans="1:1" s="427" customFormat="1" ht="12" hidden="1" customHeight="1">
      <c r="A3862" s="426"/>
    </row>
    <row r="3863" spans="1:1" s="427" customFormat="1" ht="12" hidden="1" customHeight="1">
      <c r="A3863" s="426"/>
    </row>
    <row r="3864" spans="1:1" s="427" customFormat="1" ht="12" hidden="1" customHeight="1">
      <c r="A3864" s="426"/>
    </row>
    <row r="3865" spans="1:1" s="427" customFormat="1" ht="12" hidden="1" customHeight="1">
      <c r="A3865" s="426"/>
    </row>
    <row r="3866" spans="1:1" s="427" customFormat="1" ht="12" hidden="1" customHeight="1">
      <c r="A3866" s="426"/>
    </row>
    <row r="3867" spans="1:1" s="427" customFormat="1" ht="12" hidden="1" customHeight="1">
      <c r="A3867" s="426"/>
    </row>
    <row r="3868" spans="1:1" s="427" customFormat="1" ht="12" hidden="1" customHeight="1">
      <c r="A3868" s="426"/>
    </row>
    <row r="3869" spans="1:1" s="427" customFormat="1" ht="12" hidden="1" customHeight="1">
      <c r="A3869" s="426"/>
    </row>
    <row r="3870" spans="1:1" s="427" customFormat="1" ht="12" hidden="1" customHeight="1">
      <c r="A3870" s="426"/>
    </row>
    <row r="3871" spans="1:1" s="427" customFormat="1" ht="12" hidden="1" customHeight="1">
      <c r="A3871" s="426"/>
    </row>
    <row r="3872" spans="1:1" s="427" customFormat="1" ht="12" hidden="1" customHeight="1">
      <c r="A3872" s="426"/>
    </row>
    <row r="3873" spans="1:1" s="427" customFormat="1" ht="12" hidden="1" customHeight="1">
      <c r="A3873" s="426"/>
    </row>
    <row r="3874" spans="1:1" s="427" customFormat="1" ht="12" hidden="1" customHeight="1">
      <c r="A3874" s="426"/>
    </row>
    <row r="3875" spans="1:1" s="427" customFormat="1" ht="12" hidden="1" customHeight="1">
      <c r="A3875" s="426"/>
    </row>
    <row r="3876" spans="1:1" s="427" customFormat="1" ht="12" hidden="1" customHeight="1">
      <c r="A3876" s="426"/>
    </row>
    <row r="3877" spans="1:1" s="427" customFormat="1" ht="12" hidden="1" customHeight="1">
      <c r="A3877" s="426"/>
    </row>
    <row r="3878" spans="1:1" s="427" customFormat="1" ht="12" hidden="1" customHeight="1">
      <c r="A3878" s="426"/>
    </row>
    <row r="3879" spans="1:1" s="427" customFormat="1" ht="12" hidden="1" customHeight="1">
      <c r="A3879" s="426"/>
    </row>
    <row r="3880" spans="1:1" s="427" customFormat="1" ht="12" hidden="1" customHeight="1">
      <c r="A3880" s="426"/>
    </row>
    <row r="3881" spans="1:1" s="427" customFormat="1" ht="12" hidden="1" customHeight="1">
      <c r="A3881" s="426"/>
    </row>
    <row r="3882" spans="1:1" s="427" customFormat="1" ht="12" hidden="1" customHeight="1">
      <c r="A3882" s="426"/>
    </row>
    <row r="3883" spans="1:1" s="427" customFormat="1" ht="12" hidden="1" customHeight="1">
      <c r="A3883" s="426"/>
    </row>
    <row r="3884" spans="1:1" s="427" customFormat="1" ht="12" hidden="1" customHeight="1">
      <c r="A3884" s="426"/>
    </row>
    <row r="3885" spans="1:1" s="427" customFormat="1" ht="12" hidden="1" customHeight="1">
      <c r="A3885" s="426"/>
    </row>
    <row r="3886" spans="1:1" s="427" customFormat="1" ht="12" hidden="1" customHeight="1">
      <c r="A3886" s="426"/>
    </row>
    <row r="3887" spans="1:1" s="427" customFormat="1" ht="12" hidden="1" customHeight="1">
      <c r="A3887" s="426"/>
    </row>
    <row r="3888" spans="1:1" s="427" customFormat="1" ht="12" hidden="1" customHeight="1">
      <c r="A3888" s="426"/>
    </row>
    <row r="3889" spans="1:1" s="427" customFormat="1" ht="12" hidden="1" customHeight="1">
      <c r="A3889" s="426"/>
    </row>
    <row r="3890" spans="1:1" s="427" customFormat="1" ht="12" hidden="1" customHeight="1">
      <c r="A3890" s="426"/>
    </row>
    <row r="3891" spans="1:1" s="427" customFormat="1" ht="12" hidden="1" customHeight="1">
      <c r="A3891" s="426"/>
    </row>
    <row r="3892" spans="1:1" s="427" customFormat="1" ht="12" hidden="1" customHeight="1">
      <c r="A3892" s="426"/>
    </row>
    <row r="3893" spans="1:1" s="427" customFormat="1" ht="12" hidden="1" customHeight="1">
      <c r="A3893" s="426"/>
    </row>
    <row r="3894" spans="1:1" s="427" customFormat="1" ht="12" hidden="1" customHeight="1">
      <c r="A3894" s="426"/>
    </row>
    <row r="3895" spans="1:1" s="427" customFormat="1" ht="12" hidden="1" customHeight="1">
      <c r="A3895" s="426"/>
    </row>
    <row r="3896" spans="1:1" s="427" customFormat="1" ht="12" hidden="1" customHeight="1">
      <c r="A3896" s="426"/>
    </row>
    <row r="3897" spans="1:1" s="427" customFormat="1" ht="12" hidden="1" customHeight="1">
      <c r="A3897" s="426"/>
    </row>
    <row r="3898" spans="1:1" s="427" customFormat="1" ht="12" hidden="1" customHeight="1">
      <c r="A3898" s="426"/>
    </row>
    <row r="3899" spans="1:1" s="427" customFormat="1" ht="12" hidden="1" customHeight="1">
      <c r="A3899" s="426"/>
    </row>
    <row r="3900" spans="1:1" s="427" customFormat="1" ht="12" hidden="1" customHeight="1">
      <c r="A3900" s="426"/>
    </row>
    <row r="3901" spans="1:1" s="427" customFormat="1" ht="12" hidden="1" customHeight="1">
      <c r="A3901" s="426"/>
    </row>
    <row r="3902" spans="1:1" s="427" customFormat="1" ht="12" hidden="1" customHeight="1">
      <c r="A3902" s="426"/>
    </row>
    <row r="3903" spans="1:1" s="427" customFormat="1" ht="12" hidden="1" customHeight="1">
      <c r="A3903" s="426"/>
    </row>
    <row r="3904" spans="1:1" s="427" customFormat="1" ht="12" hidden="1" customHeight="1">
      <c r="A3904" s="426"/>
    </row>
    <row r="3905" spans="1:1" s="427" customFormat="1" ht="12" hidden="1" customHeight="1">
      <c r="A3905" s="426"/>
    </row>
    <row r="3906" spans="1:1" s="427" customFormat="1" ht="12" hidden="1" customHeight="1">
      <c r="A3906" s="426"/>
    </row>
    <row r="3907" spans="1:1" s="427" customFormat="1" ht="12" hidden="1" customHeight="1">
      <c r="A3907" s="426"/>
    </row>
    <row r="3908" spans="1:1" s="427" customFormat="1" ht="12" hidden="1" customHeight="1">
      <c r="A3908" s="426"/>
    </row>
    <row r="3909" spans="1:1" s="427" customFormat="1" ht="12" hidden="1" customHeight="1">
      <c r="A3909" s="426"/>
    </row>
    <row r="3910" spans="1:1" s="427" customFormat="1" ht="12" hidden="1" customHeight="1">
      <c r="A3910" s="426"/>
    </row>
    <row r="3911" spans="1:1" s="427" customFormat="1" ht="12" hidden="1" customHeight="1">
      <c r="A3911" s="426"/>
    </row>
    <row r="3912" spans="1:1" s="427" customFormat="1" ht="12" hidden="1" customHeight="1">
      <c r="A3912" s="426"/>
    </row>
    <row r="3913" spans="1:1" s="427" customFormat="1" ht="12" hidden="1" customHeight="1">
      <c r="A3913" s="426"/>
    </row>
    <row r="3914" spans="1:1" s="427" customFormat="1" ht="12" hidden="1" customHeight="1">
      <c r="A3914" s="426"/>
    </row>
    <row r="3915" spans="1:1" s="427" customFormat="1" ht="12" hidden="1" customHeight="1">
      <c r="A3915" s="426"/>
    </row>
    <row r="3916" spans="1:1" s="427" customFormat="1" ht="12" hidden="1" customHeight="1">
      <c r="A3916" s="426"/>
    </row>
    <row r="3917" spans="1:1" s="427" customFormat="1" ht="12" hidden="1" customHeight="1">
      <c r="A3917" s="426"/>
    </row>
    <row r="3918" spans="1:1" s="427" customFormat="1" ht="12" hidden="1" customHeight="1">
      <c r="A3918" s="426"/>
    </row>
    <row r="3919" spans="1:1" s="427" customFormat="1" ht="12" hidden="1" customHeight="1">
      <c r="A3919" s="426"/>
    </row>
    <row r="3920" spans="1:1" s="427" customFormat="1" ht="12" hidden="1" customHeight="1">
      <c r="A3920" s="426"/>
    </row>
    <row r="3921" spans="1:1" s="427" customFormat="1" ht="12" hidden="1" customHeight="1">
      <c r="A3921" s="426"/>
    </row>
    <row r="3922" spans="1:1" s="427" customFormat="1" ht="12" hidden="1" customHeight="1">
      <c r="A3922" s="426"/>
    </row>
    <row r="3923" spans="1:1" s="427" customFormat="1" ht="12" hidden="1" customHeight="1">
      <c r="A3923" s="426"/>
    </row>
    <row r="3924" spans="1:1" s="427" customFormat="1" ht="12" hidden="1" customHeight="1">
      <c r="A3924" s="426"/>
    </row>
    <row r="3925" spans="1:1" s="427" customFormat="1" ht="12" hidden="1" customHeight="1">
      <c r="A3925" s="426"/>
    </row>
    <row r="3926" spans="1:1" s="427" customFormat="1" ht="12" hidden="1" customHeight="1">
      <c r="A3926" s="426"/>
    </row>
    <row r="3927" spans="1:1" s="427" customFormat="1" ht="12" hidden="1" customHeight="1">
      <c r="A3927" s="426"/>
    </row>
    <row r="3928" spans="1:1" s="427" customFormat="1" ht="12" hidden="1" customHeight="1">
      <c r="A3928" s="426"/>
    </row>
    <row r="3929" spans="1:1" s="427" customFormat="1" ht="12" hidden="1" customHeight="1">
      <c r="A3929" s="426"/>
    </row>
    <row r="3930" spans="1:1" s="427" customFormat="1" ht="12" hidden="1" customHeight="1">
      <c r="A3930" s="426"/>
    </row>
    <row r="3931" spans="1:1" s="427" customFormat="1" ht="12" hidden="1" customHeight="1">
      <c r="A3931" s="426"/>
    </row>
    <row r="3932" spans="1:1" s="427" customFormat="1" ht="12" hidden="1" customHeight="1">
      <c r="A3932" s="426"/>
    </row>
    <row r="3933" spans="1:1" s="427" customFormat="1" ht="12" hidden="1" customHeight="1">
      <c r="A3933" s="426"/>
    </row>
    <row r="3934" spans="1:1" s="427" customFormat="1" ht="12" hidden="1" customHeight="1">
      <c r="A3934" s="426"/>
    </row>
    <row r="3935" spans="1:1" s="427" customFormat="1" ht="12" hidden="1" customHeight="1">
      <c r="A3935" s="426"/>
    </row>
    <row r="3936" spans="1:1" s="427" customFormat="1" ht="12" hidden="1" customHeight="1">
      <c r="A3936" s="426"/>
    </row>
    <row r="3937" spans="1:1" s="427" customFormat="1" ht="12" hidden="1" customHeight="1">
      <c r="A3937" s="426"/>
    </row>
    <row r="3938" spans="1:1" s="427" customFormat="1" ht="12" hidden="1" customHeight="1">
      <c r="A3938" s="426"/>
    </row>
    <row r="3939" spans="1:1" s="427" customFormat="1" ht="12" hidden="1" customHeight="1">
      <c r="A3939" s="426"/>
    </row>
    <row r="3940" spans="1:1" s="427" customFormat="1" ht="12" hidden="1" customHeight="1">
      <c r="A3940" s="426"/>
    </row>
    <row r="3941" spans="1:1" s="427" customFormat="1" ht="12" hidden="1" customHeight="1">
      <c r="A3941" s="426"/>
    </row>
    <row r="3942" spans="1:1" s="427" customFormat="1" ht="12" hidden="1" customHeight="1">
      <c r="A3942" s="426"/>
    </row>
    <row r="3943" spans="1:1" s="427" customFormat="1" ht="12" hidden="1" customHeight="1">
      <c r="A3943" s="426"/>
    </row>
    <row r="3944" spans="1:1" s="427" customFormat="1" ht="12" hidden="1" customHeight="1">
      <c r="A3944" s="426"/>
    </row>
    <row r="3945" spans="1:1" s="427" customFormat="1" ht="12" hidden="1" customHeight="1">
      <c r="A3945" s="426"/>
    </row>
    <row r="3946" spans="1:1" s="427" customFormat="1" ht="12" hidden="1" customHeight="1">
      <c r="A3946" s="426"/>
    </row>
    <row r="3947" spans="1:1" s="427" customFormat="1" ht="12" hidden="1" customHeight="1">
      <c r="A3947" s="426"/>
    </row>
    <row r="3948" spans="1:1" s="427" customFormat="1" ht="12" hidden="1" customHeight="1">
      <c r="A3948" s="426"/>
    </row>
    <row r="3949" spans="1:1" s="427" customFormat="1" ht="12" hidden="1" customHeight="1">
      <c r="A3949" s="426"/>
    </row>
    <row r="3950" spans="1:1" s="427" customFormat="1" ht="12" hidden="1" customHeight="1">
      <c r="A3950" s="426"/>
    </row>
    <row r="3951" spans="1:1" s="427" customFormat="1" ht="12" hidden="1" customHeight="1">
      <c r="A3951" s="426"/>
    </row>
    <row r="3952" spans="1:1" s="427" customFormat="1" ht="12" hidden="1" customHeight="1">
      <c r="A3952" s="426"/>
    </row>
    <row r="3953" spans="1:1" s="427" customFormat="1" ht="12" hidden="1" customHeight="1">
      <c r="A3953" s="426"/>
    </row>
    <row r="3954" spans="1:1" s="427" customFormat="1" ht="12" hidden="1" customHeight="1">
      <c r="A3954" s="426"/>
    </row>
    <row r="3955" spans="1:1" s="427" customFormat="1" ht="12" hidden="1" customHeight="1">
      <c r="A3955" s="426"/>
    </row>
    <row r="3956" spans="1:1" s="427" customFormat="1" ht="12" hidden="1" customHeight="1">
      <c r="A3956" s="426"/>
    </row>
    <row r="3957" spans="1:1" s="427" customFormat="1" ht="12" hidden="1" customHeight="1">
      <c r="A3957" s="426"/>
    </row>
    <row r="3958" spans="1:1" s="427" customFormat="1" ht="12" hidden="1" customHeight="1">
      <c r="A3958" s="426"/>
    </row>
    <row r="3959" spans="1:1" s="427" customFormat="1" ht="12" hidden="1" customHeight="1">
      <c r="A3959" s="426"/>
    </row>
    <row r="3960" spans="1:1" s="427" customFormat="1" ht="12" hidden="1" customHeight="1">
      <c r="A3960" s="426"/>
    </row>
    <row r="3961" spans="1:1" s="427" customFormat="1" ht="12" hidden="1" customHeight="1">
      <c r="A3961" s="426"/>
    </row>
    <row r="3962" spans="1:1" s="427" customFormat="1" ht="12" hidden="1" customHeight="1">
      <c r="A3962" s="426"/>
    </row>
    <row r="3963" spans="1:1" s="427" customFormat="1" ht="12" hidden="1" customHeight="1">
      <c r="A3963" s="426"/>
    </row>
    <row r="3964" spans="1:1" s="427" customFormat="1" ht="12" hidden="1" customHeight="1">
      <c r="A3964" s="426"/>
    </row>
    <row r="3965" spans="1:1" s="427" customFormat="1" ht="12" hidden="1" customHeight="1">
      <c r="A3965" s="426"/>
    </row>
    <row r="3966" spans="1:1" s="427" customFormat="1" ht="12" hidden="1" customHeight="1">
      <c r="A3966" s="426"/>
    </row>
    <row r="3967" spans="1:1" s="427" customFormat="1" ht="12" hidden="1" customHeight="1">
      <c r="A3967" s="426"/>
    </row>
    <row r="3968" spans="1:1" s="427" customFormat="1" ht="12" hidden="1" customHeight="1">
      <c r="A3968" s="426"/>
    </row>
    <row r="3969" spans="1:1" s="427" customFormat="1" ht="12" hidden="1" customHeight="1">
      <c r="A3969" s="426"/>
    </row>
    <row r="3970" spans="1:1" s="427" customFormat="1" ht="12" hidden="1" customHeight="1">
      <c r="A3970" s="426"/>
    </row>
    <row r="3971" spans="1:1" s="427" customFormat="1" ht="12" hidden="1" customHeight="1">
      <c r="A3971" s="426"/>
    </row>
    <row r="3972" spans="1:1" s="427" customFormat="1" ht="12" hidden="1" customHeight="1">
      <c r="A3972" s="426"/>
    </row>
    <row r="3973" spans="1:1" s="427" customFormat="1" ht="12" hidden="1" customHeight="1">
      <c r="A3973" s="426"/>
    </row>
    <row r="3974" spans="1:1" s="427" customFormat="1" ht="12" hidden="1" customHeight="1">
      <c r="A3974" s="426"/>
    </row>
    <row r="3975" spans="1:1" s="427" customFormat="1" ht="12" hidden="1" customHeight="1">
      <c r="A3975" s="426"/>
    </row>
    <row r="3976" spans="1:1" s="427" customFormat="1" ht="12" hidden="1" customHeight="1">
      <c r="A3976" s="426"/>
    </row>
    <row r="3977" spans="1:1" s="427" customFormat="1" ht="12" hidden="1" customHeight="1">
      <c r="A3977" s="426"/>
    </row>
    <row r="3978" spans="1:1" s="427" customFormat="1" ht="12" hidden="1" customHeight="1">
      <c r="A3978" s="426"/>
    </row>
    <row r="3979" spans="1:1" s="427" customFormat="1" ht="12" hidden="1" customHeight="1">
      <c r="A3979" s="426"/>
    </row>
    <row r="3980" spans="1:1" s="427" customFormat="1" ht="12" hidden="1" customHeight="1">
      <c r="A3980" s="426"/>
    </row>
    <row r="3981" spans="1:1" s="427" customFormat="1" ht="12" hidden="1" customHeight="1">
      <c r="A3981" s="426"/>
    </row>
    <row r="3982" spans="1:1" s="427" customFormat="1" ht="12" hidden="1" customHeight="1">
      <c r="A3982" s="426"/>
    </row>
    <row r="3983" spans="1:1" s="427" customFormat="1" ht="12" hidden="1" customHeight="1">
      <c r="A3983" s="426"/>
    </row>
    <row r="3984" spans="1:1" s="427" customFormat="1" ht="12" hidden="1" customHeight="1">
      <c r="A3984" s="426"/>
    </row>
    <row r="3985" spans="1:1" s="427" customFormat="1" ht="12" hidden="1" customHeight="1">
      <c r="A3985" s="426"/>
    </row>
    <row r="3986" spans="1:1" s="427" customFormat="1" ht="12" hidden="1" customHeight="1">
      <c r="A3986" s="426"/>
    </row>
    <row r="3987" spans="1:1" s="427" customFormat="1" ht="12" hidden="1" customHeight="1">
      <c r="A3987" s="426"/>
    </row>
    <row r="3988" spans="1:1" s="427" customFormat="1" ht="12" hidden="1" customHeight="1">
      <c r="A3988" s="426"/>
    </row>
    <row r="3989" spans="1:1" s="427" customFormat="1" ht="12" hidden="1" customHeight="1">
      <c r="A3989" s="426"/>
    </row>
    <row r="3990" spans="1:1" s="427" customFormat="1" ht="12" hidden="1" customHeight="1">
      <c r="A3990" s="426"/>
    </row>
    <row r="3991" spans="1:1" s="427" customFormat="1" ht="12" hidden="1" customHeight="1">
      <c r="A3991" s="426"/>
    </row>
    <row r="3992" spans="1:1" s="427" customFormat="1" ht="12" hidden="1" customHeight="1">
      <c r="A3992" s="426"/>
    </row>
    <row r="3993" spans="1:1" s="427" customFormat="1" ht="12" hidden="1" customHeight="1">
      <c r="A3993" s="426"/>
    </row>
    <row r="3994" spans="1:1" s="427" customFormat="1" ht="12" hidden="1" customHeight="1">
      <c r="A3994" s="426"/>
    </row>
    <row r="3995" spans="1:1" s="427" customFormat="1" ht="12" hidden="1" customHeight="1">
      <c r="A3995" s="426"/>
    </row>
    <row r="3996" spans="1:1" s="427" customFormat="1" ht="12" hidden="1" customHeight="1">
      <c r="A3996" s="426"/>
    </row>
    <row r="3997" spans="1:1" s="427" customFormat="1" ht="12" hidden="1" customHeight="1">
      <c r="A3997" s="426"/>
    </row>
    <row r="3998" spans="1:1" s="427" customFormat="1" ht="12" hidden="1" customHeight="1">
      <c r="A3998" s="426"/>
    </row>
    <row r="3999" spans="1:1" s="427" customFormat="1" ht="12" hidden="1" customHeight="1">
      <c r="A3999" s="426"/>
    </row>
    <row r="4000" spans="1:1" s="427" customFormat="1" ht="12" hidden="1" customHeight="1">
      <c r="A4000" s="426"/>
    </row>
    <row r="4001" spans="1:1" s="427" customFormat="1" ht="12" hidden="1" customHeight="1">
      <c r="A4001" s="426"/>
    </row>
    <row r="4002" spans="1:1" s="427" customFormat="1" ht="12" hidden="1" customHeight="1">
      <c r="A4002" s="426"/>
    </row>
    <row r="4003" spans="1:1" s="427" customFormat="1" ht="12" hidden="1" customHeight="1">
      <c r="A4003" s="426"/>
    </row>
    <row r="4004" spans="1:1" s="427" customFormat="1" ht="12" hidden="1" customHeight="1">
      <c r="A4004" s="426"/>
    </row>
    <row r="4005" spans="1:1" s="427" customFormat="1" ht="12" hidden="1" customHeight="1">
      <c r="A4005" s="426"/>
    </row>
    <row r="4006" spans="1:1" s="427" customFormat="1" ht="12" hidden="1" customHeight="1">
      <c r="A4006" s="426"/>
    </row>
    <row r="4007" spans="1:1" s="427" customFormat="1" ht="12" hidden="1" customHeight="1">
      <c r="A4007" s="426"/>
    </row>
    <row r="4008" spans="1:1" s="427" customFormat="1" ht="12" hidden="1" customHeight="1">
      <c r="A4008" s="426"/>
    </row>
    <row r="4009" spans="1:1" s="427" customFormat="1" ht="12" hidden="1" customHeight="1">
      <c r="A4009" s="426"/>
    </row>
    <row r="4010" spans="1:1" s="427" customFormat="1" ht="12" hidden="1" customHeight="1">
      <c r="A4010" s="426"/>
    </row>
    <row r="4011" spans="1:1" s="427" customFormat="1" ht="12" hidden="1" customHeight="1">
      <c r="A4011" s="426"/>
    </row>
    <row r="4012" spans="1:1" s="427" customFormat="1" ht="12" hidden="1" customHeight="1">
      <c r="A4012" s="426"/>
    </row>
    <row r="4013" spans="1:1" s="427" customFormat="1" ht="12" hidden="1" customHeight="1">
      <c r="A4013" s="426"/>
    </row>
    <row r="4014" spans="1:1" s="427" customFormat="1" ht="12" hidden="1" customHeight="1">
      <c r="A4014" s="426"/>
    </row>
    <row r="4015" spans="1:1" s="427" customFormat="1" ht="12" hidden="1" customHeight="1">
      <c r="A4015" s="426"/>
    </row>
    <row r="4016" spans="1:1" s="427" customFormat="1" ht="12" hidden="1" customHeight="1">
      <c r="A4016" s="426"/>
    </row>
    <row r="4017" spans="1:1" s="427" customFormat="1" ht="12" hidden="1" customHeight="1">
      <c r="A4017" s="426"/>
    </row>
    <row r="4018" spans="1:1" s="427" customFormat="1" ht="12" hidden="1" customHeight="1">
      <c r="A4018" s="426"/>
    </row>
    <row r="4019" spans="1:1" s="427" customFormat="1" ht="12" hidden="1" customHeight="1">
      <c r="A4019" s="426"/>
    </row>
    <row r="4020" spans="1:1" s="427" customFormat="1" ht="12" hidden="1" customHeight="1">
      <c r="A4020" s="426"/>
    </row>
    <row r="4021" spans="1:1" s="427" customFormat="1" ht="12" hidden="1" customHeight="1">
      <c r="A4021" s="426"/>
    </row>
    <row r="4022" spans="1:1" s="427" customFormat="1" ht="12" hidden="1" customHeight="1">
      <c r="A4022" s="426"/>
    </row>
    <row r="4023" spans="1:1" s="427" customFormat="1" ht="12" hidden="1" customHeight="1">
      <c r="A4023" s="426"/>
    </row>
    <row r="4024" spans="1:1" s="427" customFormat="1" ht="12" hidden="1" customHeight="1">
      <c r="A4024" s="426"/>
    </row>
    <row r="4025" spans="1:1" s="427" customFormat="1" ht="12" hidden="1" customHeight="1">
      <c r="A4025" s="426"/>
    </row>
    <row r="4026" spans="1:1" s="427" customFormat="1" ht="12" hidden="1" customHeight="1">
      <c r="A4026" s="426"/>
    </row>
    <row r="4027" spans="1:1" s="427" customFormat="1" ht="12" hidden="1" customHeight="1">
      <c r="A4027" s="426"/>
    </row>
    <row r="4028" spans="1:1" s="427" customFormat="1" ht="12" hidden="1" customHeight="1">
      <c r="A4028" s="426"/>
    </row>
    <row r="4029" spans="1:1" s="427" customFormat="1" ht="12" hidden="1" customHeight="1">
      <c r="A4029" s="426"/>
    </row>
    <row r="4030" spans="1:1" s="427" customFormat="1" ht="12" hidden="1" customHeight="1">
      <c r="A4030" s="426"/>
    </row>
    <row r="4031" spans="1:1" s="427" customFormat="1" ht="12" hidden="1" customHeight="1">
      <c r="A4031" s="426"/>
    </row>
    <row r="4032" spans="1:1" s="427" customFormat="1" ht="12" hidden="1" customHeight="1">
      <c r="A4032" s="426"/>
    </row>
    <row r="4033" spans="1:1" s="427" customFormat="1" ht="12" hidden="1" customHeight="1">
      <c r="A4033" s="426"/>
    </row>
    <row r="4034" spans="1:1" s="427" customFormat="1" ht="12" hidden="1" customHeight="1">
      <c r="A4034" s="426"/>
    </row>
    <row r="4035" spans="1:1" s="427" customFormat="1" ht="12" hidden="1" customHeight="1">
      <c r="A4035" s="426"/>
    </row>
    <row r="4036" spans="1:1" s="427" customFormat="1" ht="12" hidden="1" customHeight="1">
      <c r="A4036" s="426"/>
    </row>
    <row r="4037" spans="1:1" s="427" customFormat="1" ht="12" hidden="1" customHeight="1">
      <c r="A4037" s="426"/>
    </row>
    <row r="4038" spans="1:1" s="427" customFormat="1" ht="12" hidden="1" customHeight="1">
      <c r="A4038" s="426"/>
    </row>
    <row r="4039" spans="1:1" s="427" customFormat="1" ht="12" hidden="1" customHeight="1">
      <c r="A4039" s="426"/>
    </row>
    <row r="4040" spans="1:1" s="427" customFormat="1" ht="12" hidden="1" customHeight="1">
      <c r="A4040" s="426"/>
    </row>
    <row r="4041" spans="1:1" s="427" customFormat="1" ht="12" hidden="1" customHeight="1">
      <c r="A4041" s="426"/>
    </row>
    <row r="4042" spans="1:1" s="427" customFormat="1" ht="12" hidden="1" customHeight="1">
      <c r="A4042" s="426"/>
    </row>
    <row r="4043" spans="1:1" s="427" customFormat="1" ht="12" hidden="1" customHeight="1">
      <c r="A4043" s="426"/>
    </row>
    <row r="4044" spans="1:1" s="427" customFormat="1" ht="12" hidden="1" customHeight="1">
      <c r="A4044" s="426"/>
    </row>
    <row r="4045" spans="1:1" s="427" customFormat="1" ht="12" hidden="1" customHeight="1">
      <c r="A4045" s="426"/>
    </row>
    <row r="4046" spans="1:1" s="427" customFormat="1" ht="12" hidden="1" customHeight="1">
      <c r="A4046" s="426"/>
    </row>
    <row r="4047" spans="1:1" s="427" customFormat="1" ht="12" hidden="1" customHeight="1">
      <c r="A4047" s="426"/>
    </row>
    <row r="4048" spans="1:1" s="427" customFormat="1" ht="12" hidden="1" customHeight="1">
      <c r="A4048" s="426"/>
    </row>
    <row r="4049" spans="1:1" s="427" customFormat="1" ht="12" hidden="1" customHeight="1">
      <c r="A4049" s="426"/>
    </row>
    <row r="4050" spans="1:1" s="427" customFormat="1" ht="12" hidden="1" customHeight="1">
      <c r="A4050" s="426"/>
    </row>
    <row r="4051" spans="1:1" s="427" customFormat="1" ht="12" hidden="1" customHeight="1">
      <c r="A4051" s="426"/>
    </row>
    <row r="4052" spans="1:1" s="427" customFormat="1" ht="12" hidden="1" customHeight="1">
      <c r="A4052" s="426"/>
    </row>
    <row r="4053" spans="1:1" s="427" customFormat="1" ht="12" hidden="1" customHeight="1">
      <c r="A4053" s="426"/>
    </row>
    <row r="4054" spans="1:1" s="427" customFormat="1" ht="12" hidden="1" customHeight="1">
      <c r="A4054" s="426"/>
    </row>
    <row r="4055" spans="1:1" s="427" customFormat="1" ht="12" hidden="1" customHeight="1">
      <c r="A4055" s="426"/>
    </row>
    <row r="4056" spans="1:1" s="427" customFormat="1" ht="12" hidden="1" customHeight="1">
      <c r="A4056" s="426"/>
    </row>
    <row r="4057" spans="1:1" s="427" customFormat="1" ht="12" hidden="1" customHeight="1">
      <c r="A4057" s="426"/>
    </row>
    <row r="4058" spans="1:1" s="427" customFormat="1" ht="12" hidden="1" customHeight="1">
      <c r="A4058" s="426"/>
    </row>
    <row r="4059" spans="1:1" s="427" customFormat="1" ht="12" hidden="1" customHeight="1">
      <c r="A4059" s="426"/>
    </row>
    <row r="4060" spans="1:1" s="427" customFormat="1" ht="12" hidden="1" customHeight="1">
      <c r="A4060" s="426"/>
    </row>
    <row r="4061" spans="1:1" s="427" customFormat="1" ht="12" hidden="1" customHeight="1">
      <c r="A4061" s="426"/>
    </row>
    <row r="4062" spans="1:1" s="427" customFormat="1" ht="12" hidden="1" customHeight="1">
      <c r="A4062" s="426"/>
    </row>
    <row r="4063" spans="1:1" s="427" customFormat="1" ht="12" hidden="1" customHeight="1">
      <c r="A4063" s="426"/>
    </row>
    <row r="4064" spans="1:1" s="427" customFormat="1" ht="12" hidden="1" customHeight="1">
      <c r="A4064" s="426"/>
    </row>
    <row r="4065" spans="1:1" s="427" customFormat="1" ht="12" hidden="1" customHeight="1">
      <c r="A4065" s="426"/>
    </row>
    <row r="4066" spans="1:1" s="427" customFormat="1" ht="12" hidden="1" customHeight="1">
      <c r="A4066" s="426"/>
    </row>
    <row r="4067" spans="1:1" s="427" customFormat="1" ht="12" hidden="1" customHeight="1">
      <c r="A4067" s="426"/>
    </row>
    <row r="4068" spans="1:1" s="427" customFormat="1" ht="12" hidden="1" customHeight="1">
      <c r="A4068" s="426"/>
    </row>
    <row r="4069" spans="1:1" s="427" customFormat="1" ht="12" hidden="1" customHeight="1">
      <c r="A4069" s="426"/>
    </row>
    <row r="4070" spans="1:1" s="427" customFormat="1" ht="12" hidden="1" customHeight="1">
      <c r="A4070" s="426"/>
    </row>
    <row r="4071" spans="1:1" s="427" customFormat="1" ht="12" hidden="1" customHeight="1">
      <c r="A4071" s="426"/>
    </row>
    <row r="4072" spans="1:1" s="427" customFormat="1" ht="12" hidden="1" customHeight="1">
      <c r="A4072" s="426"/>
    </row>
    <row r="4073" spans="1:1" s="427" customFormat="1" ht="12" hidden="1" customHeight="1">
      <c r="A4073" s="426"/>
    </row>
    <row r="4074" spans="1:1" s="427" customFormat="1" ht="12" hidden="1" customHeight="1">
      <c r="A4074" s="426"/>
    </row>
    <row r="4075" spans="1:1" s="427" customFormat="1" ht="12" hidden="1" customHeight="1">
      <c r="A4075" s="426"/>
    </row>
    <row r="4076" spans="1:1" s="427" customFormat="1" ht="12" hidden="1" customHeight="1">
      <c r="A4076" s="426"/>
    </row>
    <row r="4077" spans="1:1" s="427" customFormat="1" ht="12" hidden="1" customHeight="1">
      <c r="A4077" s="426"/>
    </row>
    <row r="4078" spans="1:1" s="427" customFormat="1" ht="12" hidden="1" customHeight="1">
      <c r="A4078" s="426"/>
    </row>
    <row r="4079" spans="1:1" s="427" customFormat="1" ht="12" hidden="1" customHeight="1">
      <c r="A4079" s="426"/>
    </row>
    <row r="4080" spans="1:1" s="427" customFormat="1" ht="12" hidden="1" customHeight="1">
      <c r="A4080" s="426"/>
    </row>
    <row r="4081" spans="1:1" s="427" customFormat="1" ht="12" hidden="1" customHeight="1">
      <c r="A4081" s="426"/>
    </row>
    <row r="4082" spans="1:1" s="427" customFormat="1" ht="12" hidden="1" customHeight="1">
      <c r="A4082" s="426"/>
    </row>
    <row r="4083" spans="1:1" s="427" customFormat="1" ht="12" hidden="1" customHeight="1">
      <c r="A4083" s="426"/>
    </row>
    <row r="4084" spans="1:1" s="427" customFormat="1" ht="12" hidden="1" customHeight="1">
      <c r="A4084" s="426"/>
    </row>
    <row r="4085" spans="1:1" s="427" customFormat="1" ht="12" hidden="1" customHeight="1">
      <c r="A4085" s="426"/>
    </row>
    <row r="4086" spans="1:1" s="427" customFormat="1" ht="12" hidden="1" customHeight="1">
      <c r="A4086" s="426"/>
    </row>
    <row r="4087" spans="1:1" s="427" customFormat="1" ht="12" hidden="1" customHeight="1">
      <c r="A4087" s="426"/>
    </row>
    <row r="4088" spans="1:1" s="427" customFormat="1" ht="12" hidden="1" customHeight="1">
      <c r="A4088" s="426"/>
    </row>
    <row r="4089" spans="1:1" s="427" customFormat="1" ht="12" hidden="1" customHeight="1">
      <c r="A4089" s="426"/>
    </row>
    <row r="4090" spans="1:1" s="427" customFormat="1" ht="12" hidden="1" customHeight="1">
      <c r="A4090" s="426"/>
    </row>
    <row r="4091" spans="1:1" s="427" customFormat="1" ht="12" hidden="1" customHeight="1">
      <c r="A4091" s="426"/>
    </row>
    <row r="4092" spans="1:1" s="427" customFormat="1" ht="12" hidden="1" customHeight="1">
      <c r="A4092" s="426"/>
    </row>
    <row r="4093" spans="1:1" s="427" customFormat="1" ht="12" hidden="1" customHeight="1">
      <c r="A4093" s="426"/>
    </row>
    <row r="4094" spans="1:1" s="427" customFormat="1" ht="12" hidden="1" customHeight="1">
      <c r="A4094" s="426"/>
    </row>
    <row r="4095" spans="1:1" s="427" customFormat="1" ht="12" hidden="1" customHeight="1">
      <c r="A4095" s="426"/>
    </row>
    <row r="4096" spans="1:1" s="427" customFormat="1" ht="12" hidden="1" customHeight="1">
      <c r="A4096" s="426"/>
    </row>
    <row r="4097" spans="1:1" s="427" customFormat="1" ht="12" hidden="1" customHeight="1">
      <c r="A4097" s="426"/>
    </row>
    <row r="4098" spans="1:1" s="427" customFormat="1" ht="12" hidden="1" customHeight="1">
      <c r="A4098" s="426"/>
    </row>
    <row r="4099" spans="1:1" s="427" customFormat="1" ht="12" hidden="1" customHeight="1">
      <c r="A4099" s="426"/>
    </row>
    <row r="4100" spans="1:1" s="427" customFormat="1" ht="12" hidden="1" customHeight="1">
      <c r="A4100" s="426"/>
    </row>
    <row r="4101" spans="1:1" s="427" customFormat="1" ht="12" hidden="1" customHeight="1">
      <c r="A4101" s="426"/>
    </row>
    <row r="4102" spans="1:1" s="427" customFormat="1" ht="12" hidden="1" customHeight="1">
      <c r="A4102" s="426"/>
    </row>
    <row r="4103" spans="1:1" s="427" customFormat="1" ht="12" hidden="1" customHeight="1">
      <c r="A4103" s="426"/>
    </row>
    <row r="4104" spans="1:1" s="427" customFormat="1" ht="12" hidden="1" customHeight="1">
      <c r="A4104" s="426"/>
    </row>
    <row r="4105" spans="1:1" s="427" customFormat="1" ht="12" hidden="1" customHeight="1">
      <c r="A4105" s="426"/>
    </row>
    <row r="4106" spans="1:1" s="427" customFormat="1" ht="12" hidden="1" customHeight="1">
      <c r="A4106" s="426"/>
    </row>
    <row r="4107" spans="1:1" s="427" customFormat="1" ht="12" hidden="1" customHeight="1">
      <c r="A4107" s="426"/>
    </row>
    <row r="4108" spans="1:1" s="427" customFormat="1" ht="12" hidden="1" customHeight="1">
      <c r="A4108" s="426"/>
    </row>
    <row r="4109" spans="1:1" s="427" customFormat="1" ht="12" hidden="1" customHeight="1">
      <c r="A4109" s="426"/>
    </row>
    <row r="4110" spans="1:1" s="427" customFormat="1" ht="12" hidden="1" customHeight="1">
      <c r="A4110" s="426"/>
    </row>
    <row r="4111" spans="1:1" s="427" customFormat="1" ht="12" hidden="1" customHeight="1">
      <c r="A4111" s="426"/>
    </row>
    <row r="4112" spans="1:1" s="427" customFormat="1" ht="12" hidden="1" customHeight="1">
      <c r="A4112" s="426"/>
    </row>
    <row r="4113" spans="1:1" s="427" customFormat="1" ht="12" hidden="1" customHeight="1">
      <c r="A4113" s="426"/>
    </row>
    <row r="4114" spans="1:1" s="427" customFormat="1" ht="12" hidden="1" customHeight="1">
      <c r="A4114" s="426"/>
    </row>
    <row r="4115" spans="1:1" s="427" customFormat="1" ht="12" hidden="1" customHeight="1">
      <c r="A4115" s="426"/>
    </row>
    <row r="4116" spans="1:1" s="427" customFormat="1" ht="12" hidden="1" customHeight="1">
      <c r="A4116" s="426"/>
    </row>
    <row r="4117" spans="1:1" s="427" customFormat="1" ht="12" hidden="1" customHeight="1">
      <c r="A4117" s="426"/>
    </row>
    <row r="4118" spans="1:1" s="427" customFormat="1" ht="12" hidden="1" customHeight="1">
      <c r="A4118" s="426"/>
    </row>
    <row r="4119" spans="1:1" s="427" customFormat="1" ht="12" hidden="1" customHeight="1">
      <c r="A4119" s="426"/>
    </row>
    <row r="4120" spans="1:1" s="427" customFormat="1" ht="12" hidden="1" customHeight="1">
      <c r="A4120" s="426"/>
    </row>
    <row r="4121" spans="1:1" s="427" customFormat="1" ht="12" hidden="1" customHeight="1">
      <c r="A4121" s="426"/>
    </row>
    <row r="4122" spans="1:1" s="427" customFormat="1" ht="12" hidden="1" customHeight="1">
      <c r="A4122" s="426"/>
    </row>
    <row r="4123" spans="1:1" s="427" customFormat="1" ht="12" hidden="1" customHeight="1">
      <c r="A4123" s="426"/>
    </row>
    <row r="4124" spans="1:1" s="427" customFormat="1" ht="12" hidden="1" customHeight="1">
      <c r="A4124" s="426"/>
    </row>
    <row r="4125" spans="1:1" s="427" customFormat="1" ht="12" hidden="1" customHeight="1">
      <c r="A4125" s="426"/>
    </row>
    <row r="4126" spans="1:1" s="427" customFormat="1" ht="12" hidden="1" customHeight="1">
      <c r="A4126" s="426"/>
    </row>
    <row r="4127" spans="1:1" s="427" customFormat="1" ht="12" hidden="1" customHeight="1">
      <c r="A4127" s="426"/>
    </row>
    <row r="4128" spans="1:1" s="427" customFormat="1" ht="12" hidden="1" customHeight="1">
      <c r="A4128" s="426"/>
    </row>
    <row r="4129" spans="1:1" s="427" customFormat="1" ht="12" hidden="1" customHeight="1">
      <c r="A4129" s="426"/>
    </row>
    <row r="4130" spans="1:1" s="427" customFormat="1" ht="12" hidden="1" customHeight="1">
      <c r="A4130" s="426"/>
    </row>
    <row r="4131" spans="1:1" s="427" customFormat="1" ht="12" hidden="1" customHeight="1">
      <c r="A4131" s="426"/>
    </row>
    <row r="4132" spans="1:1" s="427" customFormat="1" ht="12" hidden="1" customHeight="1">
      <c r="A4132" s="426"/>
    </row>
    <row r="4133" spans="1:1" s="427" customFormat="1" ht="12" hidden="1" customHeight="1">
      <c r="A4133" s="426"/>
    </row>
    <row r="4134" spans="1:1" s="427" customFormat="1" ht="12" hidden="1" customHeight="1">
      <c r="A4134" s="426"/>
    </row>
    <row r="4135" spans="1:1" s="427" customFormat="1" ht="12" hidden="1" customHeight="1">
      <c r="A4135" s="426"/>
    </row>
    <row r="4136" spans="1:1" s="427" customFormat="1" ht="12" hidden="1" customHeight="1">
      <c r="A4136" s="426"/>
    </row>
    <row r="4137" spans="1:1" s="427" customFormat="1" ht="12" hidden="1" customHeight="1">
      <c r="A4137" s="426"/>
    </row>
    <row r="4138" spans="1:1" s="427" customFormat="1" ht="12" hidden="1" customHeight="1">
      <c r="A4138" s="426"/>
    </row>
    <row r="4139" spans="1:1" s="427" customFormat="1" ht="12" hidden="1" customHeight="1">
      <c r="A4139" s="426"/>
    </row>
    <row r="4140" spans="1:1" s="427" customFormat="1" ht="12" hidden="1" customHeight="1">
      <c r="A4140" s="426"/>
    </row>
    <row r="4141" spans="1:1" s="427" customFormat="1" ht="12" hidden="1" customHeight="1">
      <c r="A4141" s="426"/>
    </row>
    <row r="4142" spans="1:1" s="427" customFormat="1" ht="12" hidden="1" customHeight="1">
      <c r="A4142" s="426"/>
    </row>
    <row r="4143" spans="1:1" s="427" customFormat="1" ht="12" hidden="1" customHeight="1">
      <c r="A4143" s="426"/>
    </row>
    <row r="4144" spans="1:1" s="427" customFormat="1" ht="12" hidden="1" customHeight="1">
      <c r="A4144" s="426"/>
    </row>
    <row r="4145" spans="1:1" s="427" customFormat="1" ht="12" hidden="1" customHeight="1">
      <c r="A4145" s="426"/>
    </row>
    <row r="4146" spans="1:1" s="427" customFormat="1" ht="12" hidden="1" customHeight="1">
      <c r="A4146" s="426"/>
    </row>
    <row r="4147" spans="1:1" s="427" customFormat="1" ht="12" hidden="1" customHeight="1">
      <c r="A4147" s="426"/>
    </row>
    <row r="4148" spans="1:1" s="427" customFormat="1" ht="12" hidden="1" customHeight="1">
      <c r="A4148" s="426"/>
    </row>
    <row r="4149" spans="1:1" s="427" customFormat="1" ht="12" hidden="1" customHeight="1">
      <c r="A4149" s="426"/>
    </row>
    <row r="4150" spans="1:1" s="427" customFormat="1" ht="12" hidden="1" customHeight="1">
      <c r="A4150" s="426"/>
    </row>
    <row r="4151" spans="1:1" s="427" customFormat="1" ht="12" hidden="1" customHeight="1">
      <c r="A4151" s="426"/>
    </row>
    <row r="4152" spans="1:1" s="427" customFormat="1" ht="12" hidden="1" customHeight="1">
      <c r="A4152" s="426"/>
    </row>
    <row r="4153" spans="1:1" s="427" customFormat="1" ht="12" hidden="1" customHeight="1">
      <c r="A4153" s="426"/>
    </row>
    <row r="4154" spans="1:1" s="427" customFormat="1" ht="12" hidden="1" customHeight="1">
      <c r="A4154" s="426"/>
    </row>
    <row r="4155" spans="1:1" s="427" customFormat="1" ht="12" hidden="1" customHeight="1">
      <c r="A4155" s="426"/>
    </row>
    <row r="4156" spans="1:1" s="427" customFormat="1" ht="12" hidden="1" customHeight="1">
      <c r="A4156" s="426"/>
    </row>
    <row r="4157" spans="1:1" s="427" customFormat="1" ht="12" hidden="1" customHeight="1">
      <c r="A4157" s="426"/>
    </row>
    <row r="4158" spans="1:1" s="427" customFormat="1" ht="12" hidden="1" customHeight="1">
      <c r="A4158" s="426"/>
    </row>
    <row r="4159" spans="1:1" s="427" customFormat="1" ht="12" hidden="1" customHeight="1">
      <c r="A4159" s="426"/>
    </row>
    <row r="4160" spans="1:1" s="427" customFormat="1" ht="12" hidden="1" customHeight="1">
      <c r="A4160" s="426"/>
    </row>
    <row r="4161" spans="1:1" s="427" customFormat="1" ht="12" hidden="1" customHeight="1">
      <c r="A4161" s="426"/>
    </row>
    <row r="4162" spans="1:1" s="427" customFormat="1" ht="12" hidden="1" customHeight="1">
      <c r="A4162" s="426"/>
    </row>
    <row r="4163" spans="1:1" s="427" customFormat="1" ht="12" hidden="1" customHeight="1">
      <c r="A4163" s="426"/>
    </row>
    <row r="4164" spans="1:1" s="427" customFormat="1" ht="12" hidden="1" customHeight="1">
      <c r="A4164" s="426"/>
    </row>
    <row r="4165" spans="1:1" s="427" customFormat="1" ht="12" hidden="1" customHeight="1">
      <c r="A4165" s="426"/>
    </row>
    <row r="4166" spans="1:1" s="427" customFormat="1" ht="12" hidden="1" customHeight="1">
      <c r="A4166" s="426"/>
    </row>
    <row r="4167" spans="1:1" s="427" customFormat="1" ht="12" hidden="1" customHeight="1">
      <c r="A4167" s="426"/>
    </row>
    <row r="4168" spans="1:1" s="427" customFormat="1" ht="12" hidden="1" customHeight="1">
      <c r="A4168" s="426"/>
    </row>
    <row r="4169" spans="1:1" s="427" customFormat="1" ht="12" hidden="1" customHeight="1">
      <c r="A4169" s="426"/>
    </row>
    <row r="4170" spans="1:1" s="427" customFormat="1" ht="12" hidden="1" customHeight="1">
      <c r="A4170" s="426"/>
    </row>
    <row r="4171" spans="1:1" s="427" customFormat="1" ht="12" hidden="1" customHeight="1">
      <c r="A4171" s="426"/>
    </row>
    <row r="4172" spans="1:1" s="427" customFormat="1" ht="12" hidden="1" customHeight="1">
      <c r="A4172" s="426"/>
    </row>
    <row r="4173" spans="1:1" s="427" customFormat="1" ht="12" hidden="1" customHeight="1">
      <c r="A4173" s="426"/>
    </row>
    <row r="4174" spans="1:1" s="427" customFormat="1" ht="12" hidden="1" customHeight="1">
      <c r="A4174" s="426"/>
    </row>
    <row r="4175" spans="1:1" s="427" customFormat="1" ht="12" hidden="1" customHeight="1">
      <c r="A4175" s="426"/>
    </row>
    <row r="4176" spans="1:1" s="427" customFormat="1" ht="12" hidden="1" customHeight="1">
      <c r="A4176" s="426"/>
    </row>
    <row r="4177" spans="1:1" s="427" customFormat="1" ht="12" hidden="1" customHeight="1">
      <c r="A4177" s="426"/>
    </row>
    <row r="4178" spans="1:1" s="427" customFormat="1" ht="12" hidden="1" customHeight="1">
      <c r="A4178" s="426"/>
    </row>
    <row r="4179" spans="1:1" s="427" customFormat="1" ht="12" hidden="1" customHeight="1">
      <c r="A4179" s="426"/>
    </row>
    <row r="4180" spans="1:1" s="427" customFormat="1" ht="12" hidden="1" customHeight="1">
      <c r="A4180" s="426"/>
    </row>
    <row r="4181" spans="1:1" s="427" customFormat="1" ht="12" hidden="1" customHeight="1">
      <c r="A4181" s="426"/>
    </row>
    <row r="4182" spans="1:1" s="427" customFormat="1" ht="12" hidden="1" customHeight="1">
      <c r="A4182" s="426"/>
    </row>
    <row r="4183" spans="1:1" s="427" customFormat="1" ht="12" hidden="1" customHeight="1">
      <c r="A4183" s="426"/>
    </row>
    <row r="4184" spans="1:1" s="427" customFormat="1" ht="12" hidden="1" customHeight="1">
      <c r="A4184" s="426"/>
    </row>
    <row r="4185" spans="1:1" s="427" customFormat="1" ht="12" hidden="1" customHeight="1">
      <c r="A4185" s="426"/>
    </row>
    <row r="4186" spans="1:1" s="427" customFormat="1" ht="12" hidden="1" customHeight="1">
      <c r="A4186" s="426"/>
    </row>
    <row r="4187" spans="1:1" s="427" customFormat="1" ht="12" hidden="1" customHeight="1">
      <c r="A4187" s="426"/>
    </row>
    <row r="4188" spans="1:1" s="427" customFormat="1" ht="12" hidden="1" customHeight="1">
      <c r="A4188" s="426"/>
    </row>
    <row r="4189" spans="1:1" s="427" customFormat="1" ht="12" hidden="1" customHeight="1">
      <c r="A4189" s="426"/>
    </row>
    <row r="4190" spans="1:1" s="427" customFormat="1" ht="12" hidden="1" customHeight="1">
      <c r="A4190" s="426"/>
    </row>
    <row r="4191" spans="1:1" s="427" customFormat="1" ht="12" hidden="1" customHeight="1">
      <c r="A4191" s="426"/>
    </row>
    <row r="4192" spans="1:1" s="427" customFormat="1" ht="12" hidden="1" customHeight="1">
      <c r="A4192" s="426"/>
    </row>
    <row r="4193" spans="1:1" s="427" customFormat="1" ht="12" hidden="1" customHeight="1">
      <c r="A4193" s="426"/>
    </row>
    <row r="4194" spans="1:1" s="427" customFormat="1" ht="12" hidden="1" customHeight="1">
      <c r="A4194" s="426"/>
    </row>
    <row r="4195" spans="1:1" s="427" customFormat="1" ht="12" hidden="1" customHeight="1">
      <c r="A4195" s="426"/>
    </row>
    <row r="4196" spans="1:1" s="427" customFormat="1" ht="12" hidden="1" customHeight="1">
      <c r="A4196" s="426"/>
    </row>
    <row r="4197" spans="1:1" s="427" customFormat="1" ht="12" hidden="1" customHeight="1">
      <c r="A4197" s="426"/>
    </row>
    <row r="4198" spans="1:1" s="427" customFormat="1" ht="12" hidden="1" customHeight="1">
      <c r="A4198" s="426"/>
    </row>
    <row r="4199" spans="1:1" s="427" customFormat="1" ht="12" hidden="1" customHeight="1">
      <c r="A4199" s="426"/>
    </row>
    <row r="4200" spans="1:1" s="427" customFormat="1" ht="12" hidden="1" customHeight="1">
      <c r="A4200" s="426"/>
    </row>
    <row r="4201" spans="1:1" s="427" customFormat="1" ht="12" hidden="1" customHeight="1">
      <c r="A4201" s="426"/>
    </row>
    <row r="4202" spans="1:1" s="427" customFormat="1" ht="12" hidden="1" customHeight="1">
      <c r="A4202" s="426"/>
    </row>
    <row r="4203" spans="1:1" s="427" customFormat="1" ht="12" hidden="1" customHeight="1">
      <c r="A4203" s="426"/>
    </row>
    <row r="4204" spans="1:1" s="427" customFormat="1" ht="12" hidden="1" customHeight="1">
      <c r="A4204" s="426"/>
    </row>
    <row r="4205" spans="1:1" s="427" customFormat="1" ht="12" hidden="1" customHeight="1">
      <c r="A4205" s="426"/>
    </row>
    <row r="4206" spans="1:1" s="427" customFormat="1" ht="12" hidden="1" customHeight="1">
      <c r="A4206" s="426"/>
    </row>
    <row r="4207" spans="1:1" s="427" customFormat="1" ht="12" hidden="1" customHeight="1">
      <c r="A4207" s="426"/>
    </row>
    <row r="4208" spans="1:1" s="427" customFormat="1" ht="12" hidden="1" customHeight="1">
      <c r="A4208" s="426"/>
    </row>
    <row r="4209" spans="1:1" s="427" customFormat="1" ht="12" hidden="1" customHeight="1">
      <c r="A4209" s="426"/>
    </row>
    <row r="4210" spans="1:1" s="427" customFormat="1" ht="12" hidden="1" customHeight="1">
      <c r="A4210" s="426"/>
    </row>
    <row r="4211" spans="1:1" s="427" customFormat="1" ht="12" hidden="1" customHeight="1">
      <c r="A4211" s="426"/>
    </row>
    <row r="4212" spans="1:1" s="427" customFormat="1" ht="12" hidden="1" customHeight="1">
      <c r="A4212" s="426"/>
    </row>
    <row r="4213" spans="1:1" s="427" customFormat="1" ht="12" hidden="1" customHeight="1">
      <c r="A4213" s="426"/>
    </row>
    <row r="4214" spans="1:1" s="427" customFormat="1" ht="12" hidden="1" customHeight="1">
      <c r="A4214" s="426"/>
    </row>
    <row r="4215" spans="1:1" s="427" customFormat="1" ht="12" hidden="1" customHeight="1">
      <c r="A4215" s="426"/>
    </row>
    <row r="4216" spans="1:1" s="427" customFormat="1" ht="12" hidden="1" customHeight="1">
      <c r="A4216" s="426"/>
    </row>
    <row r="4217" spans="1:1" s="427" customFormat="1" ht="12" hidden="1" customHeight="1">
      <c r="A4217" s="426"/>
    </row>
    <row r="4218" spans="1:1" s="427" customFormat="1" ht="12" hidden="1" customHeight="1">
      <c r="A4218" s="426"/>
    </row>
    <row r="4219" spans="1:1" s="427" customFormat="1" ht="12" hidden="1" customHeight="1">
      <c r="A4219" s="426"/>
    </row>
    <row r="4220" spans="1:1" s="427" customFormat="1" ht="12" hidden="1" customHeight="1">
      <c r="A4220" s="426"/>
    </row>
    <row r="4221" spans="1:1" s="427" customFormat="1" ht="12" hidden="1" customHeight="1">
      <c r="A4221" s="426"/>
    </row>
    <row r="4222" spans="1:1" s="427" customFormat="1" ht="12" hidden="1" customHeight="1">
      <c r="A4222" s="426"/>
    </row>
    <row r="4223" spans="1:1" s="427" customFormat="1" ht="12" hidden="1" customHeight="1">
      <c r="A4223" s="426"/>
    </row>
    <row r="4224" spans="1:1" s="427" customFormat="1" ht="12" hidden="1" customHeight="1">
      <c r="A4224" s="426"/>
    </row>
    <row r="4225" spans="1:1" s="427" customFormat="1" ht="12" hidden="1" customHeight="1">
      <c r="A4225" s="426"/>
    </row>
    <row r="4226" spans="1:1" s="427" customFormat="1" ht="12" hidden="1" customHeight="1">
      <c r="A4226" s="426"/>
    </row>
    <row r="4227" spans="1:1" s="427" customFormat="1" ht="12" hidden="1" customHeight="1">
      <c r="A4227" s="426"/>
    </row>
    <row r="4228" spans="1:1" s="427" customFormat="1" ht="12" hidden="1" customHeight="1">
      <c r="A4228" s="426"/>
    </row>
    <row r="4229" spans="1:1" s="427" customFormat="1" ht="12" hidden="1" customHeight="1">
      <c r="A4229" s="426"/>
    </row>
    <row r="4230" spans="1:1" s="427" customFormat="1" ht="12" hidden="1" customHeight="1">
      <c r="A4230" s="426"/>
    </row>
    <row r="4231" spans="1:1" s="427" customFormat="1" ht="12" hidden="1" customHeight="1">
      <c r="A4231" s="426"/>
    </row>
    <row r="4232" spans="1:1" s="427" customFormat="1" ht="12" hidden="1" customHeight="1">
      <c r="A4232" s="426"/>
    </row>
    <row r="4233" spans="1:1" s="427" customFormat="1" ht="12" hidden="1" customHeight="1">
      <c r="A4233" s="426"/>
    </row>
    <row r="4234" spans="1:1" s="427" customFormat="1" ht="12" hidden="1" customHeight="1">
      <c r="A4234" s="426"/>
    </row>
    <row r="4235" spans="1:1" s="427" customFormat="1" ht="12" hidden="1" customHeight="1">
      <c r="A4235" s="426"/>
    </row>
    <row r="4236" spans="1:1" s="427" customFormat="1" ht="12" hidden="1" customHeight="1">
      <c r="A4236" s="426"/>
    </row>
    <row r="4237" spans="1:1" s="427" customFormat="1" ht="12" hidden="1" customHeight="1">
      <c r="A4237" s="426"/>
    </row>
    <row r="4238" spans="1:1" s="427" customFormat="1" ht="12" hidden="1" customHeight="1">
      <c r="A4238" s="426"/>
    </row>
    <row r="4239" spans="1:1" s="427" customFormat="1" ht="12" hidden="1" customHeight="1">
      <c r="A4239" s="426"/>
    </row>
    <row r="4240" spans="1:1" s="427" customFormat="1" ht="12" hidden="1" customHeight="1">
      <c r="A4240" s="426"/>
    </row>
    <row r="4241" spans="1:1" s="427" customFormat="1" ht="12" hidden="1" customHeight="1">
      <c r="A4241" s="426"/>
    </row>
    <row r="4242" spans="1:1" s="427" customFormat="1" ht="12" hidden="1" customHeight="1">
      <c r="A4242" s="426"/>
    </row>
    <row r="4243" spans="1:1" s="427" customFormat="1" ht="12" hidden="1" customHeight="1">
      <c r="A4243" s="426"/>
    </row>
    <row r="4244" spans="1:1" s="427" customFormat="1" ht="12" hidden="1" customHeight="1">
      <c r="A4244" s="426"/>
    </row>
    <row r="4245" spans="1:1" s="427" customFormat="1" ht="12" hidden="1" customHeight="1">
      <c r="A4245" s="426"/>
    </row>
    <row r="4246" spans="1:1" s="427" customFormat="1" ht="12" hidden="1" customHeight="1">
      <c r="A4246" s="426"/>
    </row>
    <row r="4247" spans="1:1" s="427" customFormat="1" ht="12" hidden="1" customHeight="1">
      <c r="A4247" s="426"/>
    </row>
    <row r="4248" spans="1:1" s="427" customFormat="1" ht="12" hidden="1" customHeight="1">
      <c r="A4248" s="426"/>
    </row>
    <row r="4249" spans="1:1" s="427" customFormat="1" ht="12" hidden="1" customHeight="1">
      <c r="A4249" s="426"/>
    </row>
    <row r="4250" spans="1:1" s="427" customFormat="1" ht="12" hidden="1" customHeight="1">
      <c r="A4250" s="426"/>
    </row>
    <row r="4251" spans="1:1" s="427" customFormat="1" ht="12" hidden="1" customHeight="1">
      <c r="A4251" s="426"/>
    </row>
    <row r="4252" spans="1:1" s="427" customFormat="1" ht="12" hidden="1" customHeight="1">
      <c r="A4252" s="426"/>
    </row>
    <row r="4253" spans="1:1" s="427" customFormat="1" ht="12" hidden="1" customHeight="1">
      <c r="A4253" s="426"/>
    </row>
    <row r="4254" spans="1:1" s="427" customFormat="1" ht="12" hidden="1" customHeight="1">
      <c r="A4254" s="426"/>
    </row>
    <row r="4255" spans="1:1" s="427" customFormat="1" ht="12" hidden="1" customHeight="1">
      <c r="A4255" s="426"/>
    </row>
    <row r="4256" spans="1:1" s="427" customFormat="1" ht="12" hidden="1" customHeight="1">
      <c r="A4256" s="426"/>
    </row>
    <row r="4257" spans="1:1" s="427" customFormat="1" ht="12" hidden="1" customHeight="1">
      <c r="A4257" s="426"/>
    </row>
    <row r="4258" spans="1:1" s="427" customFormat="1" ht="12" hidden="1" customHeight="1">
      <c r="A4258" s="426"/>
    </row>
    <row r="4259" spans="1:1" s="427" customFormat="1" ht="12" hidden="1" customHeight="1">
      <c r="A4259" s="426"/>
    </row>
    <row r="4260" spans="1:1" s="427" customFormat="1" ht="12" hidden="1" customHeight="1">
      <c r="A4260" s="426"/>
    </row>
    <row r="4261" spans="1:1" s="427" customFormat="1" ht="12" hidden="1" customHeight="1">
      <c r="A4261" s="426"/>
    </row>
    <row r="4262" spans="1:1" s="427" customFormat="1" ht="12" hidden="1" customHeight="1">
      <c r="A4262" s="426"/>
    </row>
    <row r="4263" spans="1:1" s="427" customFormat="1" ht="12" hidden="1" customHeight="1">
      <c r="A4263" s="426"/>
    </row>
    <row r="4264" spans="1:1" s="427" customFormat="1" ht="12" hidden="1" customHeight="1">
      <c r="A4264" s="426"/>
    </row>
    <row r="4265" spans="1:1" s="427" customFormat="1" ht="12" hidden="1" customHeight="1">
      <c r="A4265" s="426"/>
    </row>
    <row r="4266" spans="1:1" s="427" customFormat="1" ht="12" hidden="1" customHeight="1">
      <c r="A4266" s="426"/>
    </row>
    <row r="4267" spans="1:1" s="427" customFormat="1" ht="12" hidden="1" customHeight="1">
      <c r="A4267" s="426"/>
    </row>
    <row r="4268" spans="1:1" s="427" customFormat="1" ht="12" hidden="1" customHeight="1">
      <c r="A4268" s="426"/>
    </row>
    <row r="4269" spans="1:1" s="427" customFormat="1" ht="12" hidden="1" customHeight="1">
      <c r="A4269" s="426"/>
    </row>
    <row r="4270" spans="1:1" s="427" customFormat="1" ht="12" hidden="1" customHeight="1">
      <c r="A4270" s="426"/>
    </row>
    <row r="4271" spans="1:1" s="427" customFormat="1" ht="12" hidden="1" customHeight="1">
      <c r="A4271" s="426"/>
    </row>
    <row r="4272" spans="1:1" s="427" customFormat="1" ht="12" hidden="1" customHeight="1">
      <c r="A4272" s="426"/>
    </row>
    <row r="4273" spans="1:1" s="427" customFormat="1" ht="12" hidden="1" customHeight="1">
      <c r="A4273" s="426"/>
    </row>
    <row r="4274" spans="1:1" s="427" customFormat="1" ht="12" hidden="1" customHeight="1">
      <c r="A4274" s="426"/>
    </row>
    <row r="4275" spans="1:1" s="427" customFormat="1" ht="12" hidden="1" customHeight="1">
      <c r="A4275" s="426"/>
    </row>
    <row r="4276" spans="1:1" s="427" customFormat="1" ht="12" hidden="1" customHeight="1">
      <c r="A4276" s="426"/>
    </row>
    <row r="4277" spans="1:1" s="427" customFormat="1" ht="12" hidden="1" customHeight="1">
      <c r="A4277" s="426"/>
    </row>
    <row r="4278" spans="1:1" s="427" customFormat="1" ht="12" hidden="1" customHeight="1">
      <c r="A4278" s="426"/>
    </row>
    <row r="4279" spans="1:1" s="427" customFormat="1" ht="12" hidden="1" customHeight="1">
      <c r="A4279" s="426"/>
    </row>
    <row r="4280" spans="1:1" s="427" customFormat="1" ht="12" hidden="1" customHeight="1">
      <c r="A4280" s="426"/>
    </row>
    <row r="4281" spans="1:1" s="427" customFormat="1" ht="12" hidden="1" customHeight="1">
      <c r="A4281" s="426"/>
    </row>
    <row r="4282" spans="1:1" s="427" customFormat="1" ht="12" hidden="1" customHeight="1">
      <c r="A4282" s="426"/>
    </row>
    <row r="4283" spans="1:1" s="427" customFormat="1" ht="12" hidden="1" customHeight="1">
      <c r="A4283" s="426"/>
    </row>
    <row r="4284" spans="1:1" s="427" customFormat="1" ht="12" hidden="1" customHeight="1">
      <c r="A4284" s="426"/>
    </row>
    <row r="4285" spans="1:1" s="427" customFormat="1" ht="12" hidden="1" customHeight="1">
      <c r="A4285" s="426"/>
    </row>
    <row r="4286" spans="1:1" s="427" customFormat="1" ht="12" hidden="1" customHeight="1">
      <c r="A4286" s="426"/>
    </row>
    <row r="4287" spans="1:1" s="427" customFormat="1" ht="12" hidden="1" customHeight="1">
      <c r="A4287" s="426"/>
    </row>
    <row r="4288" spans="1:1" s="427" customFormat="1" ht="12" hidden="1" customHeight="1">
      <c r="A4288" s="426"/>
    </row>
    <row r="4289" spans="1:1" s="427" customFormat="1" ht="12" hidden="1" customHeight="1">
      <c r="A4289" s="426"/>
    </row>
    <row r="4290" spans="1:1" s="427" customFormat="1" ht="12" hidden="1" customHeight="1">
      <c r="A4290" s="426"/>
    </row>
    <row r="4291" spans="1:1" s="427" customFormat="1" ht="12" hidden="1" customHeight="1">
      <c r="A4291" s="426"/>
    </row>
    <row r="4292" spans="1:1" s="427" customFormat="1" ht="12" hidden="1" customHeight="1">
      <c r="A4292" s="426"/>
    </row>
    <row r="4293" spans="1:1" s="427" customFormat="1" ht="12" hidden="1" customHeight="1">
      <c r="A4293" s="426"/>
    </row>
    <row r="4294" spans="1:1" s="427" customFormat="1" ht="12" hidden="1" customHeight="1">
      <c r="A4294" s="426"/>
    </row>
    <row r="4295" spans="1:1" s="427" customFormat="1" ht="12" hidden="1" customHeight="1">
      <c r="A4295" s="426"/>
    </row>
    <row r="4296" spans="1:1" s="427" customFormat="1" ht="12" hidden="1" customHeight="1">
      <c r="A4296" s="426"/>
    </row>
    <row r="4297" spans="1:1" s="427" customFormat="1" ht="12" hidden="1" customHeight="1">
      <c r="A4297" s="426"/>
    </row>
    <row r="4298" spans="1:1" s="427" customFormat="1" ht="12" hidden="1" customHeight="1">
      <c r="A4298" s="426"/>
    </row>
    <row r="4299" spans="1:1" s="427" customFormat="1" ht="12" hidden="1" customHeight="1">
      <c r="A4299" s="426"/>
    </row>
    <row r="4300" spans="1:1" s="427" customFormat="1" ht="12" hidden="1" customHeight="1">
      <c r="A4300" s="426"/>
    </row>
    <row r="4301" spans="1:1" s="427" customFormat="1" ht="12" hidden="1" customHeight="1">
      <c r="A4301" s="426"/>
    </row>
    <row r="4302" spans="1:1" s="427" customFormat="1" ht="12" hidden="1" customHeight="1">
      <c r="A4302" s="426"/>
    </row>
    <row r="4303" spans="1:1" s="427" customFormat="1" ht="12" hidden="1" customHeight="1">
      <c r="A4303" s="426"/>
    </row>
    <row r="4304" spans="1:1" s="427" customFormat="1" ht="12" hidden="1" customHeight="1">
      <c r="A4304" s="426"/>
    </row>
    <row r="4305" spans="1:1" s="427" customFormat="1" ht="12" hidden="1" customHeight="1">
      <c r="A4305" s="426"/>
    </row>
    <row r="4306" spans="1:1" s="427" customFormat="1" ht="12" hidden="1" customHeight="1">
      <c r="A4306" s="426"/>
    </row>
    <row r="4307" spans="1:1" s="427" customFormat="1" ht="12" hidden="1" customHeight="1">
      <c r="A4307" s="426"/>
    </row>
    <row r="4308" spans="1:1" s="427" customFormat="1" ht="12" hidden="1" customHeight="1">
      <c r="A4308" s="426"/>
    </row>
    <row r="4309" spans="1:1" s="427" customFormat="1" ht="12" hidden="1" customHeight="1">
      <c r="A4309" s="426"/>
    </row>
    <row r="4310" spans="1:1" s="427" customFormat="1" ht="12" hidden="1" customHeight="1">
      <c r="A4310" s="426"/>
    </row>
    <row r="4311" spans="1:1" s="427" customFormat="1" ht="12" hidden="1" customHeight="1">
      <c r="A4311" s="426"/>
    </row>
    <row r="4312" spans="1:1" s="427" customFormat="1" ht="12" hidden="1" customHeight="1">
      <c r="A4312" s="426"/>
    </row>
    <row r="4313" spans="1:1" s="427" customFormat="1" ht="12" hidden="1" customHeight="1">
      <c r="A4313" s="426"/>
    </row>
    <row r="4314" spans="1:1" s="427" customFormat="1" ht="12" hidden="1" customHeight="1">
      <c r="A4314" s="426"/>
    </row>
    <row r="4315" spans="1:1" s="427" customFormat="1" ht="12" hidden="1" customHeight="1">
      <c r="A4315" s="426"/>
    </row>
    <row r="4316" spans="1:1" s="427" customFormat="1" ht="12" hidden="1" customHeight="1">
      <c r="A4316" s="426"/>
    </row>
    <row r="4317" spans="1:1" s="427" customFormat="1" ht="12" hidden="1" customHeight="1">
      <c r="A4317" s="426"/>
    </row>
    <row r="4318" spans="1:1" s="427" customFormat="1" ht="12" hidden="1" customHeight="1">
      <c r="A4318" s="426"/>
    </row>
    <row r="4319" spans="1:1" s="427" customFormat="1" ht="12" hidden="1" customHeight="1">
      <c r="A4319" s="426"/>
    </row>
    <row r="4320" spans="1:1" s="427" customFormat="1" ht="12" hidden="1" customHeight="1">
      <c r="A4320" s="426"/>
    </row>
    <row r="4321" spans="1:1" s="427" customFormat="1" ht="12" hidden="1" customHeight="1">
      <c r="A4321" s="426"/>
    </row>
    <row r="4322" spans="1:1" s="427" customFormat="1" ht="12" hidden="1" customHeight="1">
      <c r="A4322" s="426"/>
    </row>
    <row r="4323" spans="1:1" s="427" customFormat="1" ht="12" hidden="1" customHeight="1">
      <c r="A4323" s="426"/>
    </row>
    <row r="4324" spans="1:1" s="427" customFormat="1" ht="12" hidden="1" customHeight="1">
      <c r="A4324" s="426"/>
    </row>
    <row r="4325" spans="1:1" s="427" customFormat="1" ht="12" hidden="1" customHeight="1">
      <c r="A4325" s="426"/>
    </row>
    <row r="4326" spans="1:1" s="427" customFormat="1" ht="12" hidden="1" customHeight="1">
      <c r="A4326" s="426"/>
    </row>
    <row r="4327" spans="1:1" s="427" customFormat="1" ht="12" hidden="1" customHeight="1">
      <c r="A4327" s="426"/>
    </row>
    <row r="4328" spans="1:1" s="427" customFormat="1" ht="12" hidden="1" customHeight="1">
      <c r="A4328" s="426"/>
    </row>
    <row r="4329" spans="1:1" s="427" customFormat="1" ht="12" hidden="1" customHeight="1">
      <c r="A4329" s="426"/>
    </row>
    <row r="4330" spans="1:1" s="427" customFormat="1" ht="12" hidden="1" customHeight="1">
      <c r="A4330" s="426"/>
    </row>
    <row r="4331" spans="1:1" s="427" customFormat="1" ht="12" hidden="1" customHeight="1">
      <c r="A4331" s="426"/>
    </row>
    <row r="4332" spans="1:1" s="427" customFormat="1" ht="12" hidden="1" customHeight="1">
      <c r="A4332" s="426"/>
    </row>
    <row r="4333" spans="1:1" s="427" customFormat="1" ht="12" hidden="1" customHeight="1">
      <c r="A4333" s="426"/>
    </row>
    <row r="4334" spans="1:1" s="427" customFormat="1" ht="12" hidden="1" customHeight="1">
      <c r="A4334" s="426"/>
    </row>
    <row r="4335" spans="1:1" s="427" customFormat="1" ht="12" hidden="1" customHeight="1">
      <c r="A4335" s="426"/>
    </row>
    <row r="4336" spans="1:1" s="427" customFormat="1" ht="12" hidden="1" customHeight="1">
      <c r="A4336" s="426"/>
    </row>
    <row r="4337" spans="1:1" s="427" customFormat="1" ht="12" hidden="1" customHeight="1">
      <c r="A4337" s="426"/>
    </row>
    <row r="4338" spans="1:1" s="427" customFormat="1" ht="12" hidden="1" customHeight="1">
      <c r="A4338" s="426"/>
    </row>
    <row r="4339" spans="1:1" s="427" customFormat="1" ht="12" hidden="1" customHeight="1">
      <c r="A4339" s="426"/>
    </row>
    <row r="4340" spans="1:1" s="427" customFormat="1" ht="12" hidden="1" customHeight="1">
      <c r="A4340" s="426"/>
    </row>
    <row r="4341" spans="1:1" s="427" customFormat="1" ht="12" hidden="1" customHeight="1">
      <c r="A4341" s="426"/>
    </row>
    <row r="4342" spans="1:1" s="427" customFormat="1" ht="12" hidden="1" customHeight="1">
      <c r="A4342" s="426"/>
    </row>
    <row r="4343" spans="1:1" s="427" customFormat="1" ht="12" hidden="1" customHeight="1">
      <c r="A4343" s="426"/>
    </row>
    <row r="4344" spans="1:1" s="427" customFormat="1" ht="12" hidden="1" customHeight="1">
      <c r="A4344" s="426"/>
    </row>
    <row r="4345" spans="1:1" s="427" customFormat="1" ht="12" hidden="1" customHeight="1">
      <c r="A4345" s="426"/>
    </row>
    <row r="4346" spans="1:1" s="427" customFormat="1" ht="12" hidden="1" customHeight="1">
      <c r="A4346" s="426"/>
    </row>
    <row r="4347" spans="1:1" s="427" customFormat="1" ht="12" hidden="1" customHeight="1">
      <c r="A4347" s="426"/>
    </row>
    <row r="4348" spans="1:1" s="427" customFormat="1" ht="12" hidden="1" customHeight="1">
      <c r="A4348" s="426"/>
    </row>
    <row r="4349" spans="1:1" s="427" customFormat="1" ht="12" hidden="1" customHeight="1">
      <c r="A4349" s="426"/>
    </row>
    <row r="4350" spans="1:1" s="427" customFormat="1" ht="12" hidden="1" customHeight="1">
      <c r="A4350" s="426"/>
    </row>
    <row r="4351" spans="1:1" s="427" customFormat="1" ht="12" hidden="1" customHeight="1">
      <c r="A4351" s="426"/>
    </row>
    <row r="4352" spans="1:1" s="427" customFormat="1" ht="12" hidden="1" customHeight="1">
      <c r="A4352" s="426"/>
    </row>
    <row r="4353" spans="1:1" s="427" customFormat="1" ht="12" hidden="1" customHeight="1">
      <c r="A4353" s="426"/>
    </row>
    <row r="4354" spans="1:1" s="427" customFormat="1" ht="12" hidden="1" customHeight="1">
      <c r="A4354" s="426"/>
    </row>
    <row r="4355" spans="1:1" s="427" customFormat="1" ht="12" hidden="1" customHeight="1">
      <c r="A4355" s="426"/>
    </row>
    <row r="4356" spans="1:1" s="427" customFormat="1" ht="12" hidden="1" customHeight="1">
      <c r="A4356" s="426"/>
    </row>
    <row r="4357" spans="1:1" s="427" customFormat="1" ht="12" hidden="1" customHeight="1">
      <c r="A4357" s="426"/>
    </row>
    <row r="4358" spans="1:1" s="427" customFormat="1" ht="12" hidden="1" customHeight="1">
      <c r="A4358" s="426"/>
    </row>
    <row r="4359" spans="1:1" s="427" customFormat="1" ht="12" hidden="1" customHeight="1">
      <c r="A4359" s="426"/>
    </row>
    <row r="4360" spans="1:1" s="427" customFormat="1" ht="12" hidden="1" customHeight="1">
      <c r="A4360" s="426"/>
    </row>
    <row r="4361" spans="1:1" s="427" customFormat="1" ht="12" hidden="1" customHeight="1">
      <c r="A4361" s="426"/>
    </row>
    <row r="4362" spans="1:1" s="427" customFormat="1" ht="12" hidden="1" customHeight="1">
      <c r="A4362" s="426"/>
    </row>
    <row r="4363" spans="1:1" s="427" customFormat="1" ht="12" hidden="1" customHeight="1">
      <c r="A4363" s="426"/>
    </row>
    <row r="4364" spans="1:1" s="427" customFormat="1" ht="12" hidden="1" customHeight="1">
      <c r="A4364" s="426"/>
    </row>
    <row r="4365" spans="1:1" s="427" customFormat="1" ht="12" hidden="1" customHeight="1">
      <c r="A4365" s="426"/>
    </row>
    <row r="4366" spans="1:1" s="427" customFormat="1" ht="12" hidden="1" customHeight="1">
      <c r="A4366" s="426"/>
    </row>
    <row r="4367" spans="1:1" s="427" customFormat="1" ht="12" hidden="1" customHeight="1">
      <c r="A4367" s="426"/>
    </row>
    <row r="4368" spans="1:1" s="427" customFormat="1" ht="12" hidden="1" customHeight="1">
      <c r="A4368" s="426"/>
    </row>
    <row r="4369" spans="1:1" s="427" customFormat="1" ht="12" hidden="1" customHeight="1">
      <c r="A4369" s="426"/>
    </row>
    <row r="4370" spans="1:1" s="427" customFormat="1" ht="12" hidden="1" customHeight="1">
      <c r="A4370" s="426"/>
    </row>
    <row r="4371" spans="1:1" s="427" customFormat="1" ht="12" hidden="1" customHeight="1">
      <c r="A4371" s="426"/>
    </row>
    <row r="4372" spans="1:1" s="427" customFormat="1" ht="12" hidden="1" customHeight="1">
      <c r="A4372" s="426"/>
    </row>
    <row r="4373" spans="1:1" s="427" customFormat="1" ht="12" hidden="1" customHeight="1">
      <c r="A4373" s="426"/>
    </row>
    <row r="4374" spans="1:1" s="427" customFormat="1" ht="12" hidden="1" customHeight="1">
      <c r="A4374" s="426"/>
    </row>
    <row r="4375" spans="1:1" s="427" customFormat="1" ht="12" hidden="1" customHeight="1">
      <c r="A4375" s="426"/>
    </row>
    <row r="4376" spans="1:1" s="427" customFormat="1" ht="12" hidden="1" customHeight="1">
      <c r="A4376" s="426"/>
    </row>
    <row r="4377" spans="1:1" s="427" customFormat="1" ht="12" hidden="1" customHeight="1">
      <c r="A4377" s="426"/>
    </row>
    <row r="4378" spans="1:1" s="427" customFormat="1" ht="12" hidden="1" customHeight="1">
      <c r="A4378" s="426"/>
    </row>
    <row r="4379" spans="1:1" s="427" customFormat="1" ht="12" hidden="1" customHeight="1">
      <c r="A4379" s="426"/>
    </row>
    <row r="4380" spans="1:1" s="427" customFormat="1" ht="12" hidden="1" customHeight="1">
      <c r="A4380" s="426"/>
    </row>
    <row r="4381" spans="1:1" s="427" customFormat="1" ht="12" hidden="1" customHeight="1">
      <c r="A4381" s="426"/>
    </row>
    <row r="4382" spans="1:1" s="427" customFormat="1" ht="12" hidden="1" customHeight="1">
      <c r="A4382" s="426"/>
    </row>
    <row r="4383" spans="1:1" s="427" customFormat="1" ht="12" hidden="1" customHeight="1">
      <c r="A4383" s="426"/>
    </row>
    <row r="4384" spans="1:1" s="427" customFormat="1" ht="12" hidden="1" customHeight="1">
      <c r="A4384" s="426"/>
    </row>
    <row r="4385" spans="1:1" s="427" customFormat="1" ht="12" hidden="1" customHeight="1">
      <c r="A4385" s="426"/>
    </row>
    <row r="4386" spans="1:1" s="427" customFormat="1" ht="12" hidden="1" customHeight="1">
      <c r="A4386" s="426"/>
    </row>
    <row r="4387" spans="1:1" s="427" customFormat="1" ht="12" hidden="1" customHeight="1">
      <c r="A4387" s="426"/>
    </row>
    <row r="4388" spans="1:1" s="427" customFormat="1" ht="12" hidden="1" customHeight="1">
      <c r="A4388" s="426"/>
    </row>
    <row r="4389" spans="1:1" s="427" customFormat="1" ht="12" hidden="1" customHeight="1">
      <c r="A4389" s="426"/>
    </row>
    <row r="4390" spans="1:1" s="427" customFormat="1" ht="12" hidden="1" customHeight="1">
      <c r="A4390" s="426"/>
    </row>
    <row r="4391" spans="1:1" s="427" customFormat="1" ht="12" hidden="1" customHeight="1">
      <c r="A4391" s="426"/>
    </row>
    <row r="4392" spans="1:1" s="427" customFormat="1" ht="12" hidden="1" customHeight="1">
      <c r="A4392" s="426"/>
    </row>
    <row r="4393" spans="1:1" s="427" customFormat="1" ht="12" hidden="1" customHeight="1">
      <c r="A4393" s="426"/>
    </row>
    <row r="4394" spans="1:1" s="427" customFormat="1" ht="12" hidden="1" customHeight="1">
      <c r="A4394" s="426"/>
    </row>
    <row r="4395" spans="1:1" s="427" customFormat="1" ht="12" hidden="1" customHeight="1">
      <c r="A4395" s="426"/>
    </row>
    <row r="4396" spans="1:1" s="427" customFormat="1" ht="12" hidden="1" customHeight="1">
      <c r="A4396" s="426"/>
    </row>
    <row r="4397" spans="1:1" s="427" customFormat="1" ht="12" hidden="1" customHeight="1">
      <c r="A4397" s="426"/>
    </row>
    <row r="4398" spans="1:1" s="427" customFormat="1" ht="12" hidden="1" customHeight="1">
      <c r="A4398" s="426"/>
    </row>
    <row r="4399" spans="1:1" s="427" customFormat="1" ht="12" hidden="1" customHeight="1">
      <c r="A4399" s="426"/>
    </row>
    <row r="4400" spans="1:1" s="427" customFormat="1" ht="12" hidden="1" customHeight="1">
      <c r="A4400" s="426"/>
    </row>
    <row r="4401" spans="1:1" s="427" customFormat="1" ht="12" hidden="1" customHeight="1">
      <c r="A4401" s="426"/>
    </row>
    <row r="4402" spans="1:1" s="427" customFormat="1" ht="12" hidden="1" customHeight="1">
      <c r="A4402" s="426"/>
    </row>
    <row r="4403" spans="1:1" s="427" customFormat="1" ht="12" hidden="1" customHeight="1">
      <c r="A4403" s="426"/>
    </row>
    <row r="4404" spans="1:1" s="427" customFormat="1" ht="12" hidden="1" customHeight="1">
      <c r="A4404" s="426"/>
    </row>
    <row r="4405" spans="1:1" s="427" customFormat="1" ht="12" hidden="1" customHeight="1">
      <c r="A4405" s="426"/>
    </row>
    <row r="4406" spans="1:1" s="427" customFormat="1" ht="12" hidden="1" customHeight="1">
      <c r="A4406" s="426"/>
    </row>
    <row r="4407" spans="1:1" s="427" customFormat="1" ht="12" hidden="1" customHeight="1">
      <c r="A4407" s="426"/>
    </row>
    <row r="4408" spans="1:1" s="427" customFormat="1" ht="12" hidden="1" customHeight="1">
      <c r="A4408" s="426"/>
    </row>
    <row r="4409" spans="1:1" s="427" customFormat="1" ht="12" hidden="1" customHeight="1">
      <c r="A4409" s="426"/>
    </row>
    <row r="4410" spans="1:1" s="427" customFormat="1" ht="12" hidden="1" customHeight="1">
      <c r="A4410" s="426"/>
    </row>
    <row r="4411" spans="1:1" s="427" customFormat="1" ht="12" hidden="1" customHeight="1">
      <c r="A4411" s="426"/>
    </row>
    <row r="4412" spans="1:1" s="427" customFormat="1" ht="12" hidden="1" customHeight="1">
      <c r="A4412" s="426"/>
    </row>
    <row r="4413" spans="1:1" s="427" customFormat="1" ht="12" hidden="1" customHeight="1">
      <c r="A4413" s="426"/>
    </row>
    <row r="4414" spans="1:1" s="427" customFormat="1" ht="12" hidden="1" customHeight="1">
      <c r="A4414" s="426"/>
    </row>
    <row r="4415" spans="1:1" s="427" customFormat="1" ht="12" hidden="1" customHeight="1">
      <c r="A4415" s="426"/>
    </row>
    <row r="4416" spans="1:1" s="427" customFormat="1" ht="12" hidden="1" customHeight="1">
      <c r="A4416" s="426"/>
    </row>
    <row r="4417" spans="1:1" s="427" customFormat="1" ht="12" hidden="1" customHeight="1">
      <c r="A4417" s="426"/>
    </row>
    <row r="4418" spans="1:1" s="427" customFormat="1" ht="12" hidden="1" customHeight="1">
      <c r="A4418" s="426"/>
    </row>
    <row r="4419" spans="1:1" s="427" customFormat="1" ht="12" hidden="1" customHeight="1">
      <c r="A4419" s="426"/>
    </row>
    <row r="4420" spans="1:1" s="427" customFormat="1" ht="12" hidden="1" customHeight="1">
      <c r="A4420" s="426"/>
    </row>
    <row r="4421" spans="1:1" s="427" customFormat="1" ht="12" hidden="1" customHeight="1">
      <c r="A4421" s="426"/>
    </row>
    <row r="4422" spans="1:1" s="427" customFormat="1" ht="12" hidden="1" customHeight="1">
      <c r="A4422" s="426"/>
    </row>
    <row r="4423" spans="1:1" s="427" customFormat="1" ht="12" hidden="1" customHeight="1">
      <c r="A4423" s="426"/>
    </row>
    <row r="4424" spans="1:1" s="427" customFormat="1" ht="12" hidden="1" customHeight="1">
      <c r="A4424" s="426"/>
    </row>
    <row r="4425" spans="1:1" s="427" customFormat="1" ht="12" hidden="1" customHeight="1">
      <c r="A4425" s="426"/>
    </row>
    <row r="4426" spans="1:1" s="427" customFormat="1" ht="12" hidden="1" customHeight="1">
      <c r="A4426" s="426"/>
    </row>
    <row r="4427" spans="1:1" s="427" customFormat="1" ht="12" hidden="1" customHeight="1">
      <c r="A4427" s="426"/>
    </row>
    <row r="4428" spans="1:1" s="427" customFormat="1" ht="12" hidden="1" customHeight="1">
      <c r="A4428" s="426"/>
    </row>
    <row r="4429" spans="1:1" s="427" customFormat="1" ht="12" hidden="1" customHeight="1">
      <c r="A4429" s="426"/>
    </row>
    <row r="4430" spans="1:1" s="427" customFormat="1" ht="12" hidden="1" customHeight="1">
      <c r="A4430" s="426"/>
    </row>
    <row r="4431" spans="1:1" s="427" customFormat="1" ht="12" hidden="1" customHeight="1">
      <c r="A4431" s="426"/>
    </row>
    <row r="4432" spans="1:1" s="427" customFormat="1" ht="12" hidden="1" customHeight="1">
      <c r="A4432" s="426"/>
    </row>
    <row r="4433" spans="1:1" s="427" customFormat="1" ht="12" hidden="1" customHeight="1">
      <c r="A4433" s="426"/>
    </row>
    <row r="4434" spans="1:1" s="427" customFormat="1" ht="12" hidden="1" customHeight="1">
      <c r="A4434" s="426"/>
    </row>
    <row r="4435" spans="1:1" s="427" customFormat="1" ht="12" hidden="1" customHeight="1">
      <c r="A4435" s="426"/>
    </row>
    <row r="4436" spans="1:1" s="427" customFormat="1" ht="12" hidden="1" customHeight="1">
      <c r="A4436" s="426"/>
    </row>
    <row r="4437" spans="1:1" s="427" customFormat="1" ht="12" hidden="1" customHeight="1">
      <c r="A4437" s="426"/>
    </row>
    <row r="4438" spans="1:1" s="427" customFormat="1" ht="12" hidden="1" customHeight="1">
      <c r="A4438" s="426"/>
    </row>
    <row r="4439" spans="1:1" s="427" customFormat="1" ht="12" hidden="1" customHeight="1">
      <c r="A4439" s="426"/>
    </row>
    <row r="4440" spans="1:1" s="427" customFormat="1" ht="12" hidden="1" customHeight="1">
      <c r="A4440" s="426"/>
    </row>
    <row r="4441" spans="1:1" s="427" customFormat="1" ht="12" hidden="1" customHeight="1">
      <c r="A4441" s="426"/>
    </row>
    <row r="4442" spans="1:1" s="427" customFormat="1" ht="12" hidden="1" customHeight="1">
      <c r="A4442" s="426"/>
    </row>
    <row r="4443" spans="1:1" s="427" customFormat="1" ht="12" hidden="1" customHeight="1">
      <c r="A4443" s="426"/>
    </row>
    <row r="4444" spans="1:1" s="427" customFormat="1" ht="12" hidden="1" customHeight="1">
      <c r="A4444" s="426"/>
    </row>
    <row r="4445" spans="1:1" s="427" customFormat="1" ht="12" hidden="1" customHeight="1">
      <c r="A4445" s="426"/>
    </row>
    <row r="4446" spans="1:1" s="427" customFormat="1" ht="12" hidden="1" customHeight="1">
      <c r="A4446" s="426"/>
    </row>
    <row r="4447" spans="1:1" s="427" customFormat="1" ht="12" hidden="1" customHeight="1">
      <c r="A4447" s="426"/>
    </row>
    <row r="4448" spans="1:1" s="427" customFormat="1" ht="12" hidden="1" customHeight="1">
      <c r="A4448" s="426"/>
    </row>
    <row r="4449" spans="1:1" s="427" customFormat="1" ht="12" hidden="1" customHeight="1">
      <c r="A4449" s="426"/>
    </row>
    <row r="4450" spans="1:1" s="427" customFormat="1" ht="12" hidden="1" customHeight="1">
      <c r="A4450" s="426"/>
    </row>
    <row r="4451" spans="1:1" s="427" customFormat="1" ht="12" hidden="1" customHeight="1">
      <c r="A4451" s="426"/>
    </row>
    <row r="4452" spans="1:1" s="427" customFormat="1" ht="12" hidden="1" customHeight="1">
      <c r="A4452" s="426"/>
    </row>
    <row r="4453" spans="1:1" s="427" customFormat="1" ht="12" hidden="1" customHeight="1">
      <c r="A4453" s="426"/>
    </row>
    <row r="4454" spans="1:1" s="427" customFormat="1" ht="12" hidden="1" customHeight="1">
      <c r="A4454" s="426"/>
    </row>
    <row r="4455" spans="1:1" s="427" customFormat="1" ht="12" hidden="1" customHeight="1">
      <c r="A4455" s="426"/>
    </row>
    <row r="4456" spans="1:1" s="427" customFormat="1" ht="12" hidden="1" customHeight="1">
      <c r="A4456" s="426"/>
    </row>
    <row r="4457" spans="1:1" s="427" customFormat="1" ht="12" hidden="1" customHeight="1">
      <c r="A4457" s="426"/>
    </row>
    <row r="4458" spans="1:1" s="427" customFormat="1" ht="12" hidden="1" customHeight="1">
      <c r="A4458" s="426"/>
    </row>
    <row r="4459" spans="1:1" s="427" customFormat="1" ht="12" hidden="1" customHeight="1">
      <c r="A4459" s="426"/>
    </row>
    <row r="4460" spans="1:1" s="427" customFormat="1" ht="12" hidden="1" customHeight="1">
      <c r="A4460" s="426"/>
    </row>
    <row r="4461" spans="1:1" s="427" customFormat="1" ht="12" hidden="1" customHeight="1">
      <c r="A4461" s="426"/>
    </row>
    <row r="4462" spans="1:1" s="427" customFormat="1" ht="12" hidden="1" customHeight="1">
      <c r="A4462" s="426"/>
    </row>
    <row r="4463" spans="1:1" s="427" customFormat="1" ht="12" hidden="1" customHeight="1">
      <c r="A4463" s="426"/>
    </row>
    <row r="4464" spans="1:1" s="427" customFormat="1" ht="12" hidden="1" customHeight="1">
      <c r="A4464" s="426"/>
    </row>
    <row r="4465" spans="1:1" s="427" customFormat="1" ht="12" hidden="1" customHeight="1">
      <c r="A4465" s="426"/>
    </row>
    <row r="4466" spans="1:1" s="427" customFormat="1" ht="12" hidden="1" customHeight="1">
      <c r="A4466" s="426"/>
    </row>
    <row r="4467" spans="1:1" s="427" customFormat="1" ht="12" hidden="1" customHeight="1">
      <c r="A4467" s="426"/>
    </row>
    <row r="4468" spans="1:1" s="427" customFormat="1" ht="12" hidden="1" customHeight="1">
      <c r="A4468" s="426"/>
    </row>
    <row r="4469" spans="1:1" s="427" customFormat="1" ht="12" hidden="1" customHeight="1">
      <c r="A4469" s="426"/>
    </row>
    <row r="4470" spans="1:1" s="427" customFormat="1" ht="12" hidden="1" customHeight="1">
      <c r="A4470" s="426"/>
    </row>
    <row r="4471" spans="1:1" s="427" customFormat="1" ht="12" hidden="1" customHeight="1">
      <c r="A4471" s="426"/>
    </row>
    <row r="4472" spans="1:1" s="427" customFormat="1" ht="12" hidden="1" customHeight="1">
      <c r="A4472" s="426"/>
    </row>
    <row r="4473" spans="1:1" s="427" customFormat="1" ht="12" hidden="1" customHeight="1">
      <c r="A4473" s="426"/>
    </row>
    <row r="4474" spans="1:1" s="427" customFormat="1" ht="12" hidden="1" customHeight="1">
      <c r="A4474" s="426"/>
    </row>
    <row r="4475" spans="1:1" s="427" customFormat="1" ht="12" hidden="1" customHeight="1">
      <c r="A4475" s="426"/>
    </row>
    <row r="4476" spans="1:1" s="427" customFormat="1" ht="12" hidden="1" customHeight="1">
      <c r="A4476" s="426"/>
    </row>
    <row r="4477" spans="1:1" s="427" customFormat="1" ht="12" hidden="1" customHeight="1">
      <c r="A4477" s="426"/>
    </row>
    <row r="4478" spans="1:1" s="427" customFormat="1" ht="12" hidden="1" customHeight="1">
      <c r="A4478" s="426"/>
    </row>
    <row r="4479" spans="1:1" s="427" customFormat="1" ht="12" hidden="1" customHeight="1">
      <c r="A4479" s="426"/>
    </row>
    <row r="4480" spans="1:1" s="427" customFormat="1" ht="12" hidden="1" customHeight="1">
      <c r="A4480" s="426"/>
    </row>
    <row r="4481" spans="1:1" s="427" customFormat="1" ht="12" hidden="1" customHeight="1">
      <c r="A4481" s="426"/>
    </row>
    <row r="4482" spans="1:1" s="427" customFormat="1" ht="12" hidden="1" customHeight="1">
      <c r="A4482" s="426"/>
    </row>
    <row r="4483" spans="1:1" s="427" customFormat="1" ht="12" hidden="1" customHeight="1">
      <c r="A4483" s="426"/>
    </row>
    <row r="4484" spans="1:1" s="427" customFormat="1" ht="12" hidden="1" customHeight="1">
      <c r="A4484" s="426"/>
    </row>
    <row r="4485" spans="1:1" s="427" customFormat="1" ht="12" hidden="1" customHeight="1">
      <c r="A4485" s="426"/>
    </row>
    <row r="4486" spans="1:1" s="427" customFormat="1" ht="12" hidden="1" customHeight="1">
      <c r="A4486" s="426"/>
    </row>
    <row r="4487" spans="1:1" s="427" customFormat="1" ht="12" hidden="1" customHeight="1">
      <c r="A4487" s="426"/>
    </row>
    <row r="4488" spans="1:1" s="427" customFormat="1" ht="12" hidden="1" customHeight="1">
      <c r="A4488" s="426"/>
    </row>
    <row r="4489" spans="1:1" s="427" customFormat="1" ht="12" hidden="1" customHeight="1">
      <c r="A4489" s="426"/>
    </row>
    <row r="4490" spans="1:1" s="427" customFormat="1" ht="12" hidden="1" customHeight="1">
      <c r="A4490" s="426"/>
    </row>
    <row r="4491" spans="1:1" s="427" customFormat="1" ht="12" hidden="1" customHeight="1">
      <c r="A4491" s="426"/>
    </row>
    <row r="4492" spans="1:1" s="427" customFormat="1" ht="12" hidden="1" customHeight="1">
      <c r="A4492" s="426"/>
    </row>
    <row r="4493" spans="1:1" s="427" customFormat="1" ht="12" hidden="1" customHeight="1">
      <c r="A4493" s="426"/>
    </row>
    <row r="4494" spans="1:1" s="427" customFormat="1" ht="12" hidden="1" customHeight="1">
      <c r="A4494" s="426"/>
    </row>
    <row r="4495" spans="1:1" s="427" customFormat="1" ht="12" hidden="1" customHeight="1">
      <c r="A4495" s="426"/>
    </row>
    <row r="4496" spans="1:1" s="427" customFormat="1" ht="12" hidden="1" customHeight="1">
      <c r="A4496" s="426"/>
    </row>
    <row r="4497" spans="1:1" s="427" customFormat="1" ht="12" hidden="1" customHeight="1">
      <c r="A4497" s="426"/>
    </row>
    <row r="4498" spans="1:1" s="427" customFormat="1" ht="12" hidden="1" customHeight="1">
      <c r="A4498" s="426"/>
    </row>
    <row r="4499" spans="1:1" s="427" customFormat="1" ht="12" hidden="1" customHeight="1">
      <c r="A4499" s="426"/>
    </row>
    <row r="4500" spans="1:1" s="427" customFormat="1" ht="12" hidden="1" customHeight="1">
      <c r="A4500" s="426"/>
    </row>
    <row r="4501" spans="1:1" s="427" customFormat="1" ht="12" hidden="1" customHeight="1">
      <c r="A4501" s="426"/>
    </row>
    <row r="4502" spans="1:1" s="427" customFormat="1" ht="12" hidden="1" customHeight="1">
      <c r="A4502" s="426"/>
    </row>
    <row r="4503" spans="1:1" s="427" customFormat="1" ht="12" hidden="1" customHeight="1">
      <c r="A4503" s="426"/>
    </row>
    <row r="4504" spans="1:1" s="427" customFormat="1" ht="12" hidden="1" customHeight="1">
      <c r="A4504" s="426"/>
    </row>
    <row r="4505" spans="1:1" s="427" customFormat="1" ht="12" hidden="1" customHeight="1">
      <c r="A4505" s="426"/>
    </row>
    <row r="4506" spans="1:1" s="427" customFormat="1" ht="12" hidden="1" customHeight="1">
      <c r="A4506" s="426"/>
    </row>
    <row r="4507" spans="1:1" s="427" customFormat="1" ht="12" hidden="1" customHeight="1">
      <c r="A4507" s="426"/>
    </row>
    <row r="4508" spans="1:1" s="427" customFormat="1" ht="12" hidden="1" customHeight="1">
      <c r="A4508" s="426"/>
    </row>
    <row r="4509" spans="1:1" s="427" customFormat="1" ht="12" hidden="1" customHeight="1">
      <c r="A4509" s="426"/>
    </row>
    <row r="4510" spans="1:1" s="427" customFormat="1" ht="12" hidden="1" customHeight="1">
      <c r="A4510" s="426"/>
    </row>
    <row r="4511" spans="1:1" s="427" customFormat="1" ht="12" hidden="1" customHeight="1">
      <c r="A4511" s="426"/>
    </row>
    <row r="4512" spans="1:1" s="427" customFormat="1" ht="12" hidden="1" customHeight="1">
      <c r="A4512" s="426"/>
    </row>
    <row r="4513" spans="1:1" s="427" customFormat="1" ht="12" hidden="1" customHeight="1">
      <c r="A4513" s="426"/>
    </row>
    <row r="4514" spans="1:1" s="427" customFormat="1" ht="12" hidden="1" customHeight="1">
      <c r="A4514" s="426"/>
    </row>
    <row r="4515" spans="1:1" s="427" customFormat="1" ht="12" hidden="1" customHeight="1">
      <c r="A4515" s="426"/>
    </row>
    <row r="4516" spans="1:1" s="427" customFormat="1" ht="12" hidden="1" customHeight="1">
      <c r="A4516" s="426"/>
    </row>
    <row r="4517" spans="1:1" s="427" customFormat="1" ht="12" hidden="1" customHeight="1">
      <c r="A4517" s="426"/>
    </row>
    <row r="4518" spans="1:1" s="427" customFormat="1" ht="12" hidden="1" customHeight="1">
      <c r="A4518" s="426"/>
    </row>
    <row r="4519" spans="1:1" s="427" customFormat="1" ht="12" hidden="1" customHeight="1">
      <c r="A4519" s="426"/>
    </row>
    <row r="4520" spans="1:1" s="427" customFormat="1" ht="12" hidden="1" customHeight="1">
      <c r="A4520" s="426"/>
    </row>
    <row r="4521" spans="1:1" s="427" customFormat="1" ht="12" hidden="1" customHeight="1">
      <c r="A4521" s="426"/>
    </row>
    <row r="4522" spans="1:1" s="427" customFormat="1" ht="12" hidden="1" customHeight="1">
      <c r="A4522" s="426"/>
    </row>
    <row r="4523" spans="1:1" s="427" customFormat="1" ht="12" hidden="1" customHeight="1">
      <c r="A4523" s="426"/>
    </row>
    <row r="4524" spans="1:1" s="427" customFormat="1" ht="12" hidden="1" customHeight="1">
      <c r="A4524" s="426"/>
    </row>
    <row r="4525" spans="1:1" s="427" customFormat="1" ht="12" hidden="1" customHeight="1">
      <c r="A4525" s="426"/>
    </row>
    <row r="4526" spans="1:1" s="427" customFormat="1" ht="12" hidden="1" customHeight="1">
      <c r="A4526" s="426"/>
    </row>
    <row r="4527" spans="1:1" s="427" customFormat="1" ht="12" hidden="1" customHeight="1">
      <c r="A4527" s="426"/>
    </row>
    <row r="4528" spans="1:1" s="427" customFormat="1" ht="12" hidden="1" customHeight="1">
      <c r="A4528" s="426"/>
    </row>
    <row r="4529" spans="1:1" s="427" customFormat="1" ht="12" hidden="1" customHeight="1">
      <c r="A4529" s="426"/>
    </row>
    <row r="4530" spans="1:1" s="427" customFormat="1" ht="12" hidden="1" customHeight="1">
      <c r="A4530" s="426"/>
    </row>
    <row r="4531" spans="1:1" s="427" customFormat="1" ht="12" hidden="1" customHeight="1">
      <c r="A4531" s="426"/>
    </row>
    <row r="4532" spans="1:1" s="427" customFormat="1" ht="12" hidden="1" customHeight="1">
      <c r="A4532" s="426"/>
    </row>
    <row r="4533" spans="1:1" s="427" customFormat="1" ht="12" hidden="1" customHeight="1">
      <c r="A4533" s="426"/>
    </row>
    <row r="4534" spans="1:1" s="427" customFormat="1" ht="12" hidden="1" customHeight="1">
      <c r="A4534" s="426"/>
    </row>
    <row r="4535" spans="1:1" s="427" customFormat="1" ht="12" hidden="1" customHeight="1">
      <c r="A4535" s="426"/>
    </row>
    <row r="4536" spans="1:1" s="427" customFormat="1" ht="12" hidden="1" customHeight="1">
      <c r="A4536" s="426"/>
    </row>
    <row r="4537" spans="1:1" s="427" customFormat="1" ht="12" hidden="1" customHeight="1">
      <c r="A4537" s="426"/>
    </row>
    <row r="4538" spans="1:1" s="427" customFormat="1" ht="12" hidden="1" customHeight="1">
      <c r="A4538" s="426"/>
    </row>
    <row r="4539" spans="1:1" s="427" customFormat="1" ht="12" hidden="1" customHeight="1">
      <c r="A4539" s="426"/>
    </row>
    <row r="4540" spans="1:1" s="427" customFormat="1" ht="12" hidden="1" customHeight="1">
      <c r="A4540" s="426"/>
    </row>
    <row r="4541" spans="1:1" s="427" customFormat="1" ht="12" hidden="1" customHeight="1">
      <c r="A4541" s="426"/>
    </row>
    <row r="4542" spans="1:1" s="427" customFormat="1" ht="12" hidden="1" customHeight="1">
      <c r="A4542" s="426"/>
    </row>
    <row r="4543" spans="1:1" s="427" customFormat="1" ht="12" hidden="1" customHeight="1">
      <c r="A4543" s="426"/>
    </row>
    <row r="4544" spans="1:1" s="427" customFormat="1" ht="12" hidden="1" customHeight="1">
      <c r="A4544" s="426"/>
    </row>
    <row r="4545" spans="1:1" s="427" customFormat="1" ht="12" hidden="1" customHeight="1">
      <c r="A4545" s="426"/>
    </row>
    <row r="4546" spans="1:1" s="427" customFormat="1" ht="12" hidden="1" customHeight="1">
      <c r="A4546" s="426"/>
    </row>
    <row r="4547" spans="1:1" s="427" customFormat="1" ht="12" hidden="1" customHeight="1">
      <c r="A4547" s="426"/>
    </row>
    <row r="4548" spans="1:1" s="427" customFormat="1" ht="12" hidden="1" customHeight="1">
      <c r="A4548" s="426"/>
    </row>
    <row r="4549" spans="1:1" s="427" customFormat="1" ht="12" hidden="1" customHeight="1">
      <c r="A4549" s="426"/>
    </row>
    <row r="4550" spans="1:1" s="427" customFormat="1" ht="12" hidden="1" customHeight="1">
      <c r="A4550" s="426"/>
    </row>
    <row r="4551" spans="1:1" s="427" customFormat="1" ht="12" hidden="1" customHeight="1">
      <c r="A4551" s="426"/>
    </row>
    <row r="4552" spans="1:1" s="427" customFormat="1" ht="12" hidden="1" customHeight="1">
      <c r="A4552" s="426"/>
    </row>
    <row r="4553" spans="1:1" s="427" customFormat="1" ht="12" hidden="1" customHeight="1">
      <c r="A4553" s="426"/>
    </row>
    <row r="4554" spans="1:1" s="427" customFormat="1" ht="12" hidden="1" customHeight="1">
      <c r="A4554" s="426"/>
    </row>
    <row r="4555" spans="1:1" s="427" customFormat="1" ht="12" hidden="1" customHeight="1">
      <c r="A4555" s="426"/>
    </row>
    <row r="4556" spans="1:1" s="427" customFormat="1" ht="12" hidden="1" customHeight="1">
      <c r="A4556" s="426"/>
    </row>
    <row r="4557" spans="1:1" s="427" customFormat="1" ht="12" hidden="1" customHeight="1">
      <c r="A4557" s="426"/>
    </row>
    <row r="4558" spans="1:1" s="427" customFormat="1" ht="12" hidden="1" customHeight="1">
      <c r="A4558" s="426"/>
    </row>
    <row r="4559" spans="1:1" s="427" customFormat="1" ht="12" hidden="1" customHeight="1">
      <c r="A4559" s="426"/>
    </row>
    <row r="4560" spans="1:1" s="427" customFormat="1" ht="12" hidden="1" customHeight="1">
      <c r="A4560" s="426"/>
    </row>
    <row r="4561" spans="1:1" s="427" customFormat="1" ht="12" hidden="1" customHeight="1">
      <c r="A4561" s="426"/>
    </row>
    <row r="4562" spans="1:1" s="427" customFormat="1" ht="12" hidden="1" customHeight="1">
      <c r="A4562" s="426"/>
    </row>
    <row r="4563" spans="1:1" s="427" customFormat="1" ht="12" hidden="1" customHeight="1">
      <c r="A4563" s="426"/>
    </row>
    <row r="4564" spans="1:1" s="427" customFormat="1" ht="12" hidden="1" customHeight="1">
      <c r="A4564" s="426"/>
    </row>
    <row r="4565" spans="1:1" s="427" customFormat="1" ht="12" hidden="1" customHeight="1">
      <c r="A4565" s="426"/>
    </row>
    <row r="4566" spans="1:1" s="427" customFormat="1" ht="12" hidden="1" customHeight="1">
      <c r="A4566" s="426"/>
    </row>
    <row r="4567" spans="1:1" s="427" customFormat="1" ht="12" hidden="1" customHeight="1">
      <c r="A4567" s="426"/>
    </row>
    <row r="4568" spans="1:1" s="427" customFormat="1" ht="12" hidden="1" customHeight="1">
      <c r="A4568" s="426"/>
    </row>
    <row r="4569" spans="1:1" s="427" customFormat="1" ht="12" hidden="1" customHeight="1">
      <c r="A4569" s="426"/>
    </row>
    <row r="4570" spans="1:1" s="427" customFormat="1" ht="12" hidden="1" customHeight="1">
      <c r="A4570" s="426"/>
    </row>
    <row r="4571" spans="1:1" s="427" customFormat="1" ht="12" hidden="1" customHeight="1">
      <c r="A4571" s="426"/>
    </row>
    <row r="4572" spans="1:1" s="427" customFormat="1" ht="12" hidden="1" customHeight="1">
      <c r="A4572" s="426"/>
    </row>
    <row r="4573" spans="1:1" s="427" customFormat="1" ht="12" hidden="1" customHeight="1">
      <c r="A4573" s="426"/>
    </row>
    <row r="4574" spans="1:1" s="427" customFormat="1" ht="12" hidden="1" customHeight="1">
      <c r="A4574" s="426"/>
    </row>
    <row r="4575" spans="1:1" s="427" customFormat="1" ht="12" hidden="1" customHeight="1">
      <c r="A4575" s="426"/>
    </row>
    <row r="4576" spans="1:1" s="427" customFormat="1" ht="12" hidden="1" customHeight="1">
      <c r="A4576" s="426"/>
    </row>
    <row r="4577" spans="1:1" s="427" customFormat="1" ht="12" hidden="1" customHeight="1">
      <c r="A4577" s="426"/>
    </row>
    <row r="4578" spans="1:1" s="427" customFormat="1" ht="12" hidden="1" customHeight="1">
      <c r="A4578" s="426"/>
    </row>
    <row r="4579" spans="1:1" s="427" customFormat="1" ht="12" hidden="1" customHeight="1">
      <c r="A4579" s="426"/>
    </row>
    <row r="4580" spans="1:1" s="427" customFormat="1" ht="12" hidden="1" customHeight="1">
      <c r="A4580" s="426"/>
    </row>
    <row r="4581" spans="1:1" s="427" customFormat="1" ht="12" hidden="1" customHeight="1">
      <c r="A4581" s="426"/>
    </row>
    <row r="4582" spans="1:1" s="427" customFormat="1" ht="12" hidden="1" customHeight="1">
      <c r="A4582" s="426"/>
    </row>
    <row r="4583" spans="1:1" s="427" customFormat="1" ht="12" hidden="1" customHeight="1">
      <c r="A4583" s="426"/>
    </row>
    <row r="4584" spans="1:1" s="427" customFormat="1" ht="12" hidden="1" customHeight="1">
      <c r="A4584" s="426"/>
    </row>
    <row r="4585" spans="1:1" s="427" customFormat="1" ht="12" hidden="1" customHeight="1">
      <c r="A4585" s="426"/>
    </row>
    <row r="4586" spans="1:1" s="427" customFormat="1" ht="12" hidden="1" customHeight="1">
      <c r="A4586" s="426"/>
    </row>
    <row r="4587" spans="1:1" s="427" customFormat="1" ht="12" hidden="1" customHeight="1">
      <c r="A4587" s="426"/>
    </row>
    <row r="4588" spans="1:1" s="427" customFormat="1" ht="12" hidden="1" customHeight="1">
      <c r="A4588" s="426"/>
    </row>
    <row r="4589" spans="1:1" s="427" customFormat="1" ht="12" hidden="1" customHeight="1">
      <c r="A4589" s="426"/>
    </row>
    <row r="4590" spans="1:1" s="427" customFormat="1" ht="12" hidden="1" customHeight="1">
      <c r="A4590" s="426"/>
    </row>
    <row r="4591" spans="1:1" s="427" customFormat="1" ht="12" hidden="1" customHeight="1">
      <c r="A4591" s="426"/>
    </row>
    <row r="4592" spans="1:1" s="427" customFormat="1" ht="12" hidden="1" customHeight="1">
      <c r="A4592" s="426"/>
    </row>
    <row r="4593" spans="1:1" s="427" customFormat="1" ht="12" hidden="1" customHeight="1">
      <c r="A4593" s="426"/>
    </row>
    <row r="4594" spans="1:1" s="427" customFormat="1" ht="12" hidden="1" customHeight="1">
      <c r="A4594" s="426"/>
    </row>
    <row r="4595" spans="1:1" s="427" customFormat="1" ht="12" hidden="1" customHeight="1">
      <c r="A4595" s="426"/>
    </row>
    <row r="4596" spans="1:1" s="427" customFormat="1" ht="12" hidden="1" customHeight="1">
      <c r="A4596" s="426"/>
    </row>
    <row r="4597" spans="1:1" s="427" customFormat="1" ht="12" hidden="1" customHeight="1">
      <c r="A4597" s="426"/>
    </row>
    <row r="4598" spans="1:1" s="427" customFormat="1" ht="12" hidden="1" customHeight="1">
      <c r="A4598" s="426"/>
    </row>
    <row r="4599" spans="1:1" s="427" customFormat="1" ht="12" hidden="1" customHeight="1">
      <c r="A4599" s="426"/>
    </row>
    <row r="4600" spans="1:1" s="427" customFormat="1" ht="12" hidden="1" customHeight="1">
      <c r="A4600" s="426"/>
    </row>
    <row r="4601" spans="1:1" s="427" customFormat="1" ht="12" hidden="1" customHeight="1">
      <c r="A4601" s="426"/>
    </row>
    <row r="4602" spans="1:1" s="427" customFormat="1" ht="12" hidden="1" customHeight="1">
      <c r="A4602" s="426"/>
    </row>
    <row r="4603" spans="1:1" s="427" customFormat="1" ht="12" hidden="1" customHeight="1">
      <c r="A4603" s="426"/>
    </row>
    <row r="4604" spans="1:1" s="427" customFormat="1" ht="12" hidden="1" customHeight="1">
      <c r="A4604" s="426"/>
    </row>
    <row r="4605" spans="1:1" s="427" customFormat="1" ht="12" hidden="1" customHeight="1">
      <c r="A4605" s="426"/>
    </row>
    <row r="4606" spans="1:1" s="427" customFormat="1" ht="12" hidden="1" customHeight="1">
      <c r="A4606" s="426"/>
    </row>
    <row r="4607" spans="1:1" s="427" customFormat="1" ht="12" hidden="1" customHeight="1">
      <c r="A4607" s="426"/>
    </row>
    <row r="4608" spans="1:1" s="427" customFormat="1" ht="12" hidden="1" customHeight="1">
      <c r="A4608" s="426"/>
    </row>
    <row r="4609" spans="1:1" s="427" customFormat="1" ht="12" hidden="1" customHeight="1">
      <c r="A4609" s="426"/>
    </row>
    <row r="4610" spans="1:1" s="427" customFormat="1" ht="12" hidden="1" customHeight="1">
      <c r="A4610" s="426"/>
    </row>
    <row r="4611" spans="1:1" s="427" customFormat="1" ht="12" hidden="1" customHeight="1">
      <c r="A4611" s="426"/>
    </row>
    <row r="4612" spans="1:1" s="427" customFormat="1" ht="12" hidden="1" customHeight="1">
      <c r="A4612" s="426"/>
    </row>
    <row r="4613" spans="1:1" s="427" customFormat="1" ht="12" hidden="1" customHeight="1">
      <c r="A4613" s="426"/>
    </row>
    <row r="4614" spans="1:1" s="427" customFormat="1" ht="12" hidden="1" customHeight="1">
      <c r="A4614" s="426"/>
    </row>
    <row r="4615" spans="1:1" s="427" customFormat="1" ht="12" hidden="1" customHeight="1">
      <c r="A4615" s="426"/>
    </row>
    <row r="4616" spans="1:1" s="427" customFormat="1" ht="12" hidden="1" customHeight="1">
      <c r="A4616" s="426"/>
    </row>
    <row r="4617" spans="1:1" s="427" customFormat="1" ht="12" hidden="1" customHeight="1">
      <c r="A4617" s="426"/>
    </row>
    <row r="4618" spans="1:1" s="427" customFormat="1" ht="12" hidden="1" customHeight="1">
      <c r="A4618" s="426"/>
    </row>
    <row r="4619" spans="1:1" s="427" customFormat="1" ht="12" hidden="1" customHeight="1">
      <c r="A4619" s="426"/>
    </row>
    <row r="4620" spans="1:1" s="427" customFormat="1" ht="12" hidden="1" customHeight="1">
      <c r="A4620" s="426"/>
    </row>
    <row r="4621" spans="1:1" s="427" customFormat="1" ht="12" hidden="1" customHeight="1">
      <c r="A4621" s="426"/>
    </row>
    <row r="4622" spans="1:1" s="427" customFormat="1" ht="12" hidden="1" customHeight="1">
      <c r="A4622" s="426"/>
    </row>
    <row r="4623" spans="1:1" s="427" customFormat="1" ht="12" hidden="1" customHeight="1">
      <c r="A4623" s="426"/>
    </row>
    <row r="4624" spans="1:1" s="427" customFormat="1" ht="12" hidden="1" customHeight="1">
      <c r="A4624" s="426"/>
    </row>
    <row r="4625" spans="1:1" s="427" customFormat="1" ht="12" hidden="1" customHeight="1">
      <c r="A4625" s="426"/>
    </row>
    <row r="4626" spans="1:1" s="427" customFormat="1" ht="12" hidden="1" customHeight="1">
      <c r="A4626" s="426"/>
    </row>
    <row r="4627" spans="1:1" s="427" customFormat="1" ht="12" hidden="1" customHeight="1">
      <c r="A4627" s="426"/>
    </row>
    <row r="4628" spans="1:1" s="427" customFormat="1" ht="12" hidden="1" customHeight="1">
      <c r="A4628" s="426"/>
    </row>
    <row r="4629" spans="1:1" s="427" customFormat="1" ht="12" hidden="1" customHeight="1">
      <c r="A4629" s="426"/>
    </row>
    <row r="4630" spans="1:1" s="427" customFormat="1" ht="12" hidden="1" customHeight="1">
      <c r="A4630" s="426"/>
    </row>
    <row r="4631" spans="1:1" s="427" customFormat="1" ht="12" hidden="1" customHeight="1">
      <c r="A4631" s="426"/>
    </row>
    <row r="4632" spans="1:1" s="427" customFormat="1" ht="12" hidden="1" customHeight="1">
      <c r="A4632" s="426"/>
    </row>
    <row r="4633" spans="1:1" s="427" customFormat="1" ht="12" hidden="1" customHeight="1">
      <c r="A4633" s="426"/>
    </row>
    <row r="4634" spans="1:1" s="427" customFormat="1" ht="12" hidden="1" customHeight="1">
      <c r="A4634" s="426"/>
    </row>
    <row r="4635" spans="1:1" s="427" customFormat="1" ht="12" hidden="1" customHeight="1">
      <c r="A4635" s="426"/>
    </row>
    <row r="4636" spans="1:1" s="427" customFormat="1" ht="12" hidden="1" customHeight="1">
      <c r="A4636" s="426"/>
    </row>
    <row r="4637" spans="1:1" s="427" customFormat="1" ht="12" hidden="1" customHeight="1">
      <c r="A4637" s="426"/>
    </row>
    <row r="4638" spans="1:1" s="427" customFormat="1" ht="12" hidden="1" customHeight="1">
      <c r="A4638" s="426"/>
    </row>
    <row r="4639" spans="1:1" s="427" customFormat="1" ht="12" hidden="1" customHeight="1">
      <c r="A4639" s="426"/>
    </row>
    <row r="4640" spans="1:1" s="427" customFormat="1" ht="12" hidden="1" customHeight="1">
      <c r="A4640" s="426"/>
    </row>
    <row r="4641" spans="1:1" s="427" customFormat="1" ht="12" hidden="1" customHeight="1">
      <c r="A4641" s="426"/>
    </row>
    <row r="4642" spans="1:1" s="427" customFormat="1" ht="12" hidden="1" customHeight="1">
      <c r="A4642" s="426"/>
    </row>
    <row r="4643" spans="1:1" s="427" customFormat="1" ht="12" hidden="1" customHeight="1">
      <c r="A4643" s="426"/>
    </row>
    <row r="4644" spans="1:1" s="427" customFormat="1" ht="12" hidden="1" customHeight="1">
      <c r="A4644" s="426"/>
    </row>
    <row r="4645" spans="1:1" s="427" customFormat="1" ht="12" hidden="1" customHeight="1">
      <c r="A4645" s="426"/>
    </row>
    <row r="4646" spans="1:1" s="427" customFormat="1" ht="12" hidden="1" customHeight="1">
      <c r="A4646" s="426"/>
    </row>
    <row r="4647" spans="1:1" s="427" customFormat="1" ht="12" hidden="1" customHeight="1">
      <c r="A4647" s="426"/>
    </row>
    <row r="4648" spans="1:1" s="427" customFormat="1" ht="12" hidden="1" customHeight="1">
      <c r="A4648" s="426"/>
    </row>
    <row r="4649" spans="1:1" s="427" customFormat="1" ht="12" hidden="1" customHeight="1">
      <c r="A4649" s="426"/>
    </row>
    <row r="4650" spans="1:1" s="427" customFormat="1" ht="12" hidden="1" customHeight="1">
      <c r="A4650" s="426"/>
    </row>
    <row r="4651" spans="1:1" s="427" customFormat="1" ht="12" hidden="1" customHeight="1">
      <c r="A4651" s="426"/>
    </row>
    <row r="4652" spans="1:1" s="427" customFormat="1" ht="12" hidden="1" customHeight="1">
      <c r="A4652" s="426"/>
    </row>
    <row r="4653" spans="1:1" s="427" customFormat="1" ht="12" hidden="1" customHeight="1">
      <c r="A4653" s="426"/>
    </row>
    <row r="4654" spans="1:1" s="427" customFormat="1" ht="12" hidden="1" customHeight="1">
      <c r="A4654" s="426"/>
    </row>
    <row r="4655" spans="1:1" s="427" customFormat="1" ht="12" hidden="1" customHeight="1">
      <c r="A4655" s="426"/>
    </row>
    <row r="4656" spans="1:1" s="427" customFormat="1" ht="12" hidden="1" customHeight="1">
      <c r="A4656" s="426"/>
    </row>
    <row r="4657" spans="1:1" s="427" customFormat="1" ht="12" hidden="1" customHeight="1">
      <c r="A4657" s="426"/>
    </row>
    <row r="4658" spans="1:1" s="427" customFormat="1" ht="12" hidden="1" customHeight="1">
      <c r="A4658" s="426"/>
    </row>
    <row r="4659" spans="1:1" s="427" customFormat="1" ht="12" hidden="1" customHeight="1">
      <c r="A4659" s="426"/>
    </row>
    <row r="4660" spans="1:1" s="427" customFormat="1" ht="12" hidden="1" customHeight="1">
      <c r="A4660" s="426"/>
    </row>
    <row r="4661" spans="1:1" s="427" customFormat="1" ht="12" hidden="1" customHeight="1">
      <c r="A4661" s="426"/>
    </row>
    <row r="4662" spans="1:1" s="427" customFormat="1" ht="12" hidden="1" customHeight="1">
      <c r="A4662" s="426"/>
    </row>
    <row r="4663" spans="1:1" s="427" customFormat="1" ht="12" hidden="1" customHeight="1">
      <c r="A4663" s="426"/>
    </row>
    <row r="4664" spans="1:1" s="427" customFormat="1" ht="12" hidden="1" customHeight="1">
      <c r="A4664" s="426"/>
    </row>
    <row r="4665" spans="1:1" s="427" customFormat="1" ht="12" hidden="1" customHeight="1">
      <c r="A4665" s="426"/>
    </row>
    <row r="4666" spans="1:1" s="427" customFormat="1" ht="12" hidden="1" customHeight="1">
      <c r="A4666" s="426"/>
    </row>
    <row r="4667" spans="1:1" s="427" customFormat="1" ht="12" hidden="1" customHeight="1">
      <c r="A4667" s="426"/>
    </row>
    <row r="4668" spans="1:1" s="427" customFormat="1" ht="12" hidden="1" customHeight="1">
      <c r="A4668" s="426"/>
    </row>
    <row r="4669" spans="1:1" s="427" customFormat="1" ht="12" hidden="1" customHeight="1">
      <c r="A4669" s="426"/>
    </row>
    <row r="4670" spans="1:1" s="427" customFormat="1" ht="12" hidden="1" customHeight="1">
      <c r="A4670" s="426"/>
    </row>
    <row r="4671" spans="1:1" s="427" customFormat="1" ht="12" hidden="1" customHeight="1">
      <c r="A4671" s="426"/>
    </row>
    <row r="4672" spans="1:1" s="427" customFormat="1" ht="12" hidden="1" customHeight="1">
      <c r="A4672" s="426"/>
    </row>
    <row r="4673" spans="1:1" s="427" customFormat="1" ht="12" hidden="1" customHeight="1">
      <c r="A4673" s="426"/>
    </row>
    <row r="4674" spans="1:1" s="427" customFormat="1" ht="12" hidden="1" customHeight="1">
      <c r="A4674" s="426"/>
    </row>
    <row r="4675" spans="1:1" s="427" customFormat="1" ht="12" hidden="1" customHeight="1">
      <c r="A4675" s="426"/>
    </row>
    <row r="4676" spans="1:1" s="427" customFormat="1" ht="12" hidden="1" customHeight="1">
      <c r="A4676" s="426"/>
    </row>
    <row r="4677" spans="1:1" s="427" customFormat="1" ht="12" hidden="1" customHeight="1">
      <c r="A4677" s="426"/>
    </row>
    <row r="4678" spans="1:1" s="427" customFormat="1" ht="12" hidden="1" customHeight="1">
      <c r="A4678" s="426"/>
    </row>
    <row r="4679" spans="1:1" s="427" customFormat="1" ht="12" hidden="1" customHeight="1">
      <c r="A4679" s="426"/>
    </row>
    <row r="4680" spans="1:1" s="427" customFormat="1" ht="12" hidden="1" customHeight="1">
      <c r="A4680" s="426"/>
    </row>
    <row r="4681" spans="1:1" s="427" customFormat="1" ht="12" hidden="1" customHeight="1">
      <c r="A4681" s="426"/>
    </row>
    <row r="4682" spans="1:1" s="427" customFormat="1" ht="12" hidden="1" customHeight="1">
      <c r="A4682" s="426"/>
    </row>
    <row r="4683" spans="1:1" s="427" customFormat="1" ht="12" hidden="1" customHeight="1">
      <c r="A4683" s="426"/>
    </row>
    <row r="4684" spans="1:1" s="427" customFormat="1" ht="12" hidden="1" customHeight="1">
      <c r="A4684" s="426"/>
    </row>
    <row r="4685" spans="1:1" s="427" customFormat="1" ht="12" hidden="1" customHeight="1">
      <c r="A4685" s="426"/>
    </row>
    <row r="4686" spans="1:1" s="427" customFormat="1" ht="12" hidden="1" customHeight="1">
      <c r="A4686" s="426"/>
    </row>
    <row r="4687" spans="1:1" s="427" customFormat="1" ht="12" hidden="1" customHeight="1">
      <c r="A4687" s="426"/>
    </row>
    <row r="4688" spans="1:1" s="427" customFormat="1" ht="12" hidden="1" customHeight="1">
      <c r="A4688" s="426"/>
    </row>
    <row r="4689" spans="1:1" s="427" customFormat="1" ht="12" hidden="1" customHeight="1">
      <c r="A4689" s="426"/>
    </row>
    <row r="4690" spans="1:1" s="427" customFormat="1" ht="12" hidden="1" customHeight="1">
      <c r="A4690" s="426"/>
    </row>
    <row r="4691" spans="1:1" s="427" customFormat="1" ht="12" hidden="1" customHeight="1">
      <c r="A4691" s="426"/>
    </row>
    <row r="4692" spans="1:1" s="427" customFormat="1" ht="12" hidden="1" customHeight="1">
      <c r="A4692" s="426"/>
    </row>
    <row r="4693" spans="1:1" s="427" customFormat="1" ht="12" hidden="1" customHeight="1">
      <c r="A4693" s="426"/>
    </row>
    <row r="4694" spans="1:1" s="427" customFormat="1" ht="12" hidden="1" customHeight="1">
      <c r="A4694" s="426"/>
    </row>
    <row r="4695" spans="1:1" s="427" customFormat="1" ht="12" hidden="1" customHeight="1">
      <c r="A4695" s="426"/>
    </row>
    <row r="4696" spans="1:1" s="427" customFormat="1" ht="12" hidden="1" customHeight="1">
      <c r="A4696" s="426"/>
    </row>
    <row r="4697" spans="1:1" s="427" customFormat="1" ht="12" hidden="1" customHeight="1">
      <c r="A4697" s="426"/>
    </row>
    <row r="4698" spans="1:1" s="427" customFormat="1" ht="12" hidden="1" customHeight="1">
      <c r="A4698" s="426"/>
    </row>
    <row r="4699" spans="1:1" s="427" customFormat="1" ht="12" hidden="1" customHeight="1">
      <c r="A4699" s="426"/>
    </row>
    <row r="4700" spans="1:1" s="427" customFormat="1" ht="12" hidden="1" customHeight="1">
      <c r="A4700" s="426"/>
    </row>
    <row r="4701" spans="1:1" s="427" customFormat="1" ht="12" hidden="1" customHeight="1">
      <c r="A4701" s="426"/>
    </row>
    <row r="4702" spans="1:1" s="427" customFormat="1" ht="12" hidden="1" customHeight="1">
      <c r="A4702" s="426"/>
    </row>
    <row r="4703" spans="1:1" s="427" customFormat="1" ht="12" hidden="1" customHeight="1">
      <c r="A4703" s="426"/>
    </row>
    <row r="4704" spans="1:1" s="427" customFormat="1" ht="12" hidden="1" customHeight="1">
      <c r="A4704" s="426"/>
    </row>
    <row r="4705" spans="1:1" s="427" customFormat="1" ht="12" hidden="1" customHeight="1">
      <c r="A4705" s="426"/>
    </row>
    <row r="4706" spans="1:1" s="427" customFormat="1" ht="12" hidden="1" customHeight="1">
      <c r="A4706" s="426"/>
    </row>
    <row r="4707" spans="1:1" s="427" customFormat="1" ht="12" hidden="1" customHeight="1">
      <c r="A4707" s="426"/>
    </row>
    <row r="4708" spans="1:1" s="427" customFormat="1" ht="12" hidden="1" customHeight="1">
      <c r="A4708" s="426"/>
    </row>
    <row r="4709" spans="1:1" s="427" customFormat="1" ht="12" hidden="1" customHeight="1">
      <c r="A4709" s="426"/>
    </row>
    <row r="4710" spans="1:1" s="427" customFormat="1" ht="12" hidden="1" customHeight="1">
      <c r="A4710" s="426"/>
    </row>
    <row r="4711" spans="1:1" s="427" customFormat="1" ht="12" hidden="1" customHeight="1">
      <c r="A4711" s="426"/>
    </row>
    <row r="4712" spans="1:1" s="427" customFormat="1" ht="12" hidden="1" customHeight="1">
      <c r="A4712" s="426"/>
    </row>
    <row r="4713" spans="1:1" s="427" customFormat="1" ht="12" hidden="1" customHeight="1">
      <c r="A4713" s="426"/>
    </row>
    <row r="4714" spans="1:1" s="427" customFormat="1" ht="12" hidden="1" customHeight="1">
      <c r="A4714" s="426"/>
    </row>
    <row r="4715" spans="1:1" s="427" customFormat="1" ht="12" hidden="1" customHeight="1">
      <c r="A4715" s="426"/>
    </row>
    <row r="4716" spans="1:1" s="427" customFormat="1" ht="12" hidden="1" customHeight="1">
      <c r="A4716" s="426"/>
    </row>
    <row r="4717" spans="1:1" s="427" customFormat="1" ht="12" hidden="1" customHeight="1">
      <c r="A4717" s="426"/>
    </row>
    <row r="4718" spans="1:1" s="427" customFormat="1" ht="12" hidden="1" customHeight="1">
      <c r="A4718" s="426"/>
    </row>
    <row r="4719" spans="1:1" s="427" customFormat="1" ht="12" hidden="1" customHeight="1">
      <c r="A4719" s="426"/>
    </row>
    <row r="4720" spans="1:1" s="427" customFormat="1" ht="12" hidden="1" customHeight="1">
      <c r="A4720" s="426"/>
    </row>
    <row r="4721" spans="1:1" s="427" customFormat="1" ht="12" hidden="1" customHeight="1">
      <c r="A4721" s="426"/>
    </row>
    <row r="4722" spans="1:1" s="427" customFormat="1" ht="12" hidden="1" customHeight="1">
      <c r="A4722" s="426"/>
    </row>
    <row r="4723" spans="1:1" s="427" customFormat="1" ht="12" hidden="1" customHeight="1">
      <c r="A4723" s="426"/>
    </row>
    <row r="4724" spans="1:1" s="427" customFormat="1" ht="12" hidden="1" customHeight="1">
      <c r="A4724" s="426"/>
    </row>
    <row r="4725" spans="1:1" s="427" customFormat="1" ht="12" hidden="1" customHeight="1">
      <c r="A4725" s="426"/>
    </row>
    <row r="4726" spans="1:1" s="427" customFormat="1" ht="12" hidden="1" customHeight="1">
      <c r="A4726" s="426"/>
    </row>
    <row r="4727" spans="1:1" s="427" customFormat="1" ht="12" hidden="1" customHeight="1">
      <c r="A4727" s="426"/>
    </row>
    <row r="4728" spans="1:1" s="427" customFormat="1" ht="12" hidden="1" customHeight="1">
      <c r="A4728" s="426"/>
    </row>
    <row r="4729" spans="1:1" s="427" customFormat="1" ht="12" hidden="1" customHeight="1">
      <c r="A4729" s="426"/>
    </row>
    <row r="4730" spans="1:1" s="427" customFormat="1" ht="12" hidden="1" customHeight="1">
      <c r="A4730" s="426"/>
    </row>
    <row r="4731" spans="1:1" s="427" customFormat="1" ht="12" hidden="1" customHeight="1">
      <c r="A4731" s="426"/>
    </row>
    <row r="4732" spans="1:1" s="427" customFormat="1" ht="12" hidden="1" customHeight="1">
      <c r="A4732" s="426"/>
    </row>
    <row r="4733" spans="1:1" s="427" customFormat="1" ht="12" hidden="1" customHeight="1">
      <c r="A4733" s="426"/>
    </row>
    <row r="4734" spans="1:1" s="427" customFormat="1" ht="12" hidden="1" customHeight="1">
      <c r="A4734" s="426"/>
    </row>
    <row r="4735" spans="1:1" s="427" customFormat="1" ht="12" hidden="1" customHeight="1">
      <c r="A4735" s="426"/>
    </row>
    <row r="4736" spans="1:1" s="427" customFormat="1" ht="12" hidden="1" customHeight="1">
      <c r="A4736" s="426"/>
    </row>
    <row r="4737" spans="1:1" s="427" customFormat="1" ht="12" hidden="1" customHeight="1">
      <c r="A4737" s="426"/>
    </row>
    <row r="4738" spans="1:1" s="427" customFormat="1" ht="12" hidden="1" customHeight="1">
      <c r="A4738" s="426"/>
    </row>
    <row r="4739" spans="1:1" s="427" customFormat="1" ht="12" hidden="1" customHeight="1">
      <c r="A4739" s="426"/>
    </row>
    <row r="4740" spans="1:1" s="427" customFormat="1" ht="12" hidden="1" customHeight="1">
      <c r="A4740" s="426"/>
    </row>
    <row r="4741" spans="1:1" s="427" customFormat="1" ht="12" hidden="1" customHeight="1">
      <c r="A4741" s="426"/>
    </row>
    <row r="4742" spans="1:1" s="427" customFormat="1" ht="12" hidden="1" customHeight="1">
      <c r="A4742" s="426"/>
    </row>
    <row r="4743" spans="1:1" s="427" customFormat="1" ht="12" hidden="1" customHeight="1">
      <c r="A4743" s="426"/>
    </row>
    <row r="4744" spans="1:1" s="427" customFormat="1" ht="12" hidden="1" customHeight="1">
      <c r="A4744" s="426"/>
    </row>
    <row r="4745" spans="1:1" s="427" customFormat="1" ht="12" hidden="1" customHeight="1">
      <c r="A4745" s="426"/>
    </row>
    <row r="4746" spans="1:1" s="427" customFormat="1" ht="12" hidden="1" customHeight="1">
      <c r="A4746" s="426"/>
    </row>
    <row r="4747" spans="1:1" s="427" customFormat="1" ht="12" hidden="1" customHeight="1">
      <c r="A4747" s="426"/>
    </row>
    <row r="4748" spans="1:1" s="427" customFormat="1" ht="12" hidden="1" customHeight="1">
      <c r="A4748" s="426"/>
    </row>
    <row r="4749" spans="1:1" s="427" customFormat="1" ht="12" hidden="1" customHeight="1">
      <c r="A4749" s="426"/>
    </row>
    <row r="4750" spans="1:1" s="427" customFormat="1" ht="12" hidden="1" customHeight="1">
      <c r="A4750" s="426"/>
    </row>
    <row r="4751" spans="1:1" s="427" customFormat="1" ht="12" hidden="1" customHeight="1">
      <c r="A4751" s="426"/>
    </row>
    <row r="4752" spans="1:1" s="427" customFormat="1" ht="12" hidden="1" customHeight="1">
      <c r="A4752" s="426"/>
    </row>
    <row r="4753" spans="1:1" s="427" customFormat="1" ht="12" hidden="1" customHeight="1">
      <c r="A4753" s="426"/>
    </row>
    <row r="4754" spans="1:1" s="427" customFormat="1" ht="12" hidden="1" customHeight="1">
      <c r="A4754" s="426"/>
    </row>
    <row r="4755" spans="1:1" s="427" customFormat="1" ht="12" hidden="1" customHeight="1">
      <c r="A4755" s="426"/>
    </row>
    <row r="4756" spans="1:1" s="427" customFormat="1" ht="12" hidden="1" customHeight="1">
      <c r="A4756" s="426"/>
    </row>
    <row r="4757" spans="1:1" s="427" customFormat="1" ht="12" hidden="1" customHeight="1">
      <c r="A4757" s="426"/>
    </row>
    <row r="4758" spans="1:1" s="427" customFormat="1" ht="12" hidden="1" customHeight="1">
      <c r="A4758" s="426"/>
    </row>
    <row r="4759" spans="1:1" s="427" customFormat="1" ht="12" hidden="1" customHeight="1">
      <c r="A4759" s="426"/>
    </row>
    <row r="4760" spans="1:1" s="427" customFormat="1" ht="12" hidden="1" customHeight="1">
      <c r="A4760" s="426"/>
    </row>
    <row r="4761" spans="1:1" s="427" customFormat="1" ht="12" hidden="1" customHeight="1">
      <c r="A4761" s="426"/>
    </row>
    <row r="4762" spans="1:1" s="427" customFormat="1" ht="12" hidden="1" customHeight="1">
      <c r="A4762" s="426"/>
    </row>
    <row r="4763" spans="1:1" s="427" customFormat="1" ht="12" hidden="1" customHeight="1">
      <c r="A4763" s="426"/>
    </row>
    <row r="4764" spans="1:1" s="427" customFormat="1" ht="12" hidden="1" customHeight="1">
      <c r="A4764" s="426"/>
    </row>
    <row r="4765" spans="1:1" s="427" customFormat="1" ht="12" hidden="1" customHeight="1">
      <c r="A4765" s="426"/>
    </row>
    <row r="4766" spans="1:1" s="427" customFormat="1" ht="12" hidden="1" customHeight="1">
      <c r="A4766" s="426"/>
    </row>
    <row r="4767" spans="1:1" s="427" customFormat="1" ht="12" hidden="1" customHeight="1">
      <c r="A4767" s="426"/>
    </row>
    <row r="4768" spans="1:1" s="427" customFormat="1" ht="12" hidden="1" customHeight="1">
      <c r="A4768" s="426"/>
    </row>
    <row r="4769" spans="1:1" s="427" customFormat="1" ht="12" hidden="1" customHeight="1">
      <c r="A4769" s="426"/>
    </row>
    <row r="4770" spans="1:1" s="427" customFormat="1" ht="12" hidden="1" customHeight="1">
      <c r="A4770" s="426"/>
    </row>
    <row r="4771" spans="1:1" s="427" customFormat="1" ht="12" hidden="1" customHeight="1">
      <c r="A4771" s="426"/>
    </row>
    <row r="4772" spans="1:1" s="427" customFormat="1" ht="12" hidden="1" customHeight="1">
      <c r="A4772" s="426"/>
    </row>
    <row r="4773" spans="1:1" s="427" customFormat="1" ht="12" hidden="1" customHeight="1">
      <c r="A4773" s="426"/>
    </row>
    <row r="4774" spans="1:1" s="427" customFormat="1" ht="12" hidden="1" customHeight="1">
      <c r="A4774" s="426"/>
    </row>
    <row r="4775" spans="1:1" s="427" customFormat="1" ht="12" hidden="1" customHeight="1">
      <c r="A4775" s="426"/>
    </row>
    <row r="4776" spans="1:1" s="427" customFormat="1" ht="12" hidden="1" customHeight="1">
      <c r="A4776" s="426"/>
    </row>
    <row r="4777" spans="1:1" s="427" customFormat="1" ht="12" hidden="1" customHeight="1">
      <c r="A4777" s="426"/>
    </row>
    <row r="4778" spans="1:1" s="427" customFormat="1" ht="12" hidden="1" customHeight="1">
      <c r="A4778" s="426"/>
    </row>
    <row r="4779" spans="1:1" s="427" customFormat="1" ht="12" hidden="1" customHeight="1">
      <c r="A4779" s="426"/>
    </row>
    <row r="4780" spans="1:1" s="427" customFormat="1" ht="12" hidden="1" customHeight="1">
      <c r="A4780" s="426"/>
    </row>
    <row r="4781" spans="1:1" s="427" customFormat="1" ht="12" hidden="1" customHeight="1">
      <c r="A4781" s="426"/>
    </row>
    <row r="4782" spans="1:1" s="427" customFormat="1" ht="12" hidden="1" customHeight="1">
      <c r="A4782" s="426"/>
    </row>
    <row r="4783" spans="1:1" s="427" customFormat="1" ht="12" hidden="1" customHeight="1">
      <c r="A4783" s="426"/>
    </row>
    <row r="4784" spans="1:1" s="427" customFormat="1" ht="12" hidden="1" customHeight="1">
      <c r="A4784" s="426"/>
    </row>
    <row r="4785" spans="1:1" s="427" customFormat="1" ht="12" hidden="1" customHeight="1">
      <c r="A4785" s="426"/>
    </row>
    <row r="4786" spans="1:1" s="427" customFormat="1" ht="12" hidden="1" customHeight="1">
      <c r="A4786" s="426"/>
    </row>
    <row r="4787" spans="1:1" s="427" customFormat="1" ht="12" hidden="1" customHeight="1">
      <c r="A4787" s="426"/>
    </row>
    <row r="4788" spans="1:1" s="427" customFormat="1" ht="12" hidden="1" customHeight="1">
      <c r="A4788" s="426"/>
    </row>
    <row r="4789" spans="1:1" s="427" customFormat="1" ht="12" hidden="1" customHeight="1">
      <c r="A4789" s="426"/>
    </row>
    <row r="4790" spans="1:1" s="427" customFormat="1" ht="12" hidden="1" customHeight="1">
      <c r="A4790" s="426"/>
    </row>
    <row r="4791" spans="1:1" s="427" customFormat="1" ht="12" hidden="1" customHeight="1">
      <c r="A4791" s="426"/>
    </row>
    <row r="4792" spans="1:1" s="427" customFormat="1" ht="12" hidden="1" customHeight="1">
      <c r="A4792" s="426"/>
    </row>
    <row r="4793" spans="1:1" s="427" customFormat="1" ht="12" hidden="1" customHeight="1">
      <c r="A4793" s="426"/>
    </row>
    <row r="4794" spans="1:1" s="427" customFormat="1" ht="12" hidden="1" customHeight="1">
      <c r="A4794" s="426"/>
    </row>
    <row r="4795" spans="1:1" s="427" customFormat="1" ht="12" hidden="1" customHeight="1">
      <c r="A4795" s="426"/>
    </row>
    <row r="4796" spans="1:1" s="427" customFormat="1" ht="12" hidden="1" customHeight="1">
      <c r="A4796" s="426"/>
    </row>
    <row r="4797" spans="1:1" s="427" customFormat="1" ht="12" hidden="1" customHeight="1">
      <c r="A4797" s="426"/>
    </row>
    <row r="4798" spans="1:1" s="427" customFormat="1" ht="12" hidden="1" customHeight="1">
      <c r="A4798" s="426"/>
    </row>
    <row r="4799" spans="1:1" s="427" customFormat="1" ht="12" hidden="1" customHeight="1">
      <c r="A4799" s="426"/>
    </row>
    <row r="4800" spans="1:1" s="427" customFormat="1" ht="12" hidden="1" customHeight="1">
      <c r="A4800" s="426"/>
    </row>
    <row r="4801" spans="1:1" s="427" customFormat="1" ht="12" hidden="1" customHeight="1">
      <c r="A4801" s="426"/>
    </row>
    <row r="4802" spans="1:1" s="427" customFormat="1" ht="12" hidden="1" customHeight="1">
      <c r="A4802" s="426"/>
    </row>
    <row r="4803" spans="1:1" s="427" customFormat="1" ht="12" hidden="1" customHeight="1">
      <c r="A4803" s="426"/>
    </row>
    <row r="4804" spans="1:1" s="427" customFormat="1" ht="12" hidden="1" customHeight="1">
      <c r="A4804" s="426"/>
    </row>
    <row r="4805" spans="1:1" s="427" customFormat="1" ht="12" hidden="1" customHeight="1">
      <c r="A4805" s="426"/>
    </row>
    <row r="4806" spans="1:1" s="427" customFormat="1" ht="12" hidden="1" customHeight="1">
      <c r="A4806" s="426"/>
    </row>
    <row r="4807" spans="1:1" s="427" customFormat="1" ht="12" hidden="1" customHeight="1">
      <c r="A4807" s="426"/>
    </row>
    <row r="4808" spans="1:1" s="427" customFormat="1" ht="12" hidden="1" customHeight="1">
      <c r="A4808" s="426"/>
    </row>
    <row r="4809" spans="1:1" s="427" customFormat="1" ht="12" hidden="1" customHeight="1">
      <c r="A4809" s="426"/>
    </row>
    <row r="4810" spans="1:1" s="427" customFormat="1" ht="12" hidden="1" customHeight="1">
      <c r="A4810" s="426"/>
    </row>
    <row r="4811" spans="1:1" s="427" customFormat="1" ht="12" hidden="1" customHeight="1">
      <c r="A4811" s="426"/>
    </row>
    <row r="4812" spans="1:1" s="427" customFormat="1" ht="12" hidden="1" customHeight="1">
      <c r="A4812" s="426"/>
    </row>
    <row r="4813" spans="1:1" s="427" customFormat="1" ht="12" hidden="1" customHeight="1">
      <c r="A4813" s="426"/>
    </row>
    <row r="4814" spans="1:1" s="427" customFormat="1" ht="12" hidden="1" customHeight="1">
      <c r="A4814" s="426"/>
    </row>
    <row r="4815" spans="1:1" s="427" customFormat="1" ht="12" hidden="1" customHeight="1">
      <c r="A4815" s="426"/>
    </row>
    <row r="4816" spans="1:1" s="427" customFormat="1" ht="12" hidden="1" customHeight="1">
      <c r="A4816" s="426"/>
    </row>
    <row r="4817" spans="1:1" s="427" customFormat="1" ht="12" hidden="1" customHeight="1">
      <c r="A4817" s="426"/>
    </row>
    <row r="4818" spans="1:1" s="427" customFormat="1" ht="12" hidden="1" customHeight="1">
      <c r="A4818" s="426"/>
    </row>
    <row r="4819" spans="1:1" s="427" customFormat="1" ht="12" hidden="1" customHeight="1">
      <c r="A4819" s="426"/>
    </row>
    <row r="4820" spans="1:1" s="427" customFormat="1" ht="12" hidden="1" customHeight="1">
      <c r="A4820" s="426"/>
    </row>
    <row r="4821" spans="1:1" s="427" customFormat="1" ht="12" hidden="1" customHeight="1">
      <c r="A4821" s="426"/>
    </row>
    <row r="4822" spans="1:1" s="427" customFormat="1" ht="12" hidden="1" customHeight="1">
      <c r="A4822" s="426"/>
    </row>
    <row r="4823" spans="1:1" s="427" customFormat="1" ht="12" hidden="1" customHeight="1">
      <c r="A4823" s="426"/>
    </row>
    <row r="4824" spans="1:1" s="427" customFormat="1" ht="12" hidden="1" customHeight="1">
      <c r="A4824" s="426"/>
    </row>
    <row r="4825" spans="1:1" s="427" customFormat="1" ht="12" hidden="1" customHeight="1">
      <c r="A4825" s="426"/>
    </row>
    <row r="4826" spans="1:1" s="427" customFormat="1" ht="12" hidden="1" customHeight="1">
      <c r="A4826" s="426"/>
    </row>
    <row r="4827" spans="1:1" s="427" customFormat="1" ht="12" hidden="1" customHeight="1">
      <c r="A4827" s="426"/>
    </row>
    <row r="4828" spans="1:1" s="427" customFormat="1" ht="12" hidden="1" customHeight="1">
      <c r="A4828" s="426"/>
    </row>
    <row r="4829" spans="1:1" s="427" customFormat="1" ht="12" hidden="1" customHeight="1">
      <c r="A4829" s="426"/>
    </row>
    <row r="4830" spans="1:1" s="427" customFormat="1" ht="12" hidden="1" customHeight="1">
      <c r="A4830" s="426"/>
    </row>
    <row r="4831" spans="1:1" s="427" customFormat="1" ht="12" hidden="1" customHeight="1">
      <c r="A4831" s="426"/>
    </row>
    <row r="4832" spans="1:1" s="427" customFormat="1" ht="12" hidden="1" customHeight="1">
      <c r="A4832" s="426"/>
    </row>
    <row r="4833" spans="1:1" s="427" customFormat="1" ht="12" hidden="1" customHeight="1">
      <c r="A4833" s="426"/>
    </row>
    <row r="4834" spans="1:1" s="427" customFormat="1" ht="12" hidden="1" customHeight="1">
      <c r="A4834" s="426"/>
    </row>
    <row r="4835" spans="1:1" s="427" customFormat="1" ht="12" hidden="1" customHeight="1">
      <c r="A4835" s="426"/>
    </row>
    <row r="4836" spans="1:1" s="427" customFormat="1" ht="12" hidden="1" customHeight="1">
      <c r="A4836" s="426"/>
    </row>
    <row r="4837" spans="1:1" s="427" customFormat="1" ht="12" hidden="1" customHeight="1">
      <c r="A4837" s="426"/>
    </row>
    <row r="4838" spans="1:1" s="427" customFormat="1" ht="12" hidden="1" customHeight="1">
      <c r="A4838" s="426"/>
    </row>
    <row r="4839" spans="1:1" s="427" customFormat="1" ht="12" hidden="1" customHeight="1">
      <c r="A4839" s="426"/>
    </row>
    <row r="4840" spans="1:1" s="427" customFormat="1" ht="12" hidden="1" customHeight="1">
      <c r="A4840" s="426"/>
    </row>
    <row r="4841" spans="1:1" s="427" customFormat="1" ht="12" hidden="1" customHeight="1">
      <c r="A4841" s="426"/>
    </row>
    <row r="4842" spans="1:1" s="427" customFormat="1" ht="12" hidden="1" customHeight="1">
      <c r="A4842" s="426"/>
    </row>
    <row r="4843" spans="1:1" s="427" customFormat="1" ht="12" hidden="1" customHeight="1">
      <c r="A4843" s="426"/>
    </row>
    <row r="4844" spans="1:1" s="427" customFormat="1" ht="12" hidden="1" customHeight="1">
      <c r="A4844" s="426"/>
    </row>
    <row r="4845" spans="1:1" s="427" customFormat="1" ht="12" hidden="1" customHeight="1">
      <c r="A4845" s="426"/>
    </row>
    <row r="4846" spans="1:1" s="427" customFormat="1" ht="12" hidden="1" customHeight="1">
      <c r="A4846" s="426"/>
    </row>
    <row r="4847" spans="1:1" s="427" customFormat="1" ht="12" hidden="1" customHeight="1">
      <c r="A4847" s="426"/>
    </row>
    <row r="4848" spans="1:1" s="427" customFormat="1" ht="12" hidden="1" customHeight="1">
      <c r="A4848" s="426"/>
    </row>
    <row r="4849" spans="1:1" s="427" customFormat="1" ht="12" hidden="1" customHeight="1">
      <c r="A4849" s="426"/>
    </row>
    <row r="4850" spans="1:1" s="427" customFormat="1" ht="12" hidden="1" customHeight="1">
      <c r="A4850" s="426"/>
    </row>
    <row r="4851" spans="1:1" s="427" customFormat="1" ht="12" hidden="1" customHeight="1">
      <c r="A4851" s="426"/>
    </row>
    <row r="4852" spans="1:1" s="427" customFormat="1" ht="12" hidden="1" customHeight="1">
      <c r="A4852" s="426"/>
    </row>
    <row r="4853" spans="1:1" s="427" customFormat="1" ht="12" hidden="1" customHeight="1">
      <c r="A4853" s="426"/>
    </row>
    <row r="4854" spans="1:1" s="427" customFormat="1" ht="12" hidden="1" customHeight="1">
      <c r="A4854" s="426"/>
    </row>
    <row r="4855" spans="1:1" s="427" customFormat="1" ht="12" hidden="1" customHeight="1">
      <c r="A4855" s="426"/>
    </row>
    <row r="4856" spans="1:1" s="427" customFormat="1" ht="12" hidden="1" customHeight="1">
      <c r="A4856" s="426"/>
    </row>
    <row r="4857" spans="1:1" s="427" customFormat="1" ht="12" hidden="1" customHeight="1">
      <c r="A4857" s="426"/>
    </row>
    <row r="4858" spans="1:1" s="427" customFormat="1" ht="12" hidden="1" customHeight="1">
      <c r="A4858" s="426"/>
    </row>
    <row r="4859" spans="1:1" s="427" customFormat="1" ht="12" hidden="1" customHeight="1">
      <c r="A4859" s="426"/>
    </row>
    <row r="4860" spans="1:1" s="427" customFormat="1" ht="12" hidden="1" customHeight="1">
      <c r="A4860" s="426"/>
    </row>
    <row r="4861" spans="1:1" s="427" customFormat="1" ht="12" hidden="1" customHeight="1">
      <c r="A4861" s="426"/>
    </row>
    <row r="4862" spans="1:1" s="427" customFormat="1" ht="12" hidden="1" customHeight="1">
      <c r="A4862" s="426"/>
    </row>
    <row r="4863" spans="1:1" s="427" customFormat="1" ht="12" hidden="1" customHeight="1">
      <c r="A4863" s="426"/>
    </row>
    <row r="4864" spans="1:1" s="427" customFormat="1" ht="12" hidden="1" customHeight="1">
      <c r="A4864" s="426"/>
    </row>
    <row r="4865" spans="1:1" s="427" customFormat="1" ht="12" hidden="1" customHeight="1">
      <c r="A4865" s="426"/>
    </row>
    <row r="4866" spans="1:1" s="427" customFormat="1" ht="12" hidden="1" customHeight="1">
      <c r="A4866" s="426"/>
    </row>
    <row r="4867" spans="1:1" s="427" customFormat="1" ht="12" hidden="1" customHeight="1">
      <c r="A4867" s="426"/>
    </row>
    <row r="4868" spans="1:1" s="427" customFormat="1" ht="12" hidden="1" customHeight="1">
      <c r="A4868" s="426"/>
    </row>
    <row r="4869" spans="1:1" s="427" customFormat="1" ht="12" hidden="1" customHeight="1">
      <c r="A4869" s="426"/>
    </row>
    <row r="4870" spans="1:1" s="427" customFormat="1" ht="12" hidden="1" customHeight="1">
      <c r="A4870" s="426"/>
    </row>
    <row r="4871" spans="1:1" s="427" customFormat="1" ht="12" hidden="1" customHeight="1">
      <c r="A4871" s="426"/>
    </row>
    <row r="4872" spans="1:1" s="427" customFormat="1" ht="12" hidden="1" customHeight="1">
      <c r="A4872" s="426"/>
    </row>
    <row r="4873" spans="1:1" s="427" customFormat="1" ht="12" hidden="1" customHeight="1">
      <c r="A4873" s="426"/>
    </row>
    <row r="4874" spans="1:1" s="427" customFormat="1" ht="12" hidden="1" customHeight="1">
      <c r="A4874" s="426"/>
    </row>
    <row r="4875" spans="1:1" s="427" customFormat="1" ht="12" hidden="1" customHeight="1">
      <c r="A4875" s="426"/>
    </row>
    <row r="4876" spans="1:1" s="427" customFormat="1" ht="12" hidden="1" customHeight="1">
      <c r="A4876" s="426"/>
    </row>
    <row r="4877" spans="1:1" s="427" customFormat="1" ht="12" hidden="1" customHeight="1">
      <c r="A4877" s="426"/>
    </row>
    <row r="4878" spans="1:1" s="427" customFormat="1" ht="12" hidden="1" customHeight="1">
      <c r="A4878" s="426"/>
    </row>
    <row r="4879" spans="1:1" s="427" customFormat="1" ht="12" hidden="1" customHeight="1">
      <c r="A4879" s="426"/>
    </row>
    <row r="4880" spans="1:1" s="427" customFormat="1" ht="12" hidden="1" customHeight="1">
      <c r="A4880" s="426"/>
    </row>
    <row r="4881" spans="1:1" s="427" customFormat="1" ht="12" hidden="1" customHeight="1">
      <c r="A4881" s="426"/>
    </row>
    <row r="4882" spans="1:1" s="427" customFormat="1" ht="12" hidden="1" customHeight="1">
      <c r="A4882" s="426"/>
    </row>
    <row r="4883" spans="1:1" s="427" customFormat="1" ht="12" hidden="1" customHeight="1">
      <c r="A4883" s="426"/>
    </row>
    <row r="4884" spans="1:1" s="427" customFormat="1" ht="12" hidden="1" customHeight="1">
      <c r="A4884" s="426"/>
    </row>
    <row r="4885" spans="1:1" s="427" customFormat="1" ht="12" hidden="1" customHeight="1">
      <c r="A4885" s="426"/>
    </row>
    <row r="4886" spans="1:1" s="427" customFormat="1" ht="12" hidden="1" customHeight="1">
      <c r="A4886" s="426"/>
    </row>
    <row r="4887" spans="1:1" s="427" customFormat="1" ht="12" hidden="1" customHeight="1">
      <c r="A4887" s="426"/>
    </row>
    <row r="4888" spans="1:1" s="427" customFormat="1" ht="12" hidden="1" customHeight="1">
      <c r="A4888" s="426"/>
    </row>
    <row r="4889" spans="1:1" s="427" customFormat="1" ht="12" hidden="1" customHeight="1">
      <c r="A4889" s="426"/>
    </row>
    <row r="4890" spans="1:1" s="427" customFormat="1" ht="12" hidden="1" customHeight="1">
      <c r="A4890" s="426"/>
    </row>
    <row r="4891" spans="1:1" s="427" customFormat="1" ht="12" hidden="1" customHeight="1">
      <c r="A4891" s="426"/>
    </row>
    <row r="4892" spans="1:1" s="427" customFormat="1" ht="12" hidden="1" customHeight="1">
      <c r="A4892" s="426"/>
    </row>
    <row r="4893" spans="1:1" s="427" customFormat="1" ht="12" hidden="1" customHeight="1">
      <c r="A4893" s="426"/>
    </row>
    <row r="4894" spans="1:1" s="427" customFormat="1" ht="12" hidden="1" customHeight="1">
      <c r="A4894" s="426"/>
    </row>
    <row r="4895" spans="1:1" s="427" customFormat="1" ht="12" hidden="1" customHeight="1">
      <c r="A4895" s="426"/>
    </row>
    <row r="4896" spans="1:1" s="427" customFormat="1" ht="12" hidden="1" customHeight="1">
      <c r="A4896" s="426"/>
    </row>
    <row r="4897" spans="1:1" s="427" customFormat="1" ht="12" hidden="1" customHeight="1">
      <c r="A4897" s="426"/>
    </row>
    <row r="4898" spans="1:1" s="427" customFormat="1" ht="12" hidden="1" customHeight="1">
      <c r="A4898" s="426"/>
    </row>
    <row r="4899" spans="1:1" s="427" customFormat="1" ht="12" hidden="1" customHeight="1">
      <c r="A4899" s="426"/>
    </row>
    <row r="4900" spans="1:1" s="427" customFormat="1" ht="12" hidden="1" customHeight="1">
      <c r="A4900" s="426"/>
    </row>
    <row r="4901" spans="1:1" s="427" customFormat="1" ht="12" hidden="1" customHeight="1">
      <c r="A4901" s="426"/>
    </row>
    <row r="4902" spans="1:1" s="427" customFormat="1" ht="12" hidden="1" customHeight="1">
      <c r="A4902" s="426"/>
    </row>
    <row r="4903" spans="1:1" s="427" customFormat="1" ht="12" hidden="1" customHeight="1">
      <c r="A4903" s="426"/>
    </row>
    <row r="4904" spans="1:1" s="427" customFormat="1" ht="12" hidden="1" customHeight="1">
      <c r="A4904" s="426"/>
    </row>
    <row r="4905" spans="1:1" s="427" customFormat="1" ht="12" hidden="1" customHeight="1">
      <c r="A4905" s="426"/>
    </row>
    <row r="4906" spans="1:1" s="427" customFormat="1" ht="12" hidden="1" customHeight="1">
      <c r="A4906" s="426"/>
    </row>
    <row r="4907" spans="1:1" s="427" customFormat="1" ht="12" hidden="1" customHeight="1">
      <c r="A4907" s="426"/>
    </row>
    <row r="4908" spans="1:1" s="427" customFormat="1" ht="12" hidden="1" customHeight="1">
      <c r="A4908" s="426"/>
    </row>
    <row r="4909" spans="1:1" s="427" customFormat="1" ht="12" hidden="1" customHeight="1">
      <c r="A4909" s="426"/>
    </row>
    <row r="4910" spans="1:1" s="427" customFormat="1" ht="12" hidden="1" customHeight="1">
      <c r="A4910" s="426"/>
    </row>
    <row r="4911" spans="1:1" s="427" customFormat="1" ht="12" hidden="1" customHeight="1">
      <c r="A4911" s="426"/>
    </row>
    <row r="4912" spans="1:1" s="427" customFormat="1" ht="12" hidden="1" customHeight="1">
      <c r="A4912" s="426"/>
    </row>
    <row r="4913" spans="1:1" s="427" customFormat="1" ht="12" hidden="1" customHeight="1">
      <c r="A4913" s="426"/>
    </row>
    <row r="4914" spans="1:1" s="427" customFormat="1" ht="12" hidden="1" customHeight="1">
      <c r="A4914" s="426"/>
    </row>
    <row r="4915" spans="1:1" s="427" customFormat="1" ht="12" hidden="1" customHeight="1">
      <c r="A4915" s="426"/>
    </row>
    <row r="4916" spans="1:1" s="427" customFormat="1" ht="12" hidden="1" customHeight="1">
      <c r="A4916" s="426"/>
    </row>
    <row r="4917" spans="1:1" s="427" customFormat="1" ht="12" hidden="1" customHeight="1">
      <c r="A4917" s="426"/>
    </row>
    <row r="4918" spans="1:1" s="427" customFormat="1" ht="12" hidden="1" customHeight="1">
      <c r="A4918" s="426"/>
    </row>
    <row r="4919" spans="1:1" s="427" customFormat="1" ht="12" hidden="1" customHeight="1">
      <c r="A4919" s="426"/>
    </row>
    <row r="4920" spans="1:1" s="427" customFormat="1" ht="12" hidden="1" customHeight="1">
      <c r="A4920" s="426"/>
    </row>
    <row r="4921" spans="1:1" s="427" customFormat="1" ht="12" hidden="1" customHeight="1">
      <c r="A4921" s="426"/>
    </row>
    <row r="4922" spans="1:1" s="427" customFormat="1" ht="12" hidden="1" customHeight="1">
      <c r="A4922" s="426"/>
    </row>
    <row r="4923" spans="1:1" s="427" customFormat="1" ht="12" hidden="1" customHeight="1">
      <c r="A4923" s="426"/>
    </row>
    <row r="4924" spans="1:1" s="427" customFormat="1" ht="12" hidden="1" customHeight="1">
      <c r="A4924" s="426"/>
    </row>
    <row r="4925" spans="1:1" s="427" customFormat="1" ht="12" hidden="1" customHeight="1">
      <c r="A4925" s="426"/>
    </row>
    <row r="4926" spans="1:1" s="427" customFormat="1" ht="12" hidden="1" customHeight="1">
      <c r="A4926" s="426"/>
    </row>
    <row r="4927" spans="1:1" s="427" customFormat="1" ht="12" hidden="1" customHeight="1">
      <c r="A4927" s="426"/>
    </row>
    <row r="4928" spans="1:1" s="427" customFormat="1" ht="12" hidden="1" customHeight="1">
      <c r="A4928" s="426"/>
    </row>
    <row r="4929" spans="1:1" s="427" customFormat="1" ht="12" hidden="1" customHeight="1">
      <c r="A4929" s="426"/>
    </row>
    <row r="4930" spans="1:1" s="427" customFormat="1" ht="12" hidden="1" customHeight="1">
      <c r="A4930" s="426"/>
    </row>
    <row r="4931" spans="1:1" s="427" customFormat="1" ht="12" hidden="1" customHeight="1">
      <c r="A4931" s="426"/>
    </row>
    <row r="4932" spans="1:1" s="427" customFormat="1" ht="12" hidden="1" customHeight="1">
      <c r="A4932" s="426"/>
    </row>
    <row r="4933" spans="1:1" s="427" customFormat="1" ht="12" hidden="1" customHeight="1">
      <c r="A4933" s="426"/>
    </row>
    <row r="4934" spans="1:1" s="427" customFormat="1" ht="12" hidden="1" customHeight="1">
      <c r="A4934" s="426"/>
    </row>
    <row r="4935" spans="1:1" s="427" customFormat="1" ht="12" hidden="1" customHeight="1">
      <c r="A4935" s="426"/>
    </row>
    <row r="4936" spans="1:1" s="427" customFormat="1" ht="12" hidden="1" customHeight="1">
      <c r="A4936" s="426"/>
    </row>
    <row r="4937" spans="1:1" s="427" customFormat="1" ht="12" hidden="1" customHeight="1">
      <c r="A4937" s="426"/>
    </row>
    <row r="4938" spans="1:1" s="427" customFormat="1" ht="12" hidden="1" customHeight="1">
      <c r="A4938" s="426"/>
    </row>
    <row r="4939" spans="1:1" s="427" customFormat="1" ht="12" hidden="1" customHeight="1">
      <c r="A4939" s="426"/>
    </row>
    <row r="4940" spans="1:1" s="427" customFormat="1" ht="12" hidden="1" customHeight="1">
      <c r="A4940" s="426"/>
    </row>
    <row r="4941" spans="1:1" s="427" customFormat="1" ht="12" hidden="1" customHeight="1">
      <c r="A4941" s="426"/>
    </row>
    <row r="4942" spans="1:1" s="427" customFormat="1" ht="12" hidden="1" customHeight="1">
      <c r="A4942" s="426"/>
    </row>
    <row r="4943" spans="1:1" s="427" customFormat="1" ht="12" hidden="1" customHeight="1">
      <c r="A4943" s="426"/>
    </row>
    <row r="4944" spans="1:1" s="427" customFormat="1" ht="12" hidden="1" customHeight="1">
      <c r="A4944" s="426"/>
    </row>
    <row r="4945" spans="1:1" s="427" customFormat="1" ht="12" hidden="1" customHeight="1">
      <c r="A4945" s="426"/>
    </row>
    <row r="4946" spans="1:1" s="427" customFormat="1" ht="12" hidden="1" customHeight="1">
      <c r="A4946" s="426"/>
    </row>
    <row r="4947" spans="1:1" s="427" customFormat="1" ht="12" hidden="1" customHeight="1">
      <c r="A4947" s="426"/>
    </row>
    <row r="4948" spans="1:1" s="427" customFormat="1" ht="12" hidden="1" customHeight="1">
      <c r="A4948" s="426"/>
    </row>
    <row r="4949" spans="1:1" s="427" customFormat="1" ht="12" hidden="1" customHeight="1">
      <c r="A4949" s="426"/>
    </row>
    <row r="4950" spans="1:1" s="427" customFormat="1" ht="12" hidden="1" customHeight="1">
      <c r="A4950" s="426"/>
    </row>
    <row r="4951" spans="1:1" s="427" customFormat="1" ht="12" hidden="1" customHeight="1">
      <c r="A4951" s="426"/>
    </row>
    <row r="4952" spans="1:1" s="427" customFormat="1" ht="12" hidden="1" customHeight="1">
      <c r="A4952" s="426"/>
    </row>
    <row r="4953" spans="1:1" s="427" customFormat="1" ht="12" hidden="1" customHeight="1">
      <c r="A4953" s="426"/>
    </row>
    <row r="4954" spans="1:1" s="427" customFormat="1" ht="12" hidden="1" customHeight="1">
      <c r="A4954" s="426"/>
    </row>
    <row r="4955" spans="1:1" s="427" customFormat="1" ht="12" hidden="1" customHeight="1">
      <c r="A4955" s="426"/>
    </row>
    <row r="4956" spans="1:1" s="427" customFormat="1" ht="12" hidden="1" customHeight="1">
      <c r="A4956" s="426"/>
    </row>
    <row r="4957" spans="1:1" s="427" customFormat="1" ht="12" hidden="1" customHeight="1">
      <c r="A4957" s="426"/>
    </row>
    <row r="4958" spans="1:1" s="427" customFormat="1" ht="12" hidden="1" customHeight="1">
      <c r="A4958" s="426"/>
    </row>
    <row r="4959" spans="1:1" s="427" customFormat="1" ht="12" hidden="1" customHeight="1">
      <c r="A4959" s="426"/>
    </row>
    <row r="4960" spans="1:1" s="427" customFormat="1" ht="12" hidden="1" customHeight="1">
      <c r="A4960" s="426"/>
    </row>
    <row r="4961" spans="1:1" s="427" customFormat="1" ht="12" hidden="1" customHeight="1">
      <c r="A4961" s="426"/>
    </row>
    <row r="4962" spans="1:1" s="427" customFormat="1" ht="12" hidden="1" customHeight="1">
      <c r="A4962" s="426"/>
    </row>
    <row r="4963" spans="1:1" s="427" customFormat="1" ht="12" hidden="1" customHeight="1">
      <c r="A4963" s="426"/>
    </row>
    <row r="4964" spans="1:1" s="427" customFormat="1" ht="12" hidden="1" customHeight="1">
      <c r="A4964" s="426"/>
    </row>
    <row r="4965" spans="1:1" s="427" customFormat="1" ht="12" hidden="1" customHeight="1">
      <c r="A4965" s="426"/>
    </row>
    <row r="4966" spans="1:1" s="427" customFormat="1" ht="12" hidden="1" customHeight="1">
      <c r="A4966" s="426"/>
    </row>
    <row r="4967" spans="1:1" s="427" customFormat="1" ht="12" hidden="1" customHeight="1">
      <c r="A4967" s="426"/>
    </row>
    <row r="4968" spans="1:1" s="427" customFormat="1" ht="12" hidden="1" customHeight="1">
      <c r="A4968" s="426"/>
    </row>
    <row r="4969" spans="1:1" s="427" customFormat="1" ht="12" hidden="1" customHeight="1">
      <c r="A4969" s="426"/>
    </row>
    <row r="4970" spans="1:1" s="427" customFormat="1" ht="12" hidden="1" customHeight="1">
      <c r="A4970" s="426"/>
    </row>
    <row r="4971" spans="1:1" s="427" customFormat="1" ht="12" hidden="1" customHeight="1">
      <c r="A4971" s="426"/>
    </row>
    <row r="4972" spans="1:1" s="427" customFormat="1" ht="12" hidden="1" customHeight="1">
      <c r="A4972" s="426"/>
    </row>
    <row r="4973" spans="1:1" s="427" customFormat="1" ht="12" hidden="1" customHeight="1">
      <c r="A4973" s="426"/>
    </row>
    <row r="4974" spans="1:1" s="427" customFormat="1" ht="12" hidden="1" customHeight="1">
      <c r="A4974" s="426"/>
    </row>
    <row r="4975" spans="1:1" s="427" customFormat="1" ht="12" hidden="1" customHeight="1">
      <c r="A4975" s="426"/>
    </row>
    <row r="4976" spans="1:1" s="427" customFormat="1" ht="12" hidden="1" customHeight="1">
      <c r="A4976" s="426"/>
    </row>
    <row r="4977" spans="1:1" s="427" customFormat="1" ht="12" hidden="1" customHeight="1">
      <c r="A4977" s="426"/>
    </row>
    <row r="4978" spans="1:1" s="427" customFormat="1" ht="12" hidden="1" customHeight="1">
      <c r="A4978" s="426"/>
    </row>
    <row r="4979" spans="1:1" s="427" customFormat="1" ht="12" hidden="1" customHeight="1">
      <c r="A4979" s="426"/>
    </row>
    <row r="4980" spans="1:1" s="427" customFormat="1" ht="12" hidden="1" customHeight="1">
      <c r="A4980" s="426"/>
    </row>
    <row r="4981" spans="1:1" s="427" customFormat="1" ht="12" hidden="1" customHeight="1">
      <c r="A4981" s="426"/>
    </row>
    <row r="4982" spans="1:1" s="427" customFormat="1" ht="12" hidden="1" customHeight="1">
      <c r="A4982" s="426"/>
    </row>
    <row r="4983" spans="1:1" s="427" customFormat="1" ht="12" hidden="1" customHeight="1">
      <c r="A4983" s="426"/>
    </row>
    <row r="4984" spans="1:1" s="427" customFormat="1" ht="12" hidden="1" customHeight="1">
      <c r="A4984" s="426"/>
    </row>
    <row r="4985" spans="1:1" s="427" customFormat="1" ht="12" hidden="1" customHeight="1">
      <c r="A4985" s="426"/>
    </row>
    <row r="4986" spans="1:1" s="427" customFormat="1" ht="12" hidden="1" customHeight="1">
      <c r="A4986" s="426"/>
    </row>
    <row r="4987" spans="1:1" s="427" customFormat="1" ht="12" hidden="1" customHeight="1">
      <c r="A4987" s="426"/>
    </row>
    <row r="4988" spans="1:1" s="427" customFormat="1" ht="12" hidden="1" customHeight="1">
      <c r="A4988" s="426"/>
    </row>
    <row r="4989" spans="1:1" s="427" customFormat="1" ht="12" hidden="1" customHeight="1">
      <c r="A4989" s="426"/>
    </row>
    <row r="4990" spans="1:1" s="427" customFormat="1" ht="12" hidden="1" customHeight="1">
      <c r="A4990" s="426"/>
    </row>
    <row r="4991" spans="1:1" s="427" customFormat="1" ht="12" hidden="1" customHeight="1">
      <c r="A4991" s="426"/>
    </row>
    <row r="4992" spans="1:1" s="427" customFormat="1" ht="12" hidden="1" customHeight="1">
      <c r="A4992" s="426"/>
    </row>
    <row r="4993" spans="1:1" s="427" customFormat="1" ht="12" hidden="1" customHeight="1">
      <c r="A4993" s="426"/>
    </row>
    <row r="4994" spans="1:1" s="427" customFormat="1" ht="12" hidden="1" customHeight="1">
      <c r="A4994" s="426"/>
    </row>
    <row r="4995" spans="1:1" s="427" customFormat="1" ht="12" hidden="1" customHeight="1">
      <c r="A4995" s="426"/>
    </row>
    <row r="4996" spans="1:1" s="427" customFormat="1" ht="12" hidden="1" customHeight="1">
      <c r="A4996" s="426"/>
    </row>
    <row r="4997" spans="1:1" s="427" customFormat="1" ht="12" hidden="1" customHeight="1">
      <c r="A4997" s="426"/>
    </row>
    <row r="4998" spans="1:1" s="427" customFormat="1" ht="12" hidden="1" customHeight="1">
      <c r="A4998" s="426"/>
    </row>
    <row r="4999" spans="1:1" s="427" customFormat="1" ht="12" hidden="1" customHeight="1">
      <c r="A4999" s="426"/>
    </row>
    <row r="5000" spans="1:1" s="427" customFormat="1" ht="12" hidden="1" customHeight="1">
      <c r="A5000" s="426"/>
    </row>
    <row r="5001" spans="1:1" s="427" customFormat="1" ht="12" hidden="1" customHeight="1">
      <c r="A5001" s="426"/>
    </row>
    <row r="5002" spans="1:1" s="427" customFormat="1" ht="12" hidden="1" customHeight="1">
      <c r="A5002" s="426"/>
    </row>
    <row r="5003" spans="1:1" s="427" customFormat="1" ht="12" hidden="1" customHeight="1">
      <c r="A5003" s="426"/>
    </row>
    <row r="5004" spans="1:1" s="427" customFormat="1" ht="12" hidden="1" customHeight="1">
      <c r="A5004" s="426"/>
    </row>
    <row r="5005" spans="1:1" s="427" customFormat="1" ht="12" hidden="1" customHeight="1">
      <c r="A5005" s="426"/>
    </row>
    <row r="5006" spans="1:1" s="427" customFormat="1" ht="12" hidden="1" customHeight="1">
      <c r="A5006" s="426"/>
    </row>
    <row r="5007" spans="1:1" s="427" customFormat="1" ht="12" hidden="1" customHeight="1">
      <c r="A5007" s="426"/>
    </row>
    <row r="5008" spans="1:1" s="427" customFormat="1" ht="12" hidden="1" customHeight="1">
      <c r="A5008" s="426"/>
    </row>
    <row r="5009" spans="1:1" s="427" customFormat="1" ht="12" hidden="1" customHeight="1">
      <c r="A5009" s="426"/>
    </row>
    <row r="5010" spans="1:1" s="427" customFormat="1" ht="12" hidden="1" customHeight="1">
      <c r="A5010" s="426"/>
    </row>
    <row r="5011" spans="1:1" s="427" customFormat="1" ht="12" hidden="1" customHeight="1">
      <c r="A5011" s="426"/>
    </row>
    <row r="5012" spans="1:1" s="427" customFormat="1" ht="12" hidden="1" customHeight="1">
      <c r="A5012" s="426"/>
    </row>
    <row r="5013" spans="1:1" s="427" customFormat="1" ht="12" hidden="1" customHeight="1">
      <c r="A5013" s="426"/>
    </row>
    <row r="5014" spans="1:1" s="427" customFormat="1" ht="12" hidden="1" customHeight="1">
      <c r="A5014" s="426"/>
    </row>
    <row r="5015" spans="1:1" s="427" customFormat="1" ht="12" hidden="1" customHeight="1">
      <c r="A5015" s="426"/>
    </row>
    <row r="5016" spans="1:1" s="427" customFormat="1" ht="12" hidden="1" customHeight="1">
      <c r="A5016" s="426"/>
    </row>
    <row r="5017" spans="1:1" s="427" customFormat="1" ht="12" hidden="1" customHeight="1">
      <c r="A5017" s="426"/>
    </row>
    <row r="5018" spans="1:1" s="427" customFormat="1" ht="12" hidden="1" customHeight="1">
      <c r="A5018" s="426"/>
    </row>
    <row r="5019" spans="1:1" s="427" customFormat="1" ht="12" hidden="1" customHeight="1">
      <c r="A5019" s="426"/>
    </row>
    <row r="5020" spans="1:1" s="427" customFormat="1" ht="12" hidden="1" customHeight="1">
      <c r="A5020" s="426"/>
    </row>
    <row r="5021" spans="1:1" s="427" customFormat="1" ht="12" hidden="1" customHeight="1">
      <c r="A5021" s="426"/>
    </row>
    <row r="5022" spans="1:1" s="427" customFormat="1" ht="12" hidden="1" customHeight="1">
      <c r="A5022" s="426"/>
    </row>
    <row r="5023" spans="1:1" s="427" customFormat="1" ht="12" hidden="1" customHeight="1">
      <c r="A5023" s="426"/>
    </row>
    <row r="5024" spans="1:1" s="427" customFormat="1" ht="12" hidden="1" customHeight="1">
      <c r="A5024" s="426"/>
    </row>
    <row r="5025" spans="1:1" s="427" customFormat="1" ht="12" hidden="1" customHeight="1">
      <c r="A5025" s="426"/>
    </row>
    <row r="5026" spans="1:1" s="427" customFormat="1" ht="12" hidden="1" customHeight="1">
      <c r="A5026" s="426"/>
    </row>
    <row r="5027" spans="1:1" s="427" customFormat="1" ht="12" hidden="1" customHeight="1">
      <c r="A5027" s="426"/>
    </row>
    <row r="5028" spans="1:1" s="427" customFormat="1" ht="12" hidden="1" customHeight="1">
      <c r="A5028" s="426"/>
    </row>
    <row r="5029" spans="1:1" s="427" customFormat="1" ht="12" hidden="1" customHeight="1">
      <c r="A5029" s="426"/>
    </row>
    <row r="5030" spans="1:1" s="427" customFormat="1" ht="12" hidden="1" customHeight="1">
      <c r="A5030" s="426"/>
    </row>
    <row r="5031" spans="1:1" s="427" customFormat="1" ht="12" hidden="1" customHeight="1">
      <c r="A5031" s="426"/>
    </row>
    <row r="5032" spans="1:1" s="427" customFormat="1" ht="12" hidden="1" customHeight="1">
      <c r="A5032" s="426"/>
    </row>
    <row r="5033" spans="1:1" s="427" customFormat="1" ht="12" hidden="1" customHeight="1">
      <c r="A5033" s="426"/>
    </row>
    <row r="5034" spans="1:1" s="427" customFormat="1" ht="12" hidden="1" customHeight="1">
      <c r="A5034" s="426"/>
    </row>
    <row r="5035" spans="1:1" s="427" customFormat="1" ht="12" hidden="1" customHeight="1">
      <c r="A5035" s="426"/>
    </row>
    <row r="5036" spans="1:1" s="427" customFormat="1" ht="12" hidden="1" customHeight="1">
      <c r="A5036" s="426"/>
    </row>
    <row r="5037" spans="1:1" s="427" customFormat="1" ht="12" hidden="1" customHeight="1">
      <c r="A5037" s="426"/>
    </row>
    <row r="5038" spans="1:1" s="427" customFormat="1" ht="12" hidden="1" customHeight="1">
      <c r="A5038" s="426"/>
    </row>
    <row r="5039" spans="1:1" s="427" customFormat="1" ht="12" hidden="1" customHeight="1">
      <c r="A5039" s="426"/>
    </row>
    <row r="5040" spans="1:1" s="427" customFormat="1" ht="12" hidden="1" customHeight="1">
      <c r="A5040" s="426"/>
    </row>
    <row r="5041" spans="1:1" s="427" customFormat="1" ht="12" hidden="1" customHeight="1">
      <c r="A5041" s="426"/>
    </row>
    <row r="5042" spans="1:1" s="427" customFormat="1" ht="12" hidden="1" customHeight="1">
      <c r="A5042" s="426"/>
    </row>
    <row r="5043" spans="1:1" s="427" customFormat="1" ht="12" hidden="1" customHeight="1">
      <c r="A5043" s="426"/>
    </row>
    <row r="5044" spans="1:1" s="427" customFormat="1" ht="12" hidden="1" customHeight="1">
      <c r="A5044" s="426"/>
    </row>
    <row r="5045" spans="1:1" s="427" customFormat="1" ht="12" hidden="1" customHeight="1">
      <c r="A5045" s="426"/>
    </row>
    <row r="5046" spans="1:1" s="427" customFormat="1" ht="12" hidden="1" customHeight="1">
      <c r="A5046" s="426"/>
    </row>
    <row r="5047" spans="1:1" s="427" customFormat="1" ht="12" hidden="1" customHeight="1">
      <c r="A5047" s="426"/>
    </row>
    <row r="5048" spans="1:1" s="427" customFormat="1" ht="12" hidden="1" customHeight="1">
      <c r="A5048" s="426"/>
    </row>
    <row r="5049" spans="1:1" s="427" customFormat="1" ht="12" hidden="1" customHeight="1">
      <c r="A5049" s="426"/>
    </row>
    <row r="5050" spans="1:1" s="427" customFormat="1" ht="12" hidden="1" customHeight="1">
      <c r="A5050" s="426"/>
    </row>
    <row r="5051" spans="1:1" s="427" customFormat="1" ht="12" hidden="1" customHeight="1">
      <c r="A5051" s="426"/>
    </row>
    <row r="5052" spans="1:1" s="427" customFormat="1" ht="12" hidden="1" customHeight="1">
      <c r="A5052" s="426"/>
    </row>
    <row r="5053" spans="1:1" s="427" customFormat="1" ht="12" hidden="1" customHeight="1">
      <c r="A5053" s="426"/>
    </row>
    <row r="5054" spans="1:1" s="427" customFormat="1" ht="12" hidden="1" customHeight="1">
      <c r="A5054" s="426"/>
    </row>
    <row r="5055" spans="1:1" s="427" customFormat="1" ht="12" hidden="1" customHeight="1">
      <c r="A5055" s="426"/>
    </row>
    <row r="5056" spans="1:1" s="427" customFormat="1" ht="12" hidden="1" customHeight="1">
      <c r="A5056" s="426"/>
    </row>
    <row r="5057" spans="1:1" s="427" customFormat="1" ht="12" hidden="1" customHeight="1">
      <c r="A5057" s="426"/>
    </row>
    <row r="5058" spans="1:1" s="427" customFormat="1" ht="12" hidden="1" customHeight="1">
      <c r="A5058" s="426"/>
    </row>
    <row r="5059" spans="1:1" s="427" customFormat="1" ht="12" hidden="1" customHeight="1">
      <c r="A5059" s="426"/>
    </row>
    <row r="5060" spans="1:1" s="427" customFormat="1" ht="12" hidden="1" customHeight="1">
      <c r="A5060" s="426"/>
    </row>
    <row r="5061" spans="1:1" s="427" customFormat="1" ht="12" hidden="1" customHeight="1">
      <c r="A5061" s="426"/>
    </row>
    <row r="5062" spans="1:1" s="427" customFormat="1" ht="12" hidden="1" customHeight="1">
      <c r="A5062" s="426"/>
    </row>
    <row r="5063" spans="1:1" s="427" customFormat="1" ht="12" hidden="1" customHeight="1">
      <c r="A5063" s="426"/>
    </row>
    <row r="5064" spans="1:1" s="427" customFormat="1" ht="12" hidden="1" customHeight="1">
      <c r="A5064" s="426"/>
    </row>
    <row r="5065" spans="1:1" s="427" customFormat="1" ht="12" hidden="1" customHeight="1">
      <c r="A5065" s="426"/>
    </row>
    <row r="5066" spans="1:1" s="427" customFormat="1" ht="12" hidden="1" customHeight="1">
      <c r="A5066" s="426"/>
    </row>
    <row r="5067" spans="1:1" s="427" customFormat="1" ht="12" hidden="1" customHeight="1">
      <c r="A5067" s="426"/>
    </row>
    <row r="5068" spans="1:1" s="427" customFormat="1" ht="12" hidden="1" customHeight="1">
      <c r="A5068" s="426"/>
    </row>
    <row r="5069" spans="1:1" s="427" customFormat="1" ht="12" hidden="1" customHeight="1">
      <c r="A5069" s="426"/>
    </row>
    <row r="5070" spans="1:1" s="427" customFormat="1" ht="12" hidden="1" customHeight="1">
      <c r="A5070" s="426"/>
    </row>
    <row r="5071" spans="1:1" s="427" customFormat="1" ht="12" hidden="1" customHeight="1">
      <c r="A5071" s="426"/>
    </row>
    <row r="5072" spans="1:1" s="427" customFormat="1" ht="12" hidden="1" customHeight="1">
      <c r="A5072" s="426"/>
    </row>
    <row r="5073" spans="1:1" s="427" customFormat="1" ht="12" hidden="1" customHeight="1">
      <c r="A5073" s="426"/>
    </row>
    <row r="5074" spans="1:1" s="427" customFormat="1" ht="12" hidden="1" customHeight="1">
      <c r="A5074" s="426"/>
    </row>
    <row r="5075" spans="1:1" s="427" customFormat="1" ht="12" hidden="1" customHeight="1">
      <c r="A5075" s="426"/>
    </row>
    <row r="5076" spans="1:1" s="427" customFormat="1" ht="12" hidden="1" customHeight="1">
      <c r="A5076" s="426"/>
    </row>
    <row r="5077" spans="1:1" s="427" customFormat="1" ht="12" hidden="1" customHeight="1">
      <c r="A5077" s="426"/>
    </row>
    <row r="5078" spans="1:1" s="427" customFormat="1" ht="12" hidden="1" customHeight="1">
      <c r="A5078" s="426"/>
    </row>
    <row r="5079" spans="1:1" s="427" customFormat="1" ht="12" hidden="1" customHeight="1">
      <c r="A5079" s="426"/>
    </row>
    <row r="5080" spans="1:1" s="427" customFormat="1" ht="12" hidden="1" customHeight="1">
      <c r="A5080" s="426"/>
    </row>
    <row r="5081" spans="1:1" s="427" customFormat="1" ht="12" hidden="1" customHeight="1">
      <c r="A5081" s="426"/>
    </row>
    <row r="5082" spans="1:1" s="427" customFormat="1" ht="12" hidden="1" customHeight="1">
      <c r="A5082" s="426"/>
    </row>
    <row r="5083" spans="1:1" s="427" customFormat="1" ht="12" hidden="1" customHeight="1">
      <c r="A5083" s="426"/>
    </row>
    <row r="5084" spans="1:1" s="427" customFormat="1" ht="12" hidden="1" customHeight="1">
      <c r="A5084" s="426"/>
    </row>
    <row r="5085" spans="1:1" s="427" customFormat="1" ht="12" hidden="1" customHeight="1">
      <c r="A5085" s="426"/>
    </row>
    <row r="5086" spans="1:1" s="427" customFormat="1" ht="12" hidden="1" customHeight="1">
      <c r="A5086" s="426"/>
    </row>
    <row r="5087" spans="1:1" s="427" customFormat="1" ht="12" hidden="1" customHeight="1">
      <c r="A5087" s="426"/>
    </row>
    <row r="5088" spans="1:1" s="427" customFormat="1" ht="12" hidden="1" customHeight="1">
      <c r="A5088" s="426"/>
    </row>
    <row r="5089" spans="1:1" s="427" customFormat="1" ht="12" hidden="1" customHeight="1">
      <c r="A5089" s="426"/>
    </row>
    <row r="5090" spans="1:1" s="427" customFormat="1" ht="12" hidden="1" customHeight="1">
      <c r="A5090" s="426"/>
    </row>
    <row r="5091" spans="1:1" s="427" customFormat="1" ht="12" hidden="1" customHeight="1">
      <c r="A5091" s="426"/>
    </row>
    <row r="5092" spans="1:1" s="427" customFormat="1" ht="12" hidden="1" customHeight="1">
      <c r="A5092" s="426"/>
    </row>
    <row r="5093" spans="1:1" s="427" customFormat="1" ht="12" hidden="1" customHeight="1">
      <c r="A5093" s="426"/>
    </row>
    <row r="5094" spans="1:1" s="427" customFormat="1" ht="12" hidden="1" customHeight="1">
      <c r="A5094" s="426"/>
    </row>
    <row r="5095" spans="1:1" s="427" customFormat="1" ht="12" hidden="1" customHeight="1">
      <c r="A5095" s="426"/>
    </row>
    <row r="5096" spans="1:1" s="427" customFormat="1" ht="12" hidden="1" customHeight="1">
      <c r="A5096" s="426"/>
    </row>
    <row r="5097" spans="1:1" s="427" customFormat="1" ht="12" hidden="1" customHeight="1">
      <c r="A5097" s="426"/>
    </row>
    <row r="5098" spans="1:1" s="427" customFormat="1" ht="12" hidden="1" customHeight="1">
      <c r="A5098" s="426"/>
    </row>
    <row r="5099" spans="1:1" s="427" customFormat="1" ht="12" hidden="1" customHeight="1">
      <c r="A5099" s="426"/>
    </row>
    <row r="5100" spans="1:1" s="427" customFormat="1" ht="12" hidden="1" customHeight="1">
      <c r="A5100" s="426"/>
    </row>
    <row r="5101" spans="1:1" s="427" customFormat="1" ht="12" hidden="1" customHeight="1">
      <c r="A5101" s="426"/>
    </row>
    <row r="5102" spans="1:1" s="427" customFormat="1" ht="12" hidden="1" customHeight="1">
      <c r="A5102" s="426"/>
    </row>
    <row r="5103" spans="1:1" s="427" customFormat="1" ht="12" hidden="1" customHeight="1">
      <c r="A5103" s="426"/>
    </row>
    <row r="5104" spans="1:1" s="427" customFormat="1" ht="12" hidden="1" customHeight="1">
      <c r="A5104" s="426"/>
    </row>
    <row r="5105" spans="1:1" s="427" customFormat="1" ht="12" hidden="1" customHeight="1">
      <c r="A5105" s="426"/>
    </row>
    <row r="5106" spans="1:1" s="427" customFormat="1" ht="12" hidden="1" customHeight="1">
      <c r="A5106" s="426"/>
    </row>
    <row r="5107" spans="1:1" s="427" customFormat="1" ht="12" hidden="1" customHeight="1">
      <c r="A5107" s="426"/>
    </row>
    <row r="5108" spans="1:1" s="427" customFormat="1" ht="12" hidden="1" customHeight="1">
      <c r="A5108" s="426"/>
    </row>
    <row r="5109" spans="1:1" s="427" customFormat="1" ht="12" hidden="1" customHeight="1">
      <c r="A5109" s="426"/>
    </row>
    <row r="5110" spans="1:1" s="427" customFormat="1" ht="12" hidden="1" customHeight="1">
      <c r="A5110" s="426"/>
    </row>
    <row r="5111" spans="1:1" s="427" customFormat="1" ht="12" hidden="1" customHeight="1">
      <c r="A5111" s="426"/>
    </row>
    <row r="5112" spans="1:1" s="427" customFormat="1" ht="12" hidden="1" customHeight="1">
      <c r="A5112" s="426"/>
    </row>
    <row r="5113" spans="1:1" s="427" customFormat="1" ht="12" hidden="1" customHeight="1">
      <c r="A5113" s="426"/>
    </row>
    <row r="5114" spans="1:1" s="427" customFormat="1" ht="12" hidden="1" customHeight="1">
      <c r="A5114" s="426"/>
    </row>
    <row r="5115" spans="1:1" s="427" customFormat="1" ht="12" hidden="1" customHeight="1">
      <c r="A5115" s="426"/>
    </row>
    <row r="5116" spans="1:1" s="427" customFormat="1" ht="12" hidden="1" customHeight="1">
      <c r="A5116" s="426"/>
    </row>
    <row r="5117" spans="1:1" s="427" customFormat="1" ht="12" hidden="1" customHeight="1">
      <c r="A5117" s="426"/>
    </row>
    <row r="5118" spans="1:1" s="427" customFormat="1" ht="12" hidden="1" customHeight="1">
      <c r="A5118" s="426"/>
    </row>
    <row r="5119" spans="1:1" s="427" customFormat="1" ht="12" hidden="1" customHeight="1">
      <c r="A5119" s="426"/>
    </row>
    <row r="5120" spans="1:1" s="427" customFormat="1" ht="12" hidden="1" customHeight="1">
      <c r="A5120" s="426"/>
    </row>
    <row r="5121" spans="1:1" s="427" customFormat="1" ht="12" hidden="1" customHeight="1">
      <c r="A5121" s="426"/>
    </row>
    <row r="5122" spans="1:1" s="427" customFormat="1" ht="12" hidden="1" customHeight="1">
      <c r="A5122" s="426"/>
    </row>
    <row r="5123" spans="1:1" s="427" customFormat="1" ht="12" hidden="1" customHeight="1">
      <c r="A5123" s="426"/>
    </row>
    <row r="5124" spans="1:1" s="427" customFormat="1" ht="12" hidden="1" customHeight="1">
      <c r="A5124" s="426"/>
    </row>
    <row r="5125" spans="1:1" s="427" customFormat="1" ht="12" hidden="1" customHeight="1">
      <c r="A5125" s="426"/>
    </row>
    <row r="5126" spans="1:1" s="427" customFormat="1" ht="12" hidden="1" customHeight="1">
      <c r="A5126" s="426"/>
    </row>
    <row r="5127" spans="1:1" s="427" customFormat="1" ht="12" hidden="1" customHeight="1">
      <c r="A5127" s="426"/>
    </row>
    <row r="5128" spans="1:1" s="427" customFormat="1" ht="12" hidden="1" customHeight="1">
      <c r="A5128" s="426"/>
    </row>
    <row r="5129" spans="1:1" s="427" customFormat="1" ht="12" hidden="1" customHeight="1">
      <c r="A5129" s="426"/>
    </row>
    <row r="5130" spans="1:1" s="427" customFormat="1" ht="12" hidden="1" customHeight="1">
      <c r="A5130" s="426"/>
    </row>
    <row r="5131" spans="1:1" s="427" customFormat="1" ht="12" hidden="1" customHeight="1">
      <c r="A5131" s="426"/>
    </row>
    <row r="5132" spans="1:1" s="427" customFormat="1" ht="12" hidden="1" customHeight="1">
      <c r="A5132" s="426"/>
    </row>
    <row r="5133" spans="1:1" s="427" customFormat="1" ht="12" hidden="1" customHeight="1">
      <c r="A5133" s="426"/>
    </row>
    <row r="5134" spans="1:1" s="427" customFormat="1" ht="12" hidden="1" customHeight="1">
      <c r="A5134" s="426"/>
    </row>
    <row r="5135" spans="1:1" s="427" customFormat="1" ht="12" hidden="1" customHeight="1">
      <c r="A5135" s="426"/>
    </row>
    <row r="5136" spans="1:1" s="427" customFormat="1" ht="12" hidden="1" customHeight="1">
      <c r="A5136" s="426"/>
    </row>
    <row r="5137" spans="1:1" s="427" customFormat="1" ht="12" hidden="1" customHeight="1">
      <c r="A5137" s="426"/>
    </row>
    <row r="5138" spans="1:1" s="427" customFormat="1" ht="12" hidden="1" customHeight="1">
      <c r="A5138" s="426"/>
    </row>
    <row r="5139" spans="1:1" s="427" customFormat="1" ht="12" hidden="1" customHeight="1">
      <c r="A5139" s="426"/>
    </row>
    <row r="5140" spans="1:1" s="427" customFormat="1" ht="12" hidden="1" customHeight="1">
      <c r="A5140" s="426"/>
    </row>
    <row r="5141" spans="1:1" s="427" customFormat="1" ht="12" hidden="1" customHeight="1">
      <c r="A5141" s="426"/>
    </row>
    <row r="5142" spans="1:1" s="427" customFormat="1" ht="12" hidden="1" customHeight="1">
      <c r="A5142" s="426"/>
    </row>
    <row r="5143" spans="1:1" s="427" customFormat="1" ht="12" hidden="1" customHeight="1">
      <c r="A5143" s="426"/>
    </row>
    <row r="5144" spans="1:1" s="427" customFormat="1" ht="12" hidden="1" customHeight="1">
      <c r="A5144" s="426"/>
    </row>
    <row r="5145" spans="1:1" s="427" customFormat="1" ht="12" hidden="1" customHeight="1">
      <c r="A5145" s="426"/>
    </row>
    <row r="5146" spans="1:1" s="427" customFormat="1" ht="12" hidden="1" customHeight="1">
      <c r="A5146" s="426"/>
    </row>
    <row r="5147" spans="1:1" s="427" customFormat="1" ht="12" hidden="1" customHeight="1">
      <c r="A5147" s="426"/>
    </row>
    <row r="5148" spans="1:1" s="427" customFormat="1" ht="12" hidden="1" customHeight="1">
      <c r="A5148" s="426"/>
    </row>
    <row r="5149" spans="1:1" s="427" customFormat="1" ht="12" hidden="1" customHeight="1">
      <c r="A5149" s="426"/>
    </row>
    <row r="5150" spans="1:1" s="427" customFormat="1" ht="12" hidden="1" customHeight="1">
      <c r="A5150" s="426"/>
    </row>
    <row r="5151" spans="1:1" s="427" customFormat="1" ht="12" hidden="1" customHeight="1">
      <c r="A5151" s="426"/>
    </row>
    <row r="5152" spans="1:1" s="427" customFormat="1" ht="12" hidden="1" customHeight="1">
      <c r="A5152" s="426"/>
    </row>
    <row r="5153" spans="1:1" s="427" customFormat="1" ht="12" hidden="1" customHeight="1">
      <c r="A5153" s="426"/>
    </row>
    <row r="5154" spans="1:1" s="427" customFormat="1" ht="12" hidden="1" customHeight="1">
      <c r="A5154" s="426"/>
    </row>
    <row r="5155" spans="1:1" s="427" customFormat="1" ht="12" hidden="1" customHeight="1">
      <c r="A5155" s="426"/>
    </row>
    <row r="5156" spans="1:1" s="427" customFormat="1" ht="12" hidden="1" customHeight="1">
      <c r="A5156" s="426"/>
    </row>
    <row r="5157" spans="1:1" s="427" customFormat="1" ht="12" hidden="1" customHeight="1">
      <c r="A5157" s="426"/>
    </row>
    <row r="5158" spans="1:1" s="427" customFormat="1" ht="12" hidden="1" customHeight="1">
      <c r="A5158" s="426"/>
    </row>
    <row r="5159" spans="1:1" s="427" customFormat="1" ht="12" hidden="1" customHeight="1">
      <c r="A5159" s="426"/>
    </row>
    <row r="5160" spans="1:1" s="427" customFormat="1" ht="12" hidden="1" customHeight="1">
      <c r="A5160" s="426"/>
    </row>
    <row r="5161" spans="1:1" s="427" customFormat="1" ht="12" hidden="1" customHeight="1">
      <c r="A5161" s="426"/>
    </row>
    <row r="5162" spans="1:1" s="427" customFormat="1" ht="12" hidden="1" customHeight="1">
      <c r="A5162" s="426"/>
    </row>
    <row r="5163" spans="1:1" s="427" customFormat="1" ht="12" hidden="1" customHeight="1">
      <c r="A5163" s="426"/>
    </row>
    <row r="5164" spans="1:1" s="427" customFormat="1" ht="12" hidden="1" customHeight="1">
      <c r="A5164" s="426"/>
    </row>
    <row r="5165" spans="1:1" s="427" customFormat="1" ht="12" hidden="1" customHeight="1">
      <c r="A5165" s="426"/>
    </row>
    <row r="5166" spans="1:1" s="427" customFormat="1" ht="12" hidden="1" customHeight="1">
      <c r="A5166" s="426"/>
    </row>
    <row r="5167" spans="1:1" s="427" customFormat="1" ht="12" hidden="1" customHeight="1">
      <c r="A5167" s="426"/>
    </row>
    <row r="5168" spans="1:1" s="427" customFormat="1" ht="12" hidden="1" customHeight="1">
      <c r="A5168" s="426"/>
    </row>
    <row r="5169" spans="1:1" s="427" customFormat="1" ht="12" hidden="1" customHeight="1">
      <c r="A5169" s="426"/>
    </row>
    <row r="5170" spans="1:1" s="427" customFormat="1" ht="12" hidden="1" customHeight="1">
      <c r="A5170" s="426"/>
    </row>
    <row r="5171" spans="1:1" s="427" customFormat="1" ht="12" hidden="1" customHeight="1">
      <c r="A5171" s="426"/>
    </row>
    <row r="5172" spans="1:1" s="427" customFormat="1" ht="12" hidden="1" customHeight="1">
      <c r="A5172" s="426"/>
    </row>
    <row r="5173" spans="1:1" s="427" customFormat="1" ht="12" hidden="1" customHeight="1">
      <c r="A5173" s="426"/>
    </row>
    <row r="5174" spans="1:1" s="427" customFormat="1" ht="12" hidden="1" customHeight="1">
      <c r="A5174" s="426"/>
    </row>
    <row r="5175" spans="1:1" s="427" customFormat="1" ht="12" hidden="1" customHeight="1">
      <c r="A5175" s="426"/>
    </row>
    <row r="5176" spans="1:1" s="427" customFormat="1" ht="12" hidden="1" customHeight="1">
      <c r="A5176" s="426"/>
    </row>
    <row r="5177" spans="1:1" s="427" customFormat="1" ht="12" hidden="1" customHeight="1">
      <c r="A5177" s="426"/>
    </row>
    <row r="5178" spans="1:1" s="427" customFormat="1" ht="12" hidden="1" customHeight="1">
      <c r="A5178" s="426"/>
    </row>
    <row r="5179" spans="1:1" s="427" customFormat="1" ht="12" hidden="1" customHeight="1">
      <c r="A5179" s="426"/>
    </row>
    <row r="5180" spans="1:1" s="427" customFormat="1" ht="12" hidden="1" customHeight="1">
      <c r="A5180" s="426"/>
    </row>
    <row r="5181" spans="1:1" s="427" customFormat="1" ht="12" hidden="1" customHeight="1">
      <c r="A5181" s="426"/>
    </row>
    <row r="5182" spans="1:1" s="427" customFormat="1" ht="12" hidden="1" customHeight="1">
      <c r="A5182" s="426"/>
    </row>
    <row r="5183" spans="1:1" s="427" customFormat="1" ht="12" hidden="1" customHeight="1">
      <c r="A5183" s="426"/>
    </row>
    <row r="5184" spans="1:1" s="427" customFormat="1" ht="12" hidden="1" customHeight="1">
      <c r="A5184" s="426"/>
    </row>
    <row r="5185" spans="1:1" s="427" customFormat="1" ht="12" hidden="1" customHeight="1">
      <c r="A5185" s="426"/>
    </row>
    <row r="5186" spans="1:1" s="427" customFormat="1" ht="12" hidden="1" customHeight="1">
      <c r="A5186" s="426"/>
    </row>
    <row r="5187" spans="1:1" s="427" customFormat="1" ht="12" hidden="1" customHeight="1">
      <c r="A5187" s="426"/>
    </row>
    <row r="5188" spans="1:1" s="427" customFormat="1" ht="12" hidden="1" customHeight="1">
      <c r="A5188" s="426"/>
    </row>
    <row r="5189" spans="1:1" s="427" customFormat="1" ht="12" hidden="1" customHeight="1">
      <c r="A5189" s="426"/>
    </row>
    <row r="5190" spans="1:1" s="427" customFormat="1" ht="12" hidden="1" customHeight="1">
      <c r="A5190" s="426"/>
    </row>
    <row r="5191" spans="1:1" s="427" customFormat="1" ht="12" hidden="1" customHeight="1">
      <c r="A5191" s="426"/>
    </row>
    <row r="5192" spans="1:1" s="427" customFormat="1" ht="12" hidden="1" customHeight="1">
      <c r="A5192" s="426"/>
    </row>
    <row r="5193" spans="1:1" s="427" customFormat="1" ht="12" hidden="1" customHeight="1">
      <c r="A5193" s="426"/>
    </row>
    <row r="5194" spans="1:1" s="427" customFormat="1" ht="12" hidden="1" customHeight="1">
      <c r="A5194" s="426"/>
    </row>
    <row r="5195" spans="1:1" s="427" customFormat="1" ht="12" hidden="1" customHeight="1">
      <c r="A5195" s="426"/>
    </row>
    <row r="5196" spans="1:1" s="427" customFormat="1" ht="12" hidden="1" customHeight="1">
      <c r="A5196" s="426"/>
    </row>
    <row r="5197" spans="1:1" s="427" customFormat="1" ht="12" hidden="1" customHeight="1">
      <c r="A5197" s="426"/>
    </row>
    <row r="5198" spans="1:1" s="427" customFormat="1" ht="12" hidden="1" customHeight="1">
      <c r="A5198" s="426"/>
    </row>
    <row r="5199" spans="1:1" s="427" customFormat="1" ht="12" hidden="1" customHeight="1">
      <c r="A5199" s="426"/>
    </row>
    <row r="5200" spans="1:1" s="427" customFormat="1" ht="12" hidden="1" customHeight="1">
      <c r="A5200" s="426"/>
    </row>
    <row r="5201" spans="1:1" s="427" customFormat="1" ht="12" hidden="1" customHeight="1">
      <c r="A5201" s="426"/>
    </row>
    <row r="5202" spans="1:1" s="427" customFormat="1" ht="12" hidden="1" customHeight="1">
      <c r="A5202" s="426"/>
    </row>
    <row r="5203" spans="1:1" s="427" customFormat="1" ht="12" hidden="1" customHeight="1">
      <c r="A5203" s="426"/>
    </row>
    <row r="5204" spans="1:1" s="427" customFormat="1" ht="12" hidden="1" customHeight="1">
      <c r="A5204" s="426"/>
    </row>
    <row r="5205" spans="1:1" s="427" customFormat="1" ht="12" hidden="1" customHeight="1">
      <c r="A5205" s="426"/>
    </row>
    <row r="5206" spans="1:1" s="427" customFormat="1" ht="12" hidden="1" customHeight="1">
      <c r="A5206" s="426"/>
    </row>
    <row r="5207" spans="1:1" s="427" customFormat="1" ht="12" hidden="1" customHeight="1">
      <c r="A5207" s="426"/>
    </row>
    <row r="5208" spans="1:1" s="427" customFormat="1" ht="12" hidden="1" customHeight="1">
      <c r="A5208" s="426"/>
    </row>
    <row r="5209" spans="1:1" s="427" customFormat="1" ht="12" hidden="1" customHeight="1">
      <c r="A5209" s="426"/>
    </row>
    <row r="5210" spans="1:1" s="427" customFormat="1" ht="12" hidden="1" customHeight="1">
      <c r="A5210" s="426"/>
    </row>
    <row r="5211" spans="1:1" s="427" customFormat="1" ht="12" hidden="1" customHeight="1">
      <c r="A5211" s="426"/>
    </row>
    <row r="5212" spans="1:1" s="427" customFormat="1" ht="12" hidden="1" customHeight="1">
      <c r="A5212" s="426"/>
    </row>
    <row r="5213" spans="1:1" s="427" customFormat="1" ht="12" hidden="1" customHeight="1">
      <c r="A5213" s="426"/>
    </row>
    <row r="5214" spans="1:1" s="427" customFormat="1" ht="12" hidden="1" customHeight="1">
      <c r="A5214" s="426"/>
    </row>
    <row r="5215" spans="1:1" s="427" customFormat="1" ht="12" hidden="1" customHeight="1">
      <c r="A5215" s="426"/>
    </row>
    <row r="5216" spans="1:1" s="427" customFormat="1" ht="12" hidden="1" customHeight="1">
      <c r="A5216" s="426"/>
    </row>
    <row r="5217" spans="1:1" s="427" customFormat="1" ht="12" hidden="1" customHeight="1">
      <c r="A5217" s="426"/>
    </row>
    <row r="5218" spans="1:1" s="427" customFormat="1" ht="12" hidden="1" customHeight="1">
      <c r="A5218" s="426"/>
    </row>
    <row r="5219" spans="1:1" s="427" customFormat="1" ht="12" hidden="1" customHeight="1">
      <c r="A5219" s="426"/>
    </row>
    <row r="5220" spans="1:1" s="427" customFormat="1" ht="12" hidden="1" customHeight="1">
      <c r="A5220" s="426"/>
    </row>
    <row r="5221" spans="1:1" s="427" customFormat="1" ht="12" hidden="1" customHeight="1">
      <c r="A5221" s="426"/>
    </row>
    <row r="5222" spans="1:1" s="427" customFormat="1" ht="12" hidden="1" customHeight="1">
      <c r="A5222" s="426"/>
    </row>
    <row r="5223" spans="1:1" s="427" customFormat="1" ht="12" hidden="1" customHeight="1">
      <c r="A5223" s="426"/>
    </row>
    <row r="5224" spans="1:1" s="427" customFormat="1" ht="12" hidden="1" customHeight="1">
      <c r="A5224" s="426"/>
    </row>
    <row r="5225" spans="1:1" s="427" customFormat="1" ht="12" hidden="1" customHeight="1">
      <c r="A5225" s="426"/>
    </row>
    <row r="5226" spans="1:1" s="427" customFormat="1" ht="12" hidden="1" customHeight="1">
      <c r="A5226" s="426"/>
    </row>
    <row r="5227" spans="1:1" s="427" customFormat="1" ht="12" hidden="1" customHeight="1">
      <c r="A5227" s="426"/>
    </row>
    <row r="5228" spans="1:1" s="427" customFormat="1" ht="12" hidden="1" customHeight="1">
      <c r="A5228" s="426"/>
    </row>
    <row r="5229" spans="1:1" s="427" customFormat="1" ht="12" hidden="1" customHeight="1">
      <c r="A5229" s="426"/>
    </row>
    <row r="5230" spans="1:1" s="427" customFormat="1" ht="12" hidden="1" customHeight="1">
      <c r="A5230" s="426"/>
    </row>
    <row r="5231" spans="1:1" s="427" customFormat="1" ht="12" hidden="1" customHeight="1">
      <c r="A5231" s="426"/>
    </row>
    <row r="5232" spans="1:1" s="427" customFormat="1" ht="12" hidden="1" customHeight="1">
      <c r="A5232" s="426"/>
    </row>
    <row r="5233" spans="1:1" s="427" customFormat="1" ht="12" hidden="1" customHeight="1">
      <c r="A5233" s="426"/>
    </row>
    <row r="5234" spans="1:1" s="427" customFormat="1" ht="12" hidden="1" customHeight="1">
      <c r="A5234" s="426"/>
    </row>
    <row r="5235" spans="1:1" s="427" customFormat="1" ht="12" hidden="1" customHeight="1">
      <c r="A5235" s="426"/>
    </row>
    <row r="5236" spans="1:1" s="427" customFormat="1" ht="12" hidden="1" customHeight="1">
      <c r="A5236" s="426"/>
    </row>
    <row r="5237" spans="1:1" s="427" customFormat="1" ht="12" hidden="1" customHeight="1">
      <c r="A5237" s="426"/>
    </row>
    <row r="5238" spans="1:1" s="427" customFormat="1" ht="12" hidden="1" customHeight="1">
      <c r="A5238" s="426"/>
    </row>
    <row r="5239" spans="1:1" s="427" customFormat="1" ht="12" hidden="1" customHeight="1">
      <c r="A5239" s="426"/>
    </row>
    <row r="5240" spans="1:1" s="427" customFormat="1" ht="12" hidden="1" customHeight="1">
      <c r="A5240" s="426"/>
    </row>
    <row r="5241" spans="1:1" s="427" customFormat="1" ht="12" hidden="1" customHeight="1">
      <c r="A5241" s="426"/>
    </row>
    <row r="5242" spans="1:1" s="427" customFormat="1" ht="12" hidden="1" customHeight="1">
      <c r="A5242" s="426"/>
    </row>
    <row r="5243" spans="1:1" s="427" customFormat="1" ht="12" hidden="1" customHeight="1">
      <c r="A5243" s="426"/>
    </row>
    <row r="5244" spans="1:1" s="427" customFormat="1" ht="12" hidden="1" customHeight="1">
      <c r="A5244" s="426"/>
    </row>
    <row r="5245" spans="1:1" s="427" customFormat="1" ht="12" hidden="1" customHeight="1">
      <c r="A5245" s="426"/>
    </row>
    <row r="5246" spans="1:1" s="427" customFormat="1" ht="12" hidden="1" customHeight="1">
      <c r="A5246" s="426"/>
    </row>
    <row r="5247" spans="1:1" s="427" customFormat="1" ht="12" hidden="1" customHeight="1">
      <c r="A5247" s="426"/>
    </row>
    <row r="5248" spans="1:1" s="427" customFormat="1" ht="12" hidden="1" customHeight="1">
      <c r="A5248" s="426"/>
    </row>
    <row r="5249" spans="1:1" s="427" customFormat="1" ht="12" hidden="1" customHeight="1">
      <c r="A5249" s="426"/>
    </row>
    <row r="5250" spans="1:1" s="427" customFormat="1" ht="12" hidden="1" customHeight="1">
      <c r="A5250" s="426"/>
    </row>
    <row r="5251" spans="1:1" s="427" customFormat="1" ht="12" hidden="1" customHeight="1">
      <c r="A5251" s="426"/>
    </row>
    <row r="5252" spans="1:1" s="427" customFormat="1" ht="12" hidden="1" customHeight="1">
      <c r="A5252" s="426"/>
    </row>
    <row r="5253" spans="1:1" s="427" customFormat="1" ht="12" hidden="1" customHeight="1">
      <c r="A5253" s="426"/>
    </row>
    <row r="5254" spans="1:1" s="427" customFormat="1" ht="12" hidden="1" customHeight="1">
      <c r="A5254" s="426"/>
    </row>
    <row r="5255" spans="1:1" s="427" customFormat="1" ht="12" hidden="1" customHeight="1">
      <c r="A5255" s="426"/>
    </row>
    <row r="5256" spans="1:1" s="427" customFormat="1" ht="12" hidden="1" customHeight="1">
      <c r="A5256" s="426"/>
    </row>
    <row r="5257" spans="1:1" s="427" customFormat="1" ht="12" hidden="1" customHeight="1">
      <c r="A5257" s="426"/>
    </row>
    <row r="5258" spans="1:1" s="427" customFormat="1" ht="12" hidden="1" customHeight="1">
      <c r="A5258" s="426"/>
    </row>
    <row r="5259" spans="1:1" s="427" customFormat="1" ht="12" hidden="1" customHeight="1">
      <c r="A5259" s="426"/>
    </row>
    <row r="5260" spans="1:1" s="427" customFormat="1" ht="12" hidden="1" customHeight="1">
      <c r="A5260" s="426"/>
    </row>
    <row r="5261" spans="1:1" s="427" customFormat="1" ht="12" hidden="1" customHeight="1">
      <c r="A5261" s="426"/>
    </row>
    <row r="5262" spans="1:1" s="427" customFormat="1" ht="12" hidden="1" customHeight="1">
      <c r="A5262" s="426"/>
    </row>
    <row r="5263" spans="1:1" s="427" customFormat="1" ht="12" hidden="1" customHeight="1">
      <c r="A5263" s="426"/>
    </row>
    <row r="5264" spans="1:1" s="427" customFormat="1" ht="12" hidden="1" customHeight="1">
      <c r="A5264" s="426"/>
    </row>
    <row r="5265" spans="1:1" s="427" customFormat="1" ht="12" hidden="1" customHeight="1">
      <c r="A5265" s="426"/>
    </row>
    <row r="5266" spans="1:1" s="427" customFormat="1" ht="12" hidden="1" customHeight="1">
      <c r="A5266" s="426"/>
    </row>
    <row r="5267" spans="1:1" s="427" customFormat="1" ht="12" hidden="1" customHeight="1">
      <c r="A5267" s="426"/>
    </row>
    <row r="5268" spans="1:1" s="427" customFormat="1" ht="12" hidden="1" customHeight="1">
      <c r="A5268" s="426"/>
    </row>
    <row r="5269" spans="1:1" s="427" customFormat="1" ht="12" hidden="1" customHeight="1">
      <c r="A5269" s="426"/>
    </row>
    <row r="5270" spans="1:1" s="427" customFormat="1" ht="12" hidden="1" customHeight="1">
      <c r="A5270" s="426"/>
    </row>
    <row r="5271" spans="1:1" s="427" customFormat="1" ht="12" hidden="1" customHeight="1">
      <c r="A5271" s="426"/>
    </row>
    <row r="5272" spans="1:1" s="427" customFormat="1" ht="12" hidden="1" customHeight="1">
      <c r="A5272" s="426"/>
    </row>
    <row r="5273" spans="1:1" s="427" customFormat="1" ht="12" hidden="1" customHeight="1">
      <c r="A5273" s="426"/>
    </row>
    <row r="5274" spans="1:1" s="427" customFormat="1" ht="12" hidden="1" customHeight="1">
      <c r="A5274" s="426"/>
    </row>
    <row r="5275" spans="1:1" s="427" customFormat="1" ht="12" hidden="1" customHeight="1">
      <c r="A5275" s="426"/>
    </row>
    <row r="5276" spans="1:1" s="427" customFormat="1" ht="12" hidden="1" customHeight="1">
      <c r="A5276" s="426"/>
    </row>
    <row r="5277" spans="1:1" s="427" customFormat="1" ht="12" hidden="1" customHeight="1">
      <c r="A5277" s="426"/>
    </row>
    <row r="5278" spans="1:1" s="427" customFormat="1" ht="12" hidden="1" customHeight="1">
      <c r="A5278" s="426"/>
    </row>
    <row r="5279" spans="1:1" s="427" customFormat="1" ht="12" hidden="1" customHeight="1">
      <c r="A5279" s="426"/>
    </row>
    <row r="5280" spans="1:1" s="427" customFormat="1" ht="12" hidden="1" customHeight="1">
      <c r="A5280" s="426"/>
    </row>
    <row r="5281" spans="1:1" s="427" customFormat="1" ht="12" hidden="1" customHeight="1">
      <c r="A5281" s="426"/>
    </row>
    <row r="5282" spans="1:1" s="427" customFormat="1" ht="12" hidden="1" customHeight="1">
      <c r="A5282" s="426"/>
    </row>
    <row r="5283" spans="1:1" s="427" customFormat="1" ht="12" hidden="1" customHeight="1">
      <c r="A5283" s="426"/>
    </row>
    <row r="5284" spans="1:1" s="427" customFormat="1" ht="12" hidden="1" customHeight="1">
      <c r="A5284" s="426"/>
    </row>
    <row r="5285" spans="1:1" s="427" customFormat="1" ht="12" hidden="1" customHeight="1">
      <c r="A5285" s="426"/>
    </row>
    <row r="5286" spans="1:1" s="427" customFormat="1" ht="12" hidden="1" customHeight="1">
      <c r="A5286" s="426"/>
    </row>
    <row r="5287" spans="1:1" s="427" customFormat="1" ht="12" hidden="1" customHeight="1">
      <c r="A5287" s="426"/>
    </row>
    <row r="5288" spans="1:1" s="427" customFormat="1" ht="12" hidden="1" customHeight="1">
      <c r="A5288" s="426"/>
    </row>
    <row r="5289" spans="1:1" s="427" customFormat="1" ht="12" hidden="1" customHeight="1">
      <c r="A5289" s="426"/>
    </row>
    <row r="5290" spans="1:1" s="427" customFormat="1" ht="12" hidden="1" customHeight="1">
      <c r="A5290" s="426"/>
    </row>
    <row r="5291" spans="1:1" s="427" customFormat="1" ht="12" hidden="1" customHeight="1">
      <c r="A5291" s="426"/>
    </row>
    <row r="5292" spans="1:1" s="427" customFormat="1" ht="12" hidden="1" customHeight="1">
      <c r="A5292" s="426"/>
    </row>
    <row r="5293" spans="1:1" s="427" customFormat="1" ht="12" hidden="1" customHeight="1">
      <c r="A5293" s="426"/>
    </row>
    <row r="5294" spans="1:1" s="427" customFormat="1" ht="12" hidden="1" customHeight="1">
      <c r="A5294" s="426"/>
    </row>
    <row r="5295" spans="1:1" s="427" customFormat="1" ht="12" hidden="1" customHeight="1">
      <c r="A5295" s="426"/>
    </row>
    <row r="5296" spans="1:1" s="427" customFormat="1" ht="12" hidden="1" customHeight="1">
      <c r="A5296" s="426"/>
    </row>
    <row r="5297" spans="1:1" s="427" customFormat="1" ht="12" hidden="1" customHeight="1">
      <c r="A5297" s="426"/>
    </row>
    <row r="5298" spans="1:1" s="427" customFormat="1" ht="12" hidden="1" customHeight="1">
      <c r="A5298" s="426"/>
    </row>
    <row r="5299" spans="1:1" s="427" customFormat="1" ht="12" hidden="1" customHeight="1">
      <c r="A5299" s="426"/>
    </row>
    <row r="5300" spans="1:1" s="427" customFormat="1" ht="12" hidden="1" customHeight="1">
      <c r="A5300" s="426"/>
    </row>
    <row r="5301" spans="1:1" s="427" customFormat="1" ht="12" hidden="1" customHeight="1">
      <c r="A5301" s="426"/>
    </row>
    <row r="5302" spans="1:1" s="427" customFormat="1" ht="12" hidden="1" customHeight="1">
      <c r="A5302" s="426"/>
    </row>
    <row r="5303" spans="1:1" s="427" customFormat="1" ht="12" hidden="1" customHeight="1">
      <c r="A5303" s="426"/>
    </row>
    <row r="5304" spans="1:1" s="427" customFormat="1" ht="12" hidden="1" customHeight="1">
      <c r="A5304" s="426"/>
    </row>
    <row r="5305" spans="1:1" s="427" customFormat="1" ht="12" hidden="1" customHeight="1">
      <c r="A5305" s="426"/>
    </row>
    <row r="5306" spans="1:1" s="427" customFormat="1" ht="12" hidden="1" customHeight="1">
      <c r="A5306" s="426"/>
    </row>
    <row r="5307" spans="1:1" s="427" customFormat="1" ht="12" hidden="1" customHeight="1">
      <c r="A5307" s="426"/>
    </row>
    <row r="5308" spans="1:1" s="427" customFormat="1" ht="12" hidden="1" customHeight="1">
      <c r="A5308" s="426"/>
    </row>
    <row r="5309" spans="1:1" s="427" customFormat="1" ht="12" hidden="1" customHeight="1">
      <c r="A5309" s="426"/>
    </row>
    <row r="5310" spans="1:1" s="427" customFormat="1" ht="12" hidden="1" customHeight="1">
      <c r="A5310" s="426"/>
    </row>
    <row r="5311" spans="1:1" s="427" customFormat="1" ht="12" hidden="1" customHeight="1">
      <c r="A5311" s="426"/>
    </row>
    <row r="5312" spans="1:1" s="427" customFormat="1" ht="12" hidden="1" customHeight="1">
      <c r="A5312" s="426"/>
    </row>
    <row r="5313" spans="1:1" s="427" customFormat="1" ht="12" hidden="1" customHeight="1">
      <c r="A5313" s="426"/>
    </row>
    <row r="5314" spans="1:1" s="427" customFormat="1" ht="12" hidden="1" customHeight="1">
      <c r="A5314" s="426"/>
    </row>
    <row r="5315" spans="1:1" s="427" customFormat="1" ht="12" hidden="1" customHeight="1">
      <c r="A5315" s="426"/>
    </row>
    <row r="5316" spans="1:1" s="427" customFormat="1" ht="12" hidden="1" customHeight="1">
      <c r="A5316" s="426"/>
    </row>
    <row r="5317" spans="1:1" s="427" customFormat="1" ht="12" hidden="1" customHeight="1">
      <c r="A5317" s="426"/>
    </row>
    <row r="5318" spans="1:1" s="427" customFormat="1" ht="12" hidden="1" customHeight="1">
      <c r="A5318" s="426"/>
    </row>
    <row r="5319" spans="1:1" s="427" customFormat="1" ht="12" hidden="1" customHeight="1">
      <c r="A5319" s="426"/>
    </row>
    <row r="5320" spans="1:1" s="427" customFormat="1" ht="12" hidden="1" customHeight="1">
      <c r="A5320" s="426"/>
    </row>
    <row r="5321" spans="1:1" s="427" customFormat="1" ht="12" hidden="1" customHeight="1">
      <c r="A5321" s="426"/>
    </row>
    <row r="5322" spans="1:1" s="427" customFormat="1" ht="12" hidden="1" customHeight="1">
      <c r="A5322" s="426"/>
    </row>
    <row r="5323" spans="1:1" s="427" customFormat="1" ht="12" hidden="1" customHeight="1">
      <c r="A5323" s="426"/>
    </row>
    <row r="5324" spans="1:1" s="427" customFormat="1" ht="12" hidden="1" customHeight="1">
      <c r="A5324" s="426"/>
    </row>
    <row r="5325" spans="1:1" s="427" customFormat="1" ht="12" hidden="1" customHeight="1">
      <c r="A5325" s="426"/>
    </row>
    <row r="5326" spans="1:1" s="427" customFormat="1" ht="12" hidden="1" customHeight="1">
      <c r="A5326" s="426"/>
    </row>
    <row r="5327" spans="1:1" s="427" customFormat="1" ht="12" hidden="1" customHeight="1">
      <c r="A5327" s="426"/>
    </row>
    <row r="5328" spans="1:1" s="427" customFormat="1" ht="12" hidden="1" customHeight="1">
      <c r="A5328" s="426"/>
    </row>
    <row r="5329" spans="1:1" s="427" customFormat="1" ht="12" hidden="1" customHeight="1">
      <c r="A5329" s="426"/>
    </row>
    <row r="5330" spans="1:1" s="427" customFormat="1" ht="12" hidden="1" customHeight="1">
      <c r="A5330" s="426"/>
    </row>
    <row r="5331" spans="1:1" s="427" customFormat="1" ht="12" hidden="1" customHeight="1">
      <c r="A5331" s="426"/>
    </row>
    <row r="5332" spans="1:1" s="427" customFormat="1" ht="12" hidden="1" customHeight="1">
      <c r="A5332" s="426"/>
    </row>
    <row r="5333" spans="1:1" s="427" customFormat="1" ht="12" hidden="1" customHeight="1">
      <c r="A5333" s="426"/>
    </row>
    <row r="5334" spans="1:1" s="427" customFormat="1" ht="12" hidden="1" customHeight="1">
      <c r="A5334" s="426"/>
    </row>
    <row r="5335" spans="1:1" s="427" customFormat="1" ht="12" hidden="1" customHeight="1">
      <c r="A5335" s="426"/>
    </row>
    <row r="5336" spans="1:1" s="427" customFormat="1" ht="12" hidden="1" customHeight="1">
      <c r="A5336" s="426"/>
    </row>
    <row r="5337" spans="1:1" s="427" customFormat="1" ht="12" hidden="1" customHeight="1">
      <c r="A5337" s="426"/>
    </row>
    <row r="5338" spans="1:1" s="427" customFormat="1" ht="12" hidden="1" customHeight="1">
      <c r="A5338" s="426"/>
    </row>
    <row r="5339" spans="1:1" s="427" customFormat="1" ht="12" hidden="1" customHeight="1">
      <c r="A5339" s="426"/>
    </row>
    <row r="5340" spans="1:1" s="427" customFormat="1" ht="12" hidden="1" customHeight="1">
      <c r="A5340" s="426"/>
    </row>
    <row r="5341" spans="1:1" s="427" customFormat="1" ht="12" hidden="1" customHeight="1">
      <c r="A5341" s="426"/>
    </row>
    <row r="5342" spans="1:1" s="427" customFormat="1" ht="12" hidden="1" customHeight="1">
      <c r="A5342" s="426"/>
    </row>
    <row r="5343" spans="1:1" s="427" customFormat="1" ht="12" hidden="1" customHeight="1">
      <c r="A5343" s="426"/>
    </row>
    <row r="5344" spans="1:1" s="427" customFormat="1" ht="12" hidden="1" customHeight="1">
      <c r="A5344" s="426"/>
    </row>
    <row r="5345" spans="1:1" s="427" customFormat="1" ht="12" hidden="1" customHeight="1">
      <c r="A5345" s="426"/>
    </row>
    <row r="5346" spans="1:1" s="427" customFormat="1" ht="12" hidden="1" customHeight="1">
      <c r="A5346" s="426"/>
    </row>
    <row r="5347" spans="1:1" s="427" customFormat="1" ht="12" hidden="1" customHeight="1">
      <c r="A5347" s="426"/>
    </row>
    <row r="5348" spans="1:1" s="427" customFormat="1" ht="12" hidden="1" customHeight="1">
      <c r="A5348" s="426"/>
    </row>
    <row r="5349" spans="1:1" s="427" customFormat="1" ht="12" hidden="1" customHeight="1">
      <c r="A5349" s="426"/>
    </row>
    <row r="5350" spans="1:1" s="427" customFormat="1" ht="12" hidden="1" customHeight="1">
      <c r="A5350" s="426"/>
    </row>
    <row r="5351" spans="1:1" s="427" customFormat="1" ht="12" hidden="1" customHeight="1">
      <c r="A5351" s="426"/>
    </row>
    <row r="5352" spans="1:1" s="427" customFormat="1" ht="12" hidden="1" customHeight="1">
      <c r="A5352" s="426"/>
    </row>
    <row r="5353" spans="1:1" s="427" customFormat="1" ht="12" hidden="1" customHeight="1">
      <c r="A5353" s="426"/>
    </row>
    <row r="5354" spans="1:1" s="427" customFormat="1" ht="12" hidden="1" customHeight="1">
      <c r="A5354" s="426"/>
    </row>
    <row r="5355" spans="1:1" s="427" customFormat="1" ht="12" hidden="1" customHeight="1">
      <c r="A5355" s="426"/>
    </row>
    <row r="5356" spans="1:1" s="427" customFormat="1" ht="12" hidden="1" customHeight="1">
      <c r="A5356" s="426"/>
    </row>
    <row r="5357" spans="1:1" s="427" customFormat="1" ht="12" hidden="1" customHeight="1">
      <c r="A5357" s="426"/>
    </row>
    <row r="5358" spans="1:1" s="427" customFormat="1" ht="12" hidden="1" customHeight="1">
      <c r="A5358" s="426"/>
    </row>
    <row r="5359" spans="1:1" s="427" customFormat="1" ht="12" hidden="1" customHeight="1">
      <c r="A5359" s="426"/>
    </row>
    <row r="5360" spans="1:1" s="427" customFormat="1" ht="12" hidden="1" customHeight="1">
      <c r="A5360" s="426"/>
    </row>
    <row r="5361" spans="1:1" s="427" customFormat="1" ht="12" hidden="1" customHeight="1">
      <c r="A5361" s="426"/>
    </row>
    <row r="5362" spans="1:1" s="427" customFormat="1" ht="12" hidden="1" customHeight="1">
      <c r="A5362" s="426"/>
    </row>
    <row r="5363" spans="1:1" s="427" customFormat="1" ht="12" hidden="1" customHeight="1">
      <c r="A5363" s="426"/>
    </row>
    <row r="5364" spans="1:1" s="427" customFormat="1" ht="12" hidden="1" customHeight="1">
      <c r="A5364" s="426"/>
    </row>
    <row r="5365" spans="1:1" s="427" customFormat="1" ht="12" hidden="1" customHeight="1">
      <c r="A5365" s="426"/>
    </row>
    <row r="5366" spans="1:1" s="427" customFormat="1" ht="12" hidden="1" customHeight="1">
      <c r="A5366" s="426"/>
    </row>
    <row r="5367" spans="1:1" s="427" customFormat="1" ht="12" hidden="1" customHeight="1">
      <c r="A5367" s="426"/>
    </row>
    <row r="5368" spans="1:1" s="427" customFormat="1" ht="12" hidden="1" customHeight="1">
      <c r="A5368" s="426"/>
    </row>
    <row r="5369" spans="1:1" s="427" customFormat="1" ht="12" hidden="1" customHeight="1">
      <c r="A5369" s="426"/>
    </row>
    <row r="5370" spans="1:1" s="427" customFormat="1" ht="12" hidden="1" customHeight="1">
      <c r="A5370" s="426"/>
    </row>
    <row r="5371" spans="1:1" s="427" customFormat="1" ht="12" hidden="1" customHeight="1">
      <c r="A5371" s="426"/>
    </row>
    <row r="5372" spans="1:1" s="427" customFormat="1" ht="12" hidden="1" customHeight="1">
      <c r="A5372" s="426"/>
    </row>
    <row r="5373" spans="1:1" s="427" customFormat="1" ht="12" hidden="1" customHeight="1">
      <c r="A5373" s="426"/>
    </row>
    <row r="5374" spans="1:1" s="427" customFormat="1" ht="12" hidden="1" customHeight="1">
      <c r="A5374" s="426"/>
    </row>
    <row r="5375" spans="1:1" s="427" customFormat="1" ht="12" hidden="1" customHeight="1">
      <c r="A5375" s="426"/>
    </row>
    <row r="5376" spans="1:1" s="427" customFormat="1" ht="12" hidden="1" customHeight="1">
      <c r="A5376" s="426"/>
    </row>
    <row r="5377" spans="1:1" s="427" customFormat="1" ht="12" hidden="1" customHeight="1">
      <c r="A5377" s="426"/>
    </row>
    <row r="5378" spans="1:1" s="427" customFormat="1" ht="12" hidden="1" customHeight="1">
      <c r="A5378" s="426"/>
    </row>
    <row r="5379" spans="1:1" s="427" customFormat="1" ht="12" hidden="1" customHeight="1">
      <c r="A5379" s="426"/>
    </row>
    <row r="5380" spans="1:1" s="427" customFormat="1" ht="12" hidden="1" customHeight="1">
      <c r="A5380" s="426"/>
    </row>
    <row r="5381" spans="1:1" s="427" customFormat="1" ht="12" hidden="1" customHeight="1">
      <c r="A5381" s="426"/>
    </row>
    <row r="5382" spans="1:1" s="427" customFormat="1" ht="12" hidden="1" customHeight="1">
      <c r="A5382" s="426"/>
    </row>
    <row r="5383" spans="1:1" s="427" customFormat="1" ht="12" hidden="1" customHeight="1">
      <c r="A5383" s="426"/>
    </row>
    <row r="5384" spans="1:1" s="427" customFormat="1" ht="12" hidden="1" customHeight="1">
      <c r="A5384" s="426"/>
    </row>
    <row r="5385" spans="1:1" s="427" customFormat="1" ht="12" hidden="1" customHeight="1">
      <c r="A5385" s="426"/>
    </row>
    <row r="5386" spans="1:1" s="427" customFormat="1" ht="12" hidden="1" customHeight="1">
      <c r="A5386" s="426"/>
    </row>
    <row r="5387" spans="1:1" s="427" customFormat="1" ht="12" hidden="1" customHeight="1">
      <c r="A5387" s="426"/>
    </row>
    <row r="5388" spans="1:1" s="427" customFormat="1" ht="12" hidden="1" customHeight="1">
      <c r="A5388" s="426"/>
    </row>
    <row r="5389" spans="1:1" s="427" customFormat="1" ht="12" hidden="1" customHeight="1">
      <c r="A5389" s="426"/>
    </row>
    <row r="5390" spans="1:1" s="427" customFormat="1" ht="12" hidden="1" customHeight="1">
      <c r="A5390" s="426"/>
    </row>
    <row r="5391" spans="1:1" s="427" customFormat="1" ht="12" hidden="1" customHeight="1">
      <c r="A5391" s="426"/>
    </row>
    <row r="5392" spans="1:1" s="427" customFormat="1" ht="12" hidden="1" customHeight="1">
      <c r="A5392" s="426"/>
    </row>
    <row r="5393" spans="1:1" s="427" customFormat="1" ht="12" hidden="1" customHeight="1">
      <c r="A5393" s="426"/>
    </row>
    <row r="5394" spans="1:1" s="427" customFormat="1" ht="12" hidden="1" customHeight="1">
      <c r="A5394" s="426"/>
    </row>
    <row r="5395" spans="1:1" s="427" customFormat="1" ht="12" hidden="1" customHeight="1">
      <c r="A5395" s="426"/>
    </row>
    <row r="5396" spans="1:1" s="427" customFormat="1" ht="12" hidden="1" customHeight="1">
      <c r="A5396" s="426"/>
    </row>
    <row r="5397" spans="1:1" s="427" customFormat="1" ht="12" hidden="1" customHeight="1">
      <c r="A5397" s="426"/>
    </row>
    <row r="5398" spans="1:1" s="427" customFormat="1" ht="12" hidden="1" customHeight="1">
      <c r="A5398" s="426"/>
    </row>
    <row r="5399" spans="1:1" s="427" customFormat="1" ht="12" hidden="1" customHeight="1">
      <c r="A5399" s="426"/>
    </row>
    <row r="5400" spans="1:1" s="427" customFormat="1" ht="12" hidden="1" customHeight="1">
      <c r="A5400" s="426"/>
    </row>
    <row r="5401" spans="1:1" s="427" customFormat="1" ht="12" hidden="1" customHeight="1">
      <c r="A5401" s="426"/>
    </row>
    <row r="5402" spans="1:1" s="427" customFormat="1" ht="12" hidden="1" customHeight="1">
      <c r="A5402" s="426"/>
    </row>
    <row r="5403" spans="1:1" s="427" customFormat="1" ht="12" hidden="1" customHeight="1">
      <c r="A5403" s="426"/>
    </row>
    <row r="5404" spans="1:1" s="427" customFormat="1" ht="12" hidden="1" customHeight="1">
      <c r="A5404" s="426"/>
    </row>
    <row r="5405" spans="1:1" s="427" customFormat="1" ht="12" hidden="1" customHeight="1">
      <c r="A5405" s="426"/>
    </row>
    <row r="5406" spans="1:1" s="427" customFormat="1" ht="12" hidden="1" customHeight="1">
      <c r="A5406" s="426"/>
    </row>
    <row r="5407" spans="1:1" s="427" customFormat="1" ht="12" hidden="1" customHeight="1">
      <c r="A5407" s="426"/>
    </row>
    <row r="5408" spans="1:1" s="427" customFormat="1" ht="12" hidden="1" customHeight="1">
      <c r="A5408" s="426"/>
    </row>
    <row r="5409" spans="1:1" s="427" customFormat="1" ht="12" hidden="1" customHeight="1">
      <c r="A5409" s="426"/>
    </row>
    <row r="5410" spans="1:1" s="427" customFormat="1" ht="12" hidden="1" customHeight="1">
      <c r="A5410" s="426"/>
    </row>
    <row r="5411" spans="1:1" s="427" customFormat="1" ht="12" hidden="1" customHeight="1">
      <c r="A5411" s="426"/>
    </row>
    <row r="5412" spans="1:1" s="427" customFormat="1" ht="12" hidden="1" customHeight="1">
      <c r="A5412" s="426"/>
    </row>
    <row r="5413" spans="1:1" s="427" customFormat="1" ht="12" hidden="1" customHeight="1">
      <c r="A5413" s="426"/>
    </row>
    <row r="5414" spans="1:1" s="427" customFormat="1" ht="12" hidden="1" customHeight="1">
      <c r="A5414" s="426"/>
    </row>
    <row r="5415" spans="1:1" s="427" customFormat="1" ht="12" hidden="1" customHeight="1">
      <c r="A5415" s="426"/>
    </row>
    <row r="5416" spans="1:1" s="427" customFormat="1" ht="12" hidden="1" customHeight="1">
      <c r="A5416" s="426"/>
    </row>
    <row r="5417" spans="1:1" s="427" customFormat="1" ht="12" hidden="1" customHeight="1">
      <c r="A5417" s="426"/>
    </row>
    <row r="5418" spans="1:1" s="427" customFormat="1" ht="12" hidden="1" customHeight="1">
      <c r="A5418" s="426"/>
    </row>
    <row r="5419" spans="1:1" s="427" customFormat="1" ht="12" hidden="1" customHeight="1">
      <c r="A5419" s="426"/>
    </row>
    <row r="5420" spans="1:1" s="427" customFormat="1" ht="12" hidden="1" customHeight="1">
      <c r="A5420" s="426"/>
    </row>
    <row r="5421" spans="1:1" s="427" customFormat="1" ht="12" hidden="1" customHeight="1">
      <c r="A5421" s="426"/>
    </row>
    <row r="5422" spans="1:1" s="427" customFormat="1" ht="12" hidden="1" customHeight="1">
      <c r="A5422" s="426"/>
    </row>
    <row r="5423" spans="1:1" s="427" customFormat="1" ht="12" hidden="1" customHeight="1">
      <c r="A5423" s="426"/>
    </row>
    <row r="5424" spans="1:1" s="427" customFormat="1" ht="12" hidden="1" customHeight="1">
      <c r="A5424" s="426"/>
    </row>
    <row r="5425" spans="1:1" s="427" customFormat="1" ht="12" hidden="1" customHeight="1">
      <c r="A5425" s="426"/>
    </row>
    <row r="5426" spans="1:1" s="427" customFormat="1" ht="12" hidden="1" customHeight="1">
      <c r="A5426" s="426"/>
    </row>
    <row r="5427" spans="1:1" s="427" customFormat="1" ht="12" hidden="1" customHeight="1">
      <c r="A5427" s="426"/>
    </row>
    <row r="5428" spans="1:1" s="427" customFormat="1" ht="12" hidden="1" customHeight="1">
      <c r="A5428" s="426"/>
    </row>
    <row r="5429" spans="1:1" s="427" customFormat="1" ht="12" hidden="1" customHeight="1">
      <c r="A5429" s="426"/>
    </row>
    <row r="5430" spans="1:1" s="427" customFormat="1" ht="12" hidden="1" customHeight="1">
      <c r="A5430" s="426"/>
    </row>
    <row r="5431" spans="1:1" s="427" customFormat="1" ht="12" hidden="1" customHeight="1">
      <c r="A5431" s="426"/>
    </row>
    <row r="5432" spans="1:1" s="427" customFormat="1" ht="12" hidden="1" customHeight="1">
      <c r="A5432" s="426"/>
    </row>
    <row r="5433" spans="1:1" s="427" customFormat="1" ht="12" hidden="1" customHeight="1">
      <c r="A5433" s="426"/>
    </row>
    <row r="5434" spans="1:1" s="427" customFormat="1" ht="12" hidden="1" customHeight="1">
      <c r="A5434" s="426"/>
    </row>
    <row r="5435" spans="1:1" s="427" customFormat="1" ht="12" hidden="1" customHeight="1">
      <c r="A5435" s="426"/>
    </row>
    <row r="5436" spans="1:1" s="427" customFormat="1" ht="12" hidden="1" customHeight="1">
      <c r="A5436" s="426"/>
    </row>
    <row r="5437" spans="1:1" s="427" customFormat="1" ht="12" hidden="1" customHeight="1">
      <c r="A5437" s="426"/>
    </row>
    <row r="5438" spans="1:1" s="427" customFormat="1" ht="12" hidden="1" customHeight="1">
      <c r="A5438" s="426"/>
    </row>
    <row r="5439" spans="1:1" s="427" customFormat="1" ht="12" hidden="1" customHeight="1">
      <c r="A5439" s="426"/>
    </row>
    <row r="5440" spans="1:1" s="427" customFormat="1" ht="12" hidden="1" customHeight="1">
      <c r="A5440" s="426"/>
    </row>
    <row r="5441" spans="1:1" s="427" customFormat="1" ht="12" hidden="1" customHeight="1">
      <c r="A5441" s="426"/>
    </row>
    <row r="5442" spans="1:1" s="427" customFormat="1" ht="12" hidden="1" customHeight="1">
      <c r="A5442" s="426"/>
    </row>
    <row r="5443" spans="1:1" s="427" customFormat="1" ht="12" hidden="1" customHeight="1">
      <c r="A5443" s="426"/>
    </row>
    <row r="5444" spans="1:1" s="427" customFormat="1" ht="12" hidden="1" customHeight="1">
      <c r="A5444" s="426"/>
    </row>
    <row r="5445" spans="1:1" s="427" customFormat="1" ht="12" hidden="1" customHeight="1">
      <c r="A5445" s="426"/>
    </row>
    <row r="5446" spans="1:1" s="427" customFormat="1" ht="12" hidden="1" customHeight="1">
      <c r="A5446" s="426"/>
    </row>
    <row r="5447" spans="1:1" s="427" customFormat="1" ht="12" hidden="1" customHeight="1">
      <c r="A5447" s="426"/>
    </row>
    <row r="5448" spans="1:1" s="427" customFormat="1" ht="12" hidden="1" customHeight="1">
      <c r="A5448" s="426"/>
    </row>
    <row r="5449" spans="1:1" s="427" customFormat="1" ht="12" hidden="1" customHeight="1">
      <c r="A5449" s="426"/>
    </row>
    <row r="5450" spans="1:1" s="427" customFormat="1" ht="12" hidden="1" customHeight="1">
      <c r="A5450" s="426"/>
    </row>
    <row r="5451" spans="1:1" s="427" customFormat="1" ht="12" hidden="1" customHeight="1">
      <c r="A5451" s="426"/>
    </row>
    <row r="5452" spans="1:1" s="427" customFormat="1" ht="12" hidden="1" customHeight="1">
      <c r="A5452" s="426"/>
    </row>
    <row r="5453" spans="1:1" s="427" customFormat="1" ht="12" hidden="1" customHeight="1">
      <c r="A5453" s="426"/>
    </row>
    <row r="5454" spans="1:1" s="427" customFormat="1" ht="12" hidden="1" customHeight="1">
      <c r="A5454" s="426"/>
    </row>
    <row r="5455" spans="1:1" s="427" customFormat="1" ht="12" hidden="1" customHeight="1">
      <c r="A5455" s="426"/>
    </row>
    <row r="5456" spans="1:1" s="427" customFormat="1" ht="12" hidden="1" customHeight="1">
      <c r="A5456" s="426"/>
    </row>
    <row r="5457" spans="1:1" s="427" customFormat="1" ht="12" hidden="1" customHeight="1">
      <c r="A5457" s="426"/>
    </row>
    <row r="5458" spans="1:1" s="427" customFormat="1" ht="12" hidden="1" customHeight="1">
      <c r="A5458" s="426"/>
    </row>
    <row r="5459" spans="1:1" s="427" customFormat="1" ht="12" hidden="1" customHeight="1">
      <c r="A5459" s="426"/>
    </row>
    <row r="5460" spans="1:1" s="427" customFormat="1" ht="12" hidden="1" customHeight="1">
      <c r="A5460" s="426"/>
    </row>
    <row r="5461" spans="1:1" s="427" customFormat="1" ht="12" hidden="1" customHeight="1">
      <c r="A5461" s="426"/>
    </row>
    <row r="5462" spans="1:1" s="427" customFormat="1" ht="12" hidden="1" customHeight="1">
      <c r="A5462" s="426"/>
    </row>
    <row r="5463" spans="1:1" s="427" customFormat="1" ht="12" hidden="1" customHeight="1">
      <c r="A5463" s="426"/>
    </row>
    <row r="5464" spans="1:1" s="427" customFormat="1" ht="12" hidden="1" customHeight="1">
      <c r="A5464" s="426"/>
    </row>
    <row r="5465" spans="1:1" s="427" customFormat="1" ht="12" hidden="1" customHeight="1">
      <c r="A5465" s="426"/>
    </row>
    <row r="5466" spans="1:1" s="427" customFormat="1" ht="12" hidden="1" customHeight="1">
      <c r="A5466" s="426"/>
    </row>
    <row r="5467" spans="1:1" s="427" customFormat="1" ht="12" hidden="1" customHeight="1">
      <c r="A5467" s="426"/>
    </row>
    <row r="5468" spans="1:1" s="427" customFormat="1" ht="12" hidden="1" customHeight="1">
      <c r="A5468" s="426"/>
    </row>
    <row r="5469" spans="1:1" s="427" customFormat="1" ht="12" hidden="1" customHeight="1">
      <c r="A5469" s="426"/>
    </row>
    <row r="5470" spans="1:1" s="427" customFormat="1" ht="12" hidden="1" customHeight="1">
      <c r="A5470" s="426"/>
    </row>
    <row r="5471" spans="1:1" s="427" customFormat="1" ht="12" hidden="1" customHeight="1">
      <c r="A5471" s="426"/>
    </row>
    <row r="5472" spans="1:1" s="427" customFormat="1" ht="12" hidden="1" customHeight="1">
      <c r="A5472" s="426"/>
    </row>
    <row r="5473" spans="1:1" s="427" customFormat="1" ht="12" hidden="1" customHeight="1">
      <c r="A5473" s="426"/>
    </row>
    <row r="5474" spans="1:1" s="427" customFormat="1" ht="12" hidden="1" customHeight="1">
      <c r="A5474" s="426"/>
    </row>
    <row r="5475" spans="1:1" s="427" customFormat="1" ht="12" hidden="1" customHeight="1">
      <c r="A5475" s="426"/>
    </row>
    <row r="5476" spans="1:1" s="427" customFormat="1" ht="12" hidden="1" customHeight="1">
      <c r="A5476" s="426"/>
    </row>
    <row r="5477" spans="1:1" s="427" customFormat="1" ht="12" hidden="1" customHeight="1">
      <c r="A5477" s="426"/>
    </row>
    <row r="5478" spans="1:1" s="427" customFormat="1" ht="12" hidden="1" customHeight="1">
      <c r="A5478" s="426"/>
    </row>
    <row r="5479" spans="1:1" s="427" customFormat="1" ht="12" hidden="1" customHeight="1">
      <c r="A5479" s="426"/>
    </row>
    <row r="5480" spans="1:1" s="427" customFormat="1" ht="12" hidden="1" customHeight="1">
      <c r="A5480" s="426"/>
    </row>
    <row r="5481" spans="1:1" s="427" customFormat="1" ht="12" hidden="1" customHeight="1">
      <c r="A5481" s="426"/>
    </row>
    <row r="5482" spans="1:1" s="427" customFormat="1" ht="12" hidden="1" customHeight="1">
      <c r="A5482" s="426"/>
    </row>
    <row r="5483" spans="1:1" s="427" customFormat="1" ht="12" hidden="1" customHeight="1">
      <c r="A5483" s="426"/>
    </row>
    <row r="5484" spans="1:1" s="427" customFormat="1" ht="12" hidden="1" customHeight="1">
      <c r="A5484" s="426"/>
    </row>
    <row r="5485" spans="1:1" s="427" customFormat="1" ht="12" hidden="1" customHeight="1">
      <c r="A5485" s="426"/>
    </row>
    <row r="5486" spans="1:1" s="427" customFormat="1" ht="12" hidden="1" customHeight="1">
      <c r="A5486" s="426"/>
    </row>
    <row r="5487" spans="1:1" s="427" customFormat="1" ht="12" hidden="1" customHeight="1">
      <c r="A5487" s="426"/>
    </row>
    <row r="5488" spans="1:1" s="427" customFormat="1" ht="12" hidden="1" customHeight="1">
      <c r="A5488" s="426"/>
    </row>
    <row r="5489" spans="1:1" s="427" customFormat="1" ht="12" hidden="1" customHeight="1">
      <c r="A5489" s="426"/>
    </row>
    <row r="5490" spans="1:1" s="427" customFormat="1" ht="12" hidden="1" customHeight="1">
      <c r="A5490" s="426"/>
    </row>
    <row r="5491" spans="1:1" s="427" customFormat="1" ht="12" hidden="1" customHeight="1">
      <c r="A5491" s="426"/>
    </row>
    <row r="5492" spans="1:1" s="427" customFormat="1" ht="12" hidden="1" customHeight="1">
      <c r="A5492" s="426"/>
    </row>
    <row r="5493" spans="1:1" s="427" customFormat="1" ht="12" hidden="1" customHeight="1">
      <c r="A5493" s="426"/>
    </row>
    <row r="5494" spans="1:1" s="427" customFormat="1" ht="12" hidden="1" customHeight="1">
      <c r="A5494" s="426"/>
    </row>
    <row r="5495" spans="1:1" s="427" customFormat="1" ht="12" hidden="1" customHeight="1">
      <c r="A5495" s="426"/>
    </row>
    <row r="5496" spans="1:1" s="427" customFormat="1" ht="12" hidden="1" customHeight="1">
      <c r="A5496" s="426"/>
    </row>
    <row r="5497" spans="1:1" s="427" customFormat="1" ht="12" hidden="1" customHeight="1">
      <c r="A5497" s="426"/>
    </row>
    <row r="5498" spans="1:1" s="427" customFormat="1" ht="12" hidden="1" customHeight="1">
      <c r="A5498" s="426"/>
    </row>
    <row r="5499" spans="1:1" s="427" customFormat="1" ht="12" hidden="1" customHeight="1">
      <c r="A5499" s="426"/>
    </row>
    <row r="5500" spans="1:1" s="427" customFormat="1" ht="12" hidden="1" customHeight="1">
      <c r="A5500" s="426"/>
    </row>
    <row r="5501" spans="1:1" s="427" customFormat="1" ht="12" hidden="1" customHeight="1">
      <c r="A5501" s="426"/>
    </row>
    <row r="5502" spans="1:1" s="427" customFormat="1" ht="12" hidden="1" customHeight="1">
      <c r="A5502" s="426"/>
    </row>
    <row r="5503" spans="1:1" s="427" customFormat="1" ht="12" hidden="1" customHeight="1">
      <c r="A5503" s="426"/>
    </row>
    <row r="5504" spans="1:1" s="427" customFormat="1" ht="12" hidden="1" customHeight="1">
      <c r="A5504" s="426"/>
    </row>
    <row r="5505" spans="1:1" s="427" customFormat="1" ht="12" hidden="1" customHeight="1">
      <c r="A5505" s="426"/>
    </row>
    <row r="5506" spans="1:1" s="427" customFormat="1" ht="12" hidden="1" customHeight="1">
      <c r="A5506" s="426"/>
    </row>
    <row r="5507" spans="1:1" s="427" customFormat="1" ht="12" hidden="1" customHeight="1">
      <c r="A5507" s="426"/>
    </row>
    <row r="5508" spans="1:1" s="427" customFormat="1" ht="12" hidden="1" customHeight="1">
      <c r="A5508" s="426"/>
    </row>
    <row r="5509" spans="1:1" s="427" customFormat="1" ht="12" hidden="1" customHeight="1">
      <c r="A5509" s="426"/>
    </row>
    <row r="5510" spans="1:1" s="427" customFormat="1" ht="12" hidden="1" customHeight="1">
      <c r="A5510" s="426"/>
    </row>
    <row r="5511" spans="1:1" s="427" customFormat="1" ht="12" hidden="1" customHeight="1">
      <c r="A5511" s="426"/>
    </row>
    <row r="5512" spans="1:1" s="427" customFormat="1" ht="12" hidden="1" customHeight="1">
      <c r="A5512" s="426"/>
    </row>
    <row r="5513" spans="1:1" s="427" customFormat="1" ht="12" hidden="1" customHeight="1">
      <c r="A5513" s="426"/>
    </row>
    <row r="5514" spans="1:1" s="427" customFormat="1" ht="12" hidden="1" customHeight="1">
      <c r="A5514" s="426"/>
    </row>
    <row r="5515" spans="1:1" s="427" customFormat="1" ht="12" hidden="1" customHeight="1">
      <c r="A5515" s="426"/>
    </row>
    <row r="5516" spans="1:1" s="427" customFormat="1" ht="12" hidden="1" customHeight="1">
      <c r="A5516" s="426"/>
    </row>
    <row r="5517" spans="1:1" s="427" customFormat="1" ht="12" hidden="1" customHeight="1">
      <c r="A5517" s="426"/>
    </row>
    <row r="5518" spans="1:1" s="427" customFormat="1" ht="12" hidden="1" customHeight="1">
      <c r="A5518" s="426"/>
    </row>
    <row r="5519" spans="1:1" s="427" customFormat="1" ht="12" hidden="1" customHeight="1">
      <c r="A5519" s="426"/>
    </row>
    <row r="5520" spans="1:1" s="427" customFormat="1" ht="12" hidden="1" customHeight="1">
      <c r="A5520" s="426"/>
    </row>
    <row r="5521" spans="1:1" s="427" customFormat="1" ht="12" hidden="1" customHeight="1">
      <c r="A5521" s="426"/>
    </row>
    <row r="5522" spans="1:1" s="427" customFormat="1" ht="12" hidden="1" customHeight="1">
      <c r="A5522" s="426"/>
    </row>
    <row r="5523" spans="1:1" s="427" customFormat="1" ht="12" hidden="1" customHeight="1">
      <c r="A5523" s="426"/>
    </row>
    <row r="5524" spans="1:1" s="427" customFormat="1" ht="12" hidden="1" customHeight="1">
      <c r="A5524" s="426"/>
    </row>
    <row r="5525" spans="1:1" s="427" customFormat="1" ht="12" hidden="1" customHeight="1">
      <c r="A5525" s="426"/>
    </row>
    <row r="5526" spans="1:1" s="427" customFormat="1" ht="12" hidden="1" customHeight="1">
      <c r="A5526" s="426"/>
    </row>
    <row r="5527" spans="1:1" s="427" customFormat="1" ht="12" hidden="1" customHeight="1">
      <c r="A5527" s="426"/>
    </row>
    <row r="5528" spans="1:1" s="427" customFormat="1" ht="12" hidden="1" customHeight="1">
      <c r="A5528" s="426"/>
    </row>
    <row r="5529" spans="1:1" s="427" customFormat="1" ht="12" hidden="1" customHeight="1">
      <c r="A5529" s="426"/>
    </row>
    <row r="5530" spans="1:1" s="427" customFormat="1" ht="12" hidden="1" customHeight="1">
      <c r="A5530" s="426"/>
    </row>
    <row r="5531" spans="1:1" s="427" customFormat="1" ht="12" hidden="1" customHeight="1">
      <c r="A5531" s="426"/>
    </row>
    <row r="5532" spans="1:1" s="427" customFormat="1" ht="12" hidden="1" customHeight="1">
      <c r="A5532" s="426"/>
    </row>
    <row r="5533" spans="1:1" s="427" customFormat="1" ht="12" hidden="1" customHeight="1">
      <c r="A5533" s="426"/>
    </row>
    <row r="5534" spans="1:1" s="427" customFormat="1" ht="12" hidden="1" customHeight="1">
      <c r="A5534" s="426"/>
    </row>
    <row r="5535" spans="1:1" s="427" customFormat="1" ht="12" hidden="1" customHeight="1">
      <c r="A5535" s="426"/>
    </row>
    <row r="5536" spans="1:1" s="427" customFormat="1" ht="12" hidden="1" customHeight="1">
      <c r="A5536" s="426"/>
    </row>
    <row r="5537" spans="1:1" s="427" customFormat="1" ht="12" hidden="1" customHeight="1">
      <c r="A5537" s="426"/>
    </row>
    <row r="5538" spans="1:1" s="427" customFormat="1" ht="12" hidden="1" customHeight="1">
      <c r="A5538" s="426"/>
    </row>
    <row r="5539" spans="1:1" s="427" customFormat="1" ht="12" hidden="1" customHeight="1">
      <c r="A5539" s="426"/>
    </row>
    <row r="5540" spans="1:1" s="427" customFormat="1" ht="12" hidden="1" customHeight="1">
      <c r="A5540" s="426"/>
    </row>
    <row r="5541" spans="1:1" s="427" customFormat="1" ht="12" hidden="1" customHeight="1">
      <c r="A5541" s="426"/>
    </row>
    <row r="5542" spans="1:1" s="427" customFormat="1" ht="12" hidden="1" customHeight="1">
      <c r="A5542" s="426"/>
    </row>
    <row r="5543" spans="1:1" s="427" customFormat="1" ht="12" hidden="1" customHeight="1">
      <c r="A5543" s="426"/>
    </row>
    <row r="5544" spans="1:1" s="427" customFormat="1" ht="12" hidden="1" customHeight="1">
      <c r="A5544" s="426"/>
    </row>
    <row r="5545" spans="1:1" s="427" customFormat="1" ht="12" hidden="1" customHeight="1">
      <c r="A5545" s="426"/>
    </row>
    <row r="5546" spans="1:1" s="427" customFormat="1" ht="12" hidden="1" customHeight="1">
      <c r="A5546" s="426"/>
    </row>
    <row r="5547" spans="1:1" s="427" customFormat="1" ht="12" hidden="1" customHeight="1">
      <c r="A5547" s="426"/>
    </row>
    <row r="5548" spans="1:1" s="427" customFormat="1" ht="12" hidden="1" customHeight="1">
      <c r="A5548" s="426"/>
    </row>
    <row r="5549" spans="1:1" s="427" customFormat="1" ht="12" hidden="1" customHeight="1">
      <c r="A5549" s="426"/>
    </row>
    <row r="5550" spans="1:1" s="427" customFormat="1" ht="12" hidden="1" customHeight="1">
      <c r="A5550" s="426"/>
    </row>
    <row r="5551" spans="1:1" s="427" customFormat="1" ht="12" hidden="1" customHeight="1">
      <c r="A5551" s="426"/>
    </row>
    <row r="5552" spans="1:1" s="427" customFormat="1" ht="12" hidden="1" customHeight="1">
      <c r="A5552" s="426"/>
    </row>
    <row r="5553" spans="1:1" s="427" customFormat="1" ht="12" hidden="1" customHeight="1">
      <c r="A5553" s="426"/>
    </row>
    <row r="5554" spans="1:1" s="427" customFormat="1" ht="12" hidden="1" customHeight="1">
      <c r="A5554" s="426"/>
    </row>
    <row r="5555" spans="1:1" s="427" customFormat="1" ht="12" hidden="1" customHeight="1">
      <c r="A5555" s="426"/>
    </row>
    <row r="5556" spans="1:1" s="427" customFormat="1" ht="12" hidden="1" customHeight="1">
      <c r="A5556" s="426"/>
    </row>
    <row r="5557" spans="1:1" s="427" customFormat="1" ht="12" hidden="1" customHeight="1">
      <c r="A5557" s="426"/>
    </row>
    <row r="5558" spans="1:1" s="427" customFormat="1" ht="12" hidden="1" customHeight="1">
      <c r="A5558" s="426"/>
    </row>
    <row r="5559" spans="1:1" s="427" customFormat="1" ht="12" hidden="1" customHeight="1">
      <c r="A5559" s="426"/>
    </row>
    <row r="5560" spans="1:1" s="427" customFormat="1" ht="12" hidden="1" customHeight="1">
      <c r="A5560" s="426"/>
    </row>
    <row r="5561" spans="1:1" s="427" customFormat="1" ht="12" hidden="1" customHeight="1">
      <c r="A5561" s="426"/>
    </row>
    <row r="5562" spans="1:1" s="427" customFormat="1" ht="12" hidden="1" customHeight="1">
      <c r="A5562" s="426"/>
    </row>
    <row r="5563" spans="1:1" s="427" customFormat="1" ht="12" hidden="1" customHeight="1">
      <c r="A5563" s="426"/>
    </row>
    <row r="5564" spans="1:1" s="427" customFormat="1" ht="12" hidden="1" customHeight="1">
      <c r="A5564" s="426"/>
    </row>
    <row r="5565" spans="1:1" s="427" customFormat="1" ht="12" hidden="1" customHeight="1">
      <c r="A5565" s="426"/>
    </row>
    <row r="5566" spans="1:1" s="427" customFormat="1" ht="12" hidden="1" customHeight="1">
      <c r="A5566" s="426"/>
    </row>
    <row r="5567" spans="1:1" s="427" customFormat="1" ht="12" hidden="1" customHeight="1">
      <c r="A5567" s="426"/>
    </row>
    <row r="5568" spans="1:1" s="427" customFormat="1" ht="12" hidden="1" customHeight="1">
      <c r="A5568" s="426"/>
    </row>
    <row r="5569" spans="1:1" s="427" customFormat="1" ht="12" hidden="1" customHeight="1">
      <c r="A5569" s="426"/>
    </row>
    <row r="5570" spans="1:1" s="427" customFormat="1" ht="12" hidden="1" customHeight="1">
      <c r="A5570" s="426"/>
    </row>
    <row r="5571" spans="1:1" s="427" customFormat="1" ht="12" hidden="1" customHeight="1">
      <c r="A5571" s="426"/>
    </row>
    <row r="5572" spans="1:1" s="427" customFormat="1" ht="12" hidden="1" customHeight="1">
      <c r="A5572" s="426"/>
    </row>
    <row r="5573" spans="1:1" s="427" customFormat="1" ht="12" hidden="1" customHeight="1">
      <c r="A5573" s="426"/>
    </row>
    <row r="5574" spans="1:1" s="427" customFormat="1" ht="12" hidden="1" customHeight="1">
      <c r="A5574" s="426"/>
    </row>
    <row r="5575" spans="1:1" s="427" customFormat="1" ht="12" hidden="1" customHeight="1">
      <c r="A5575" s="426"/>
    </row>
    <row r="5576" spans="1:1" s="427" customFormat="1" ht="12" hidden="1" customHeight="1">
      <c r="A5576" s="426"/>
    </row>
    <row r="5577" spans="1:1" s="427" customFormat="1" ht="12" hidden="1" customHeight="1">
      <c r="A5577" s="426"/>
    </row>
    <row r="5578" spans="1:1" s="427" customFormat="1" ht="12" hidden="1" customHeight="1">
      <c r="A5578" s="426"/>
    </row>
    <row r="5579" spans="1:1" s="427" customFormat="1" ht="12" hidden="1" customHeight="1">
      <c r="A5579" s="426"/>
    </row>
    <row r="5580" spans="1:1" s="427" customFormat="1" ht="12" hidden="1" customHeight="1">
      <c r="A5580" s="426"/>
    </row>
    <row r="5581" spans="1:1" s="427" customFormat="1" ht="12" hidden="1" customHeight="1">
      <c r="A5581" s="426"/>
    </row>
    <row r="5582" spans="1:1" s="427" customFormat="1" ht="12" hidden="1" customHeight="1">
      <c r="A5582" s="426"/>
    </row>
    <row r="5583" spans="1:1" s="427" customFormat="1" ht="12" hidden="1" customHeight="1">
      <c r="A5583" s="426"/>
    </row>
    <row r="5584" spans="1:1" s="427" customFormat="1" ht="12" hidden="1" customHeight="1">
      <c r="A5584" s="426"/>
    </row>
    <row r="5585" spans="1:1" s="427" customFormat="1" ht="12" hidden="1" customHeight="1">
      <c r="A5585" s="426"/>
    </row>
    <row r="5586" spans="1:1" s="427" customFormat="1" ht="12" hidden="1" customHeight="1">
      <c r="A5586" s="426"/>
    </row>
    <row r="5587" spans="1:1" s="427" customFormat="1" ht="12" hidden="1" customHeight="1">
      <c r="A5587" s="426"/>
    </row>
    <row r="5588" spans="1:1" s="427" customFormat="1" ht="12" hidden="1" customHeight="1">
      <c r="A5588" s="426"/>
    </row>
    <row r="5589" spans="1:1" s="427" customFormat="1" ht="12" hidden="1" customHeight="1">
      <c r="A5589" s="426"/>
    </row>
    <row r="5590" spans="1:1" s="427" customFormat="1" ht="12" hidden="1" customHeight="1">
      <c r="A5590" s="426"/>
    </row>
    <row r="5591" spans="1:1" s="427" customFormat="1" ht="12" hidden="1" customHeight="1">
      <c r="A5591" s="426"/>
    </row>
    <row r="5592" spans="1:1" s="427" customFormat="1" ht="12" hidden="1" customHeight="1">
      <c r="A5592" s="426"/>
    </row>
    <row r="5593" spans="1:1" s="427" customFormat="1" ht="12" hidden="1" customHeight="1">
      <c r="A5593" s="426"/>
    </row>
    <row r="5594" spans="1:1" s="427" customFormat="1" ht="12" hidden="1" customHeight="1">
      <c r="A5594" s="426"/>
    </row>
    <row r="5595" spans="1:1" s="427" customFormat="1" ht="12" hidden="1" customHeight="1">
      <c r="A5595" s="426"/>
    </row>
    <row r="5596" spans="1:1" s="427" customFormat="1" ht="12" hidden="1" customHeight="1">
      <c r="A5596" s="426"/>
    </row>
    <row r="5597" spans="1:1" s="427" customFormat="1" ht="12" hidden="1" customHeight="1">
      <c r="A5597" s="426"/>
    </row>
    <row r="5598" spans="1:1" s="427" customFormat="1" ht="12" hidden="1" customHeight="1">
      <c r="A5598" s="426"/>
    </row>
    <row r="5599" spans="1:1" s="427" customFormat="1" ht="12" hidden="1" customHeight="1">
      <c r="A5599" s="426"/>
    </row>
    <row r="5600" spans="1:1" s="427" customFormat="1" ht="12" hidden="1" customHeight="1">
      <c r="A5600" s="426"/>
    </row>
    <row r="5601" spans="1:1" s="427" customFormat="1" ht="12" hidden="1" customHeight="1">
      <c r="A5601" s="426"/>
    </row>
    <row r="5602" spans="1:1" s="427" customFormat="1" ht="12" hidden="1" customHeight="1">
      <c r="A5602" s="426"/>
    </row>
    <row r="5603" spans="1:1" s="427" customFormat="1" ht="12" hidden="1" customHeight="1">
      <c r="A5603" s="426"/>
    </row>
    <row r="5604" spans="1:1" s="427" customFormat="1" ht="12" hidden="1" customHeight="1">
      <c r="A5604" s="426"/>
    </row>
    <row r="5605" spans="1:1" s="427" customFormat="1" ht="12" hidden="1" customHeight="1">
      <c r="A5605" s="426"/>
    </row>
    <row r="5606" spans="1:1" s="427" customFormat="1" ht="12" hidden="1" customHeight="1">
      <c r="A5606" s="426"/>
    </row>
    <row r="5607" spans="1:1" s="427" customFormat="1" ht="12" hidden="1" customHeight="1">
      <c r="A5607" s="426"/>
    </row>
    <row r="5608" spans="1:1" s="427" customFormat="1" ht="12" hidden="1" customHeight="1">
      <c r="A5608" s="426"/>
    </row>
    <row r="5609" spans="1:1" s="427" customFormat="1" ht="12" hidden="1" customHeight="1">
      <c r="A5609" s="426"/>
    </row>
    <row r="5610" spans="1:1" s="427" customFormat="1" ht="12" hidden="1" customHeight="1">
      <c r="A5610" s="426"/>
    </row>
    <row r="5611" spans="1:1" s="427" customFormat="1" ht="12" hidden="1" customHeight="1">
      <c r="A5611" s="426"/>
    </row>
    <row r="5612" spans="1:1" s="427" customFormat="1" ht="12" hidden="1" customHeight="1">
      <c r="A5612" s="426"/>
    </row>
    <row r="5613" spans="1:1" s="427" customFormat="1" ht="12" hidden="1" customHeight="1">
      <c r="A5613" s="426"/>
    </row>
    <row r="5614" spans="1:1" s="427" customFormat="1" ht="12" hidden="1" customHeight="1">
      <c r="A5614" s="426"/>
    </row>
    <row r="5615" spans="1:1" s="427" customFormat="1" ht="12" hidden="1" customHeight="1">
      <c r="A5615" s="426"/>
    </row>
    <row r="5616" spans="1:1" s="427" customFormat="1" ht="12" hidden="1" customHeight="1">
      <c r="A5616" s="426"/>
    </row>
    <row r="5617" spans="1:1" s="427" customFormat="1" ht="12" hidden="1" customHeight="1">
      <c r="A5617" s="426"/>
    </row>
    <row r="5618" spans="1:1" s="427" customFormat="1" ht="12" hidden="1" customHeight="1">
      <c r="A5618" s="426"/>
    </row>
    <row r="5619" spans="1:1" s="427" customFormat="1" ht="12" hidden="1" customHeight="1">
      <c r="A5619" s="426"/>
    </row>
    <row r="5620" spans="1:1" s="427" customFormat="1" ht="12" hidden="1" customHeight="1">
      <c r="A5620" s="426"/>
    </row>
    <row r="5621" spans="1:1" s="427" customFormat="1" ht="12" hidden="1" customHeight="1">
      <c r="A5621" s="426"/>
    </row>
    <row r="5622" spans="1:1" s="427" customFormat="1" ht="12" hidden="1" customHeight="1">
      <c r="A5622" s="426"/>
    </row>
    <row r="5623" spans="1:1" s="427" customFormat="1" ht="12" hidden="1" customHeight="1">
      <c r="A5623" s="426"/>
    </row>
    <row r="5624" spans="1:1" s="427" customFormat="1" ht="12" hidden="1" customHeight="1">
      <c r="A5624" s="426"/>
    </row>
    <row r="5625" spans="1:1" s="427" customFormat="1" ht="12" hidden="1" customHeight="1">
      <c r="A5625" s="426"/>
    </row>
    <row r="5626" spans="1:1" s="427" customFormat="1" ht="12" hidden="1" customHeight="1">
      <c r="A5626" s="426"/>
    </row>
    <row r="5627" spans="1:1" s="427" customFormat="1" ht="12" hidden="1" customHeight="1">
      <c r="A5627" s="426"/>
    </row>
    <row r="5628" spans="1:1" s="427" customFormat="1" ht="12" hidden="1" customHeight="1">
      <c r="A5628" s="426"/>
    </row>
    <row r="5629" spans="1:1" s="427" customFormat="1" ht="12" hidden="1" customHeight="1">
      <c r="A5629" s="426"/>
    </row>
    <row r="5630" spans="1:1" s="427" customFormat="1" ht="12" hidden="1" customHeight="1">
      <c r="A5630" s="426"/>
    </row>
    <row r="5631" spans="1:1" s="427" customFormat="1" ht="12" hidden="1" customHeight="1">
      <c r="A5631" s="426"/>
    </row>
    <row r="5632" spans="1:1" s="427" customFormat="1" ht="12" hidden="1" customHeight="1">
      <c r="A5632" s="426"/>
    </row>
    <row r="5633" spans="1:1" s="427" customFormat="1" ht="12" hidden="1" customHeight="1">
      <c r="A5633" s="426"/>
    </row>
    <row r="5634" spans="1:1" s="427" customFormat="1" ht="12" hidden="1" customHeight="1">
      <c r="A5634" s="426"/>
    </row>
    <row r="5635" spans="1:1" s="427" customFormat="1" ht="12" hidden="1" customHeight="1">
      <c r="A5635" s="426"/>
    </row>
    <row r="5636" spans="1:1" s="427" customFormat="1" ht="12" hidden="1" customHeight="1">
      <c r="A5636" s="426"/>
    </row>
    <row r="5637" spans="1:1" s="427" customFormat="1" ht="12" hidden="1" customHeight="1">
      <c r="A5637" s="426"/>
    </row>
    <row r="5638" spans="1:1" s="427" customFormat="1" ht="12" hidden="1" customHeight="1">
      <c r="A5638" s="426"/>
    </row>
    <row r="5639" spans="1:1" s="427" customFormat="1" ht="12" hidden="1" customHeight="1">
      <c r="A5639" s="426"/>
    </row>
    <row r="5640" spans="1:1" s="427" customFormat="1" ht="12" hidden="1" customHeight="1">
      <c r="A5640" s="426"/>
    </row>
    <row r="5641" spans="1:1" s="427" customFormat="1" ht="12" hidden="1" customHeight="1">
      <c r="A5641" s="426"/>
    </row>
    <row r="5642" spans="1:1" s="427" customFormat="1" ht="12" hidden="1" customHeight="1">
      <c r="A5642" s="426"/>
    </row>
    <row r="5643" spans="1:1" s="427" customFormat="1" ht="12" hidden="1" customHeight="1">
      <c r="A5643" s="426"/>
    </row>
    <row r="5644" spans="1:1" s="427" customFormat="1" ht="12" hidden="1" customHeight="1">
      <c r="A5644" s="426"/>
    </row>
    <row r="5645" spans="1:1" s="427" customFormat="1" ht="12" hidden="1" customHeight="1">
      <c r="A5645" s="426"/>
    </row>
    <row r="5646" spans="1:1" s="427" customFormat="1" ht="12" hidden="1" customHeight="1">
      <c r="A5646" s="426"/>
    </row>
    <row r="5647" spans="1:1" s="427" customFormat="1" ht="12" hidden="1" customHeight="1">
      <c r="A5647" s="426"/>
    </row>
    <row r="5648" spans="1:1" s="427" customFormat="1" ht="12" hidden="1" customHeight="1">
      <c r="A5648" s="426"/>
    </row>
    <row r="5649" spans="1:1" s="427" customFormat="1" ht="12" hidden="1" customHeight="1">
      <c r="A5649" s="426"/>
    </row>
    <row r="5650" spans="1:1" s="427" customFormat="1" ht="12" hidden="1" customHeight="1">
      <c r="A5650" s="426"/>
    </row>
    <row r="5651" spans="1:1" s="427" customFormat="1" ht="12" hidden="1" customHeight="1">
      <c r="A5651" s="426"/>
    </row>
    <row r="5652" spans="1:1" s="427" customFormat="1" ht="12" hidden="1" customHeight="1">
      <c r="A5652" s="426"/>
    </row>
    <row r="5653" spans="1:1" s="427" customFormat="1" ht="12" hidden="1" customHeight="1">
      <c r="A5653" s="426"/>
    </row>
    <row r="5654" spans="1:1" s="427" customFormat="1" ht="12" hidden="1" customHeight="1">
      <c r="A5654" s="426"/>
    </row>
    <row r="5655" spans="1:1" s="427" customFormat="1" ht="12" hidden="1" customHeight="1">
      <c r="A5655" s="426"/>
    </row>
    <row r="5656" spans="1:1" s="427" customFormat="1" ht="12" hidden="1" customHeight="1">
      <c r="A5656" s="426"/>
    </row>
    <row r="5657" spans="1:1" s="427" customFormat="1" ht="12" hidden="1" customHeight="1">
      <c r="A5657" s="426"/>
    </row>
    <row r="5658" spans="1:1" s="427" customFormat="1" ht="12" hidden="1" customHeight="1">
      <c r="A5658" s="426"/>
    </row>
    <row r="5659" spans="1:1" s="427" customFormat="1" ht="12" hidden="1" customHeight="1">
      <c r="A5659" s="426"/>
    </row>
    <row r="5660" spans="1:1" s="427" customFormat="1" ht="12" hidden="1" customHeight="1">
      <c r="A5660" s="426"/>
    </row>
    <row r="5661" spans="1:1" s="427" customFormat="1" ht="12" hidden="1" customHeight="1">
      <c r="A5661" s="426"/>
    </row>
    <row r="5662" spans="1:1" s="427" customFormat="1" ht="12" hidden="1" customHeight="1">
      <c r="A5662" s="426"/>
    </row>
    <row r="5663" spans="1:1" s="427" customFormat="1" ht="12" hidden="1" customHeight="1">
      <c r="A5663" s="426"/>
    </row>
    <row r="5664" spans="1:1" s="427" customFormat="1" ht="12" hidden="1" customHeight="1">
      <c r="A5664" s="426"/>
    </row>
    <row r="5665" spans="1:1" s="427" customFormat="1" ht="12" hidden="1" customHeight="1">
      <c r="A5665" s="426"/>
    </row>
    <row r="5666" spans="1:1" s="427" customFormat="1" ht="12" hidden="1" customHeight="1">
      <c r="A5666" s="426"/>
    </row>
    <row r="5667" spans="1:1" s="427" customFormat="1" ht="12" hidden="1" customHeight="1">
      <c r="A5667" s="426"/>
    </row>
    <row r="5668" spans="1:1" s="427" customFormat="1" ht="12" hidden="1" customHeight="1">
      <c r="A5668" s="426"/>
    </row>
    <row r="5669" spans="1:1" s="427" customFormat="1" ht="12" hidden="1" customHeight="1">
      <c r="A5669" s="426"/>
    </row>
    <row r="5670" spans="1:1" s="427" customFormat="1" ht="12" hidden="1" customHeight="1">
      <c r="A5670" s="426"/>
    </row>
    <row r="5671" spans="1:1" s="427" customFormat="1" ht="12" hidden="1" customHeight="1">
      <c r="A5671" s="426"/>
    </row>
    <row r="5672" spans="1:1" s="427" customFormat="1" ht="12" hidden="1" customHeight="1">
      <c r="A5672" s="426"/>
    </row>
    <row r="5673" spans="1:1" s="427" customFormat="1" ht="12" hidden="1" customHeight="1">
      <c r="A5673" s="426"/>
    </row>
    <row r="5674" spans="1:1" s="427" customFormat="1" ht="12" hidden="1" customHeight="1">
      <c r="A5674" s="426"/>
    </row>
    <row r="5675" spans="1:1" s="427" customFormat="1" ht="12" hidden="1" customHeight="1">
      <c r="A5675" s="426"/>
    </row>
    <row r="5676" spans="1:1" s="427" customFormat="1" ht="12" hidden="1" customHeight="1">
      <c r="A5676" s="426"/>
    </row>
    <row r="5677" spans="1:1" s="427" customFormat="1" ht="12" hidden="1" customHeight="1">
      <c r="A5677" s="426"/>
    </row>
    <row r="5678" spans="1:1" s="427" customFormat="1" ht="12" hidden="1" customHeight="1">
      <c r="A5678" s="426"/>
    </row>
    <row r="5679" spans="1:1" s="427" customFormat="1" ht="12" hidden="1" customHeight="1">
      <c r="A5679" s="426"/>
    </row>
    <row r="5680" spans="1:1" s="427" customFormat="1" ht="12" hidden="1" customHeight="1">
      <c r="A5680" s="426"/>
    </row>
    <row r="5681" spans="1:1" s="427" customFormat="1" ht="12" hidden="1" customHeight="1">
      <c r="A5681" s="426"/>
    </row>
    <row r="5682" spans="1:1" s="427" customFormat="1" ht="12" hidden="1" customHeight="1">
      <c r="A5682" s="426"/>
    </row>
    <row r="5683" spans="1:1" s="427" customFormat="1" ht="12" hidden="1" customHeight="1">
      <c r="A5683" s="426"/>
    </row>
    <row r="5684" spans="1:1" s="427" customFormat="1" ht="12" hidden="1" customHeight="1">
      <c r="A5684" s="426"/>
    </row>
    <row r="5685" spans="1:1" s="427" customFormat="1" ht="12" hidden="1" customHeight="1">
      <c r="A5685" s="426"/>
    </row>
    <row r="5686" spans="1:1" s="427" customFormat="1" ht="12" hidden="1" customHeight="1">
      <c r="A5686" s="426"/>
    </row>
    <row r="5687" spans="1:1" s="427" customFormat="1" ht="12" hidden="1" customHeight="1">
      <c r="A5687" s="426"/>
    </row>
    <row r="5688" spans="1:1" s="427" customFormat="1" ht="12" hidden="1" customHeight="1">
      <c r="A5688" s="426"/>
    </row>
    <row r="5689" spans="1:1" s="427" customFormat="1" ht="12" hidden="1" customHeight="1">
      <c r="A5689" s="426"/>
    </row>
    <row r="5690" spans="1:1" s="427" customFormat="1" ht="12" hidden="1" customHeight="1">
      <c r="A5690" s="426"/>
    </row>
    <row r="5691" spans="1:1" s="427" customFormat="1" ht="12" hidden="1" customHeight="1">
      <c r="A5691" s="426"/>
    </row>
    <row r="5692" spans="1:1" s="427" customFormat="1" ht="12" hidden="1" customHeight="1">
      <c r="A5692" s="426"/>
    </row>
    <row r="5693" spans="1:1" s="427" customFormat="1" ht="12" hidden="1" customHeight="1">
      <c r="A5693" s="426"/>
    </row>
    <row r="5694" spans="1:1" s="427" customFormat="1" ht="12" hidden="1" customHeight="1">
      <c r="A5694" s="426"/>
    </row>
    <row r="5695" spans="1:1" s="427" customFormat="1" ht="12" hidden="1" customHeight="1">
      <c r="A5695" s="426"/>
    </row>
    <row r="5696" spans="1:1" s="427" customFormat="1" ht="12" hidden="1" customHeight="1">
      <c r="A5696" s="426"/>
    </row>
    <row r="5697" spans="1:1" s="427" customFormat="1" ht="12" hidden="1" customHeight="1">
      <c r="A5697" s="426"/>
    </row>
    <row r="5698" spans="1:1" s="427" customFormat="1" ht="12" hidden="1" customHeight="1">
      <c r="A5698" s="426"/>
    </row>
    <row r="5699" spans="1:1" s="427" customFormat="1" ht="12" hidden="1" customHeight="1">
      <c r="A5699" s="426"/>
    </row>
    <row r="5700" spans="1:1" s="427" customFormat="1" ht="12" hidden="1" customHeight="1">
      <c r="A5700" s="426"/>
    </row>
    <row r="5701" spans="1:1" s="427" customFormat="1" ht="12" hidden="1" customHeight="1">
      <c r="A5701" s="426"/>
    </row>
    <row r="5702" spans="1:1" s="427" customFormat="1" ht="12" hidden="1" customHeight="1">
      <c r="A5702" s="426"/>
    </row>
    <row r="5703" spans="1:1" s="427" customFormat="1" ht="12" hidden="1" customHeight="1">
      <c r="A5703" s="426"/>
    </row>
    <row r="5704" spans="1:1" s="427" customFormat="1" ht="12" hidden="1" customHeight="1">
      <c r="A5704" s="426"/>
    </row>
    <row r="5705" spans="1:1" s="427" customFormat="1" ht="12" hidden="1" customHeight="1">
      <c r="A5705" s="426"/>
    </row>
    <row r="5706" spans="1:1" s="427" customFormat="1" ht="12" hidden="1" customHeight="1">
      <c r="A5706" s="426"/>
    </row>
    <row r="5707" spans="1:1" s="427" customFormat="1" ht="12" hidden="1" customHeight="1">
      <c r="A5707" s="426"/>
    </row>
    <row r="5708" spans="1:1" s="427" customFormat="1" ht="12" hidden="1" customHeight="1">
      <c r="A5708" s="426"/>
    </row>
    <row r="5709" spans="1:1" s="427" customFormat="1" ht="12" hidden="1" customHeight="1">
      <c r="A5709" s="426"/>
    </row>
    <row r="5710" spans="1:1" s="427" customFormat="1" ht="12" hidden="1" customHeight="1">
      <c r="A5710" s="426"/>
    </row>
    <row r="5711" spans="1:1" s="427" customFormat="1" ht="12" hidden="1" customHeight="1">
      <c r="A5711" s="426"/>
    </row>
    <row r="5712" spans="1:1" s="427" customFormat="1" ht="12" hidden="1" customHeight="1">
      <c r="A5712" s="426"/>
    </row>
    <row r="5713" spans="1:1" s="427" customFormat="1" ht="12" hidden="1" customHeight="1">
      <c r="A5713" s="426"/>
    </row>
    <row r="5714" spans="1:1" s="427" customFormat="1" ht="12" hidden="1" customHeight="1">
      <c r="A5714" s="426"/>
    </row>
    <row r="5715" spans="1:1" s="427" customFormat="1" ht="12" hidden="1" customHeight="1">
      <c r="A5715" s="426"/>
    </row>
    <row r="5716" spans="1:1" s="427" customFormat="1" ht="12" hidden="1" customHeight="1">
      <c r="A5716" s="426"/>
    </row>
    <row r="5717" spans="1:1" s="427" customFormat="1" ht="12" hidden="1" customHeight="1">
      <c r="A5717" s="426"/>
    </row>
    <row r="5718" spans="1:1" s="427" customFormat="1" ht="12" hidden="1" customHeight="1">
      <c r="A5718" s="426"/>
    </row>
    <row r="5719" spans="1:1" s="427" customFormat="1" ht="12" hidden="1" customHeight="1">
      <c r="A5719" s="426"/>
    </row>
    <row r="5720" spans="1:1" s="427" customFormat="1" ht="12" hidden="1" customHeight="1">
      <c r="A5720" s="426"/>
    </row>
    <row r="5721" spans="1:1" s="427" customFormat="1" ht="12" hidden="1" customHeight="1">
      <c r="A5721" s="426"/>
    </row>
    <row r="5722" spans="1:1" s="427" customFormat="1" ht="12" hidden="1" customHeight="1">
      <c r="A5722" s="426"/>
    </row>
    <row r="5723" spans="1:1" s="427" customFormat="1" ht="12" hidden="1" customHeight="1">
      <c r="A5723" s="426"/>
    </row>
    <row r="5724" spans="1:1" s="427" customFormat="1" ht="12" hidden="1" customHeight="1">
      <c r="A5724" s="426"/>
    </row>
    <row r="5725" spans="1:1" s="427" customFormat="1" ht="12" hidden="1" customHeight="1">
      <c r="A5725" s="426"/>
    </row>
    <row r="5726" spans="1:1" s="427" customFormat="1" ht="12" hidden="1" customHeight="1">
      <c r="A5726" s="426"/>
    </row>
    <row r="5727" spans="1:1" s="427" customFormat="1" ht="12" hidden="1" customHeight="1">
      <c r="A5727" s="426"/>
    </row>
    <row r="5728" spans="1:1" s="427" customFormat="1" ht="12" hidden="1" customHeight="1">
      <c r="A5728" s="426"/>
    </row>
    <row r="5729" spans="1:1" s="427" customFormat="1" ht="12" hidden="1" customHeight="1">
      <c r="A5729" s="426"/>
    </row>
    <row r="5730" spans="1:1" s="427" customFormat="1" ht="12" hidden="1" customHeight="1">
      <c r="A5730" s="426"/>
    </row>
    <row r="5731" spans="1:1" s="427" customFormat="1" ht="12" hidden="1" customHeight="1">
      <c r="A5731" s="426"/>
    </row>
    <row r="5732" spans="1:1" s="427" customFormat="1" ht="12" hidden="1" customHeight="1">
      <c r="A5732" s="426"/>
    </row>
    <row r="5733" spans="1:1" s="427" customFormat="1" ht="12" hidden="1" customHeight="1">
      <c r="A5733" s="426"/>
    </row>
    <row r="5734" spans="1:1" s="427" customFormat="1" ht="12" hidden="1" customHeight="1">
      <c r="A5734" s="426"/>
    </row>
    <row r="5735" spans="1:1" s="427" customFormat="1" ht="12" hidden="1" customHeight="1">
      <c r="A5735" s="426"/>
    </row>
    <row r="5736" spans="1:1" s="427" customFormat="1" ht="12" hidden="1" customHeight="1">
      <c r="A5736" s="426"/>
    </row>
    <row r="5737" spans="1:1" s="427" customFormat="1" ht="12" hidden="1" customHeight="1">
      <c r="A5737" s="426"/>
    </row>
    <row r="5738" spans="1:1" s="427" customFormat="1" ht="12" hidden="1" customHeight="1">
      <c r="A5738" s="426"/>
    </row>
    <row r="5739" spans="1:1" s="427" customFormat="1" ht="12" hidden="1" customHeight="1">
      <c r="A5739" s="426"/>
    </row>
    <row r="5740" spans="1:1" s="427" customFormat="1" ht="12" hidden="1" customHeight="1">
      <c r="A5740" s="426"/>
    </row>
    <row r="5741" spans="1:1" s="427" customFormat="1" ht="12" hidden="1" customHeight="1">
      <c r="A5741" s="426"/>
    </row>
    <row r="5742" spans="1:1" s="427" customFormat="1" ht="12" hidden="1" customHeight="1">
      <c r="A5742" s="426"/>
    </row>
    <row r="5743" spans="1:1" s="427" customFormat="1" ht="12" hidden="1" customHeight="1">
      <c r="A5743" s="426"/>
    </row>
    <row r="5744" spans="1:1" s="427" customFormat="1" ht="12" hidden="1" customHeight="1">
      <c r="A5744" s="426"/>
    </row>
    <row r="5745" spans="1:1" s="427" customFormat="1" ht="12" hidden="1" customHeight="1">
      <c r="A5745" s="426"/>
    </row>
    <row r="5746" spans="1:1" s="427" customFormat="1" ht="12" hidden="1" customHeight="1">
      <c r="A5746" s="426"/>
    </row>
    <row r="5747" spans="1:1" s="427" customFormat="1" ht="12" hidden="1" customHeight="1">
      <c r="A5747" s="426"/>
    </row>
    <row r="5748" spans="1:1" s="427" customFormat="1" ht="12" hidden="1" customHeight="1">
      <c r="A5748" s="426"/>
    </row>
    <row r="5749" spans="1:1" s="427" customFormat="1" ht="12" hidden="1" customHeight="1">
      <c r="A5749" s="426"/>
    </row>
    <row r="5750" spans="1:1" s="427" customFormat="1" ht="12" hidden="1" customHeight="1">
      <c r="A5750" s="426"/>
    </row>
    <row r="5751" spans="1:1" s="427" customFormat="1" ht="12" hidden="1" customHeight="1">
      <c r="A5751" s="426"/>
    </row>
    <row r="5752" spans="1:1" s="427" customFormat="1" ht="12" hidden="1" customHeight="1">
      <c r="A5752" s="426"/>
    </row>
    <row r="5753" spans="1:1" s="427" customFormat="1" ht="12" hidden="1" customHeight="1">
      <c r="A5753" s="426"/>
    </row>
    <row r="5754" spans="1:1" s="427" customFormat="1" ht="12" hidden="1" customHeight="1">
      <c r="A5754" s="426"/>
    </row>
    <row r="5755" spans="1:1" s="427" customFormat="1" ht="12" hidden="1" customHeight="1">
      <c r="A5755" s="426"/>
    </row>
    <row r="5756" spans="1:1" s="427" customFormat="1" ht="12" hidden="1" customHeight="1">
      <c r="A5756" s="426"/>
    </row>
    <row r="5757" spans="1:1" s="427" customFormat="1" ht="12" hidden="1" customHeight="1">
      <c r="A5757" s="426"/>
    </row>
    <row r="5758" spans="1:1" s="427" customFormat="1" ht="12" hidden="1" customHeight="1">
      <c r="A5758" s="426"/>
    </row>
    <row r="5759" spans="1:1" s="427" customFormat="1" ht="12" hidden="1" customHeight="1">
      <c r="A5759" s="426"/>
    </row>
    <row r="5760" spans="1:1" s="427" customFormat="1" ht="12" hidden="1" customHeight="1">
      <c r="A5760" s="426"/>
    </row>
    <row r="5761" spans="1:1" s="427" customFormat="1" ht="12" hidden="1" customHeight="1">
      <c r="A5761" s="426"/>
    </row>
    <row r="5762" spans="1:1" s="427" customFormat="1" ht="12" hidden="1" customHeight="1">
      <c r="A5762" s="426"/>
    </row>
    <row r="5763" spans="1:1" s="427" customFormat="1" ht="12" hidden="1" customHeight="1">
      <c r="A5763" s="426"/>
    </row>
    <row r="5764" spans="1:1" s="427" customFormat="1" ht="12" hidden="1" customHeight="1">
      <c r="A5764" s="426"/>
    </row>
    <row r="5765" spans="1:1" s="427" customFormat="1" ht="12" hidden="1" customHeight="1">
      <c r="A5765" s="426"/>
    </row>
    <row r="5766" spans="1:1" s="427" customFormat="1" ht="12" hidden="1" customHeight="1">
      <c r="A5766" s="426"/>
    </row>
    <row r="5767" spans="1:1" s="427" customFormat="1" ht="12" hidden="1" customHeight="1">
      <c r="A5767" s="426"/>
    </row>
    <row r="5768" spans="1:1" s="427" customFormat="1" ht="12" hidden="1" customHeight="1">
      <c r="A5768" s="426"/>
    </row>
    <row r="5769" spans="1:1" s="427" customFormat="1" ht="12" hidden="1" customHeight="1">
      <c r="A5769" s="426"/>
    </row>
    <row r="5770" spans="1:1" s="427" customFormat="1" ht="12" hidden="1" customHeight="1">
      <c r="A5770" s="426"/>
    </row>
    <row r="5771" spans="1:1" s="427" customFormat="1" ht="12" hidden="1" customHeight="1">
      <c r="A5771" s="426"/>
    </row>
    <row r="5772" spans="1:1" s="427" customFormat="1" ht="12" hidden="1" customHeight="1">
      <c r="A5772" s="426"/>
    </row>
    <row r="5773" spans="1:1" s="427" customFormat="1" ht="12" hidden="1" customHeight="1">
      <c r="A5773" s="426"/>
    </row>
    <row r="5774" spans="1:1" s="427" customFormat="1" ht="12" hidden="1" customHeight="1">
      <c r="A5774" s="426"/>
    </row>
    <row r="5775" spans="1:1" s="427" customFormat="1" ht="12" hidden="1" customHeight="1">
      <c r="A5775" s="426"/>
    </row>
    <row r="5776" spans="1:1" s="427" customFormat="1" ht="12" hidden="1" customHeight="1">
      <c r="A5776" s="426"/>
    </row>
    <row r="5777" spans="1:1" s="427" customFormat="1" ht="12" hidden="1" customHeight="1">
      <c r="A5777" s="426"/>
    </row>
    <row r="5778" spans="1:1" s="427" customFormat="1" ht="12" hidden="1" customHeight="1">
      <c r="A5778" s="426"/>
    </row>
    <row r="5779" spans="1:1" s="427" customFormat="1" ht="12" hidden="1" customHeight="1">
      <c r="A5779" s="426"/>
    </row>
    <row r="5780" spans="1:1" s="427" customFormat="1" ht="12" hidden="1" customHeight="1">
      <c r="A5780" s="426"/>
    </row>
    <row r="5781" spans="1:1" s="427" customFormat="1" ht="12" hidden="1" customHeight="1">
      <c r="A5781" s="426"/>
    </row>
    <row r="5782" spans="1:1" s="427" customFormat="1" ht="12" hidden="1" customHeight="1">
      <c r="A5782" s="426"/>
    </row>
    <row r="5783" spans="1:1" s="427" customFormat="1" ht="12" hidden="1" customHeight="1">
      <c r="A5783" s="426"/>
    </row>
    <row r="5784" spans="1:1" s="427" customFormat="1" ht="12" hidden="1" customHeight="1">
      <c r="A5784" s="426"/>
    </row>
    <row r="5785" spans="1:1" s="427" customFormat="1" ht="12" hidden="1" customHeight="1">
      <c r="A5785" s="426"/>
    </row>
    <row r="5786" spans="1:1" s="427" customFormat="1" ht="12" hidden="1" customHeight="1">
      <c r="A5786" s="426"/>
    </row>
    <row r="5787" spans="1:1" s="427" customFormat="1" ht="12" hidden="1" customHeight="1">
      <c r="A5787" s="426"/>
    </row>
    <row r="5788" spans="1:1" s="427" customFormat="1" ht="12" hidden="1" customHeight="1">
      <c r="A5788" s="426"/>
    </row>
    <row r="5789" spans="1:1" s="427" customFormat="1" ht="12" hidden="1" customHeight="1">
      <c r="A5789" s="426"/>
    </row>
    <row r="5790" spans="1:1" s="427" customFormat="1" ht="12" hidden="1" customHeight="1">
      <c r="A5790" s="426"/>
    </row>
    <row r="5791" spans="1:1" s="427" customFormat="1" ht="12" hidden="1" customHeight="1">
      <c r="A5791" s="426"/>
    </row>
    <row r="5792" spans="1:1" s="427" customFormat="1" ht="12" hidden="1" customHeight="1">
      <c r="A5792" s="426"/>
    </row>
    <row r="5793" spans="1:1" s="427" customFormat="1" ht="12" hidden="1" customHeight="1">
      <c r="A5793" s="426"/>
    </row>
    <row r="5794" spans="1:1" s="427" customFormat="1" ht="12" hidden="1" customHeight="1">
      <c r="A5794" s="426"/>
    </row>
    <row r="5795" spans="1:1" s="427" customFormat="1" ht="12" hidden="1" customHeight="1">
      <c r="A5795" s="426"/>
    </row>
    <row r="5796" spans="1:1" s="427" customFormat="1" ht="12" hidden="1" customHeight="1">
      <c r="A5796" s="426"/>
    </row>
    <row r="5797" spans="1:1" s="427" customFormat="1" ht="12" hidden="1" customHeight="1">
      <c r="A5797" s="426"/>
    </row>
    <row r="5798" spans="1:1" s="427" customFormat="1" ht="12" hidden="1" customHeight="1">
      <c r="A5798" s="426"/>
    </row>
    <row r="5799" spans="1:1" s="427" customFormat="1" ht="12" hidden="1" customHeight="1">
      <c r="A5799" s="426"/>
    </row>
    <row r="5800" spans="1:1" s="427" customFormat="1" ht="12" hidden="1" customHeight="1">
      <c r="A5800" s="426"/>
    </row>
    <row r="5801" spans="1:1" s="427" customFormat="1" ht="12" hidden="1" customHeight="1">
      <c r="A5801" s="426"/>
    </row>
    <row r="5802" spans="1:1" s="427" customFormat="1" ht="12" hidden="1" customHeight="1">
      <c r="A5802" s="426"/>
    </row>
    <row r="5803" spans="1:1" s="427" customFormat="1" ht="12" hidden="1" customHeight="1">
      <c r="A5803" s="426"/>
    </row>
    <row r="5804" spans="1:1" s="427" customFormat="1" ht="12" hidden="1" customHeight="1">
      <c r="A5804" s="426"/>
    </row>
    <row r="5805" spans="1:1" s="427" customFormat="1" ht="12" hidden="1" customHeight="1">
      <c r="A5805" s="426"/>
    </row>
    <row r="5806" spans="1:1" s="427" customFormat="1" ht="12" hidden="1" customHeight="1">
      <c r="A5806" s="426"/>
    </row>
    <row r="5807" spans="1:1" s="427" customFormat="1" ht="12" hidden="1" customHeight="1">
      <c r="A5807" s="426"/>
    </row>
    <row r="5808" spans="1:1" s="427" customFormat="1" ht="12" hidden="1" customHeight="1">
      <c r="A5808" s="426"/>
    </row>
    <row r="5809" spans="1:1" s="427" customFormat="1" ht="12" hidden="1" customHeight="1">
      <c r="A5809" s="426"/>
    </row>
    <row r="5810" spans="1:1" s="427" customFormat="1" ht="12" hidden="1" customHeight="1">
      <c r="A5810" s="426"/>
    </row>
    <row r="5811" spans="1:1" s="427" customFormat="1" ht="12" hidden="1" customHeight="1">
      <c r="A5811" s="426"/>
    </row>
    <row r="5812" spans="1:1" s="427" customFormat="1" ht="12" hidden="1" customHeight="1">
      <c r="A5812" s="426"/>
    </row>
    <row r="5813" spans="1:1" s="427" customFormat="1" ht="12" hidden="1" customHeight="1">
      <c r="A5813" s="426"/>
    </row>
    <row r="5814" spans="1:1" s="427" customFormat="1" ht="12" hidden="1" customHeight="1">
      <c r="A5814" s="426"/>
    </row>
    <row r="5815" spans="1:1" s="427" customFormat="1" ht="12" hidden="1" customHeight="1">
      <c r="A5815" s="426"/>
    </row>
    <row r="5816" spans="1:1" s="427" customFormat="1" ht="12" hidden="1" customHeight="1">
      <c r="A5816" s="426"/>
    </row>
    <row r="5817" spans="1:1" s="427" customFormat="1" ht="12" hidden="1" customHeight="1">
      <c r="A5817" s="426"/>
    </row>
    <row r="5818" spans="1:1" s="427" customFormat="1" ht="12" hidden="1" customHeight="1">
      <c r="A5818" s="426"/>
    </row>
    <row r="5819" spans="1:1" s="427" customFormat="1" ht="12" hidden="1" customHeight="1">
      <c r="A5819" s="426"/>
    </row>
    <row r="5820" spans="1:1" s="427" customFormat="1" ht="12" hidden="1" customHeight="1">
      <c r="A5820" s="426"/>
    </row>
    <row r="5821" spans="1:1" s="427" customFormat="1" ht="12" hidden="1" customHeight="1">
      <c r="A5821" s="426"/>
    </row>
    <row r="5822" spans="1:1" s="427" customFormat="1" ht="12" hidden="1" customHeight="1">
      <c r="A5822" s="426"/>
    </row>
    <row r="5823" spans="1:1" s="427" customFormat="1" ht="12" hidden="1" customHeight="1">
      <c r="A5823" s="426"/>
    </row>
    <row r="5824" spans="1:1" s="427" customFormat="1" ht="12" hidden="1" customHeight="1">
      <c r="A5824" s="426"/>
    </row>
    <row r="5825" spans="1:1" s="427" customFormat="1" ht="12" hidden="1" customHeight="1">
      <c r="A5825" s="426"/>
    </row>
    <row r="5826" spans="1:1" s="427" customFormat="1" ht="12" hidden="1" customHeight="1">
      <c r="A5826" s="426"/>
    </row>
    <row r="5827" spans="1:1" s="427" customFormat="1" ht="12" hidden="1" customHeight="1">
      <c r="A5827" s="426"/>
    </row>
    <row r="5828" spans="1:1" s="427" customFormat="1" ht="12" hidden="1" customHeight="1">
      <c r="A5828" s="426"/>
    </row>
    <row r="5829" spans="1:1" s="427" customFormat="1" ht="12" hidden="1" customHeight="1">
      <c r="A5829" s="426"/>
    </row>
    <row r="5830" spans="1:1" s="427" customFormat="1" ht="12" hidden="1" customHeight="1">
      <c r="A5830" s="426"/>
    </row>
    <row r="5831" spans="1:1" s="427" customFormat="1" ht="12" hidden="1" customHeight="1">
      <c r="A5831" s="426"/>
    </row>
    <row r="5832" spans="1:1" s="427" customFormat="1" ht="12" hidden="1" customHeight="1">
      <c r="A5832" s="426"/>
    </row>
    <row r="5833" spans="1:1" s="427" customFormat="1" ht="12" hidden="1" customHeight="1">
      <c r="A5833" s="426"/>
    </row>
    <row r="5834" spans="1:1" s="427" customFormat="1" ht="12" hidden="1" customHeight="1">
      <c r="A5834" s="426"/>
    </row>
    <row r="5835" spans="1:1" s="427" customFormat="1" ht="12" hidden="1" customHeight="1">
      <c r="A5835" s="426"/>
    </row>
    <row r="5836" spans="1:1" s="427" customFormat="1" ht="12" hidden="1" customHeight="1">
      <c r="A5836" s="426"/>
    </row>
    <row r="5837" spans="1:1" s="427" customFormat="1" ht="12" hidden="1" customHeight="1">
      <c r="A5837" s="426"/>
    </row>
    <row r="5838" spans="1:1" s="427" customFormat="1" ht="12" hidden="1" customHeight="1">
      <c r="A5838" s="426"/>
    </row>
    <row r="5839" spans="1:1" s="427" customFormat="1" ht="12" hidden="1" customHeight="1">
      <c r="A5839" s="426"/>
    </row>
    <row r="5840" spans="1:1" s="427" customFormat="1" ht="12" hidden="1" customHeight="1">
      <c r="A5840" s="426"/>
    </row>
    <row r="5841" spans="1:1" s="427" customFormat="1" ht="12" hidden="1" customHeight="1">
      <c r="A5841" s="426"/>
    </row>
    <row r="5842" spans="1:1" s="427" customFormat="1" ht="12" hidden="1" customHeight="1">
      <c r="A5842" s="426"/>
    </row>
    <row r="5843" spans="1:1" s="427" customFormat="1" ht="12" hidden="1" customHeight="1">
      <c r="A5843" s="426"/>
    </row>
    <row r="5844" spans="1:1" s="427" customFormat="1" ht="12" hidden="1" customHeight="1">
      <c r="A5844" s="426"/>
    </row>
    <row r="5845" spans="1:1" s="427" customFormat="1" ht="12" hidden="1" customHeight="1">
      <c r="A5845" s="426"/>
    </row>
    <row r="5846" spans="1:1" s="427" customFormat="1" ht="12" hidden="1" customHeight="1">
      <c r="A5846" s="426"/>
    </row>
    <row r="5847" spans="1:1" s="427" customFormat="1" ht="12" hidden="1" customHeight="1">
      <c r="A5847" s="426"/>
    </row>
    <row r="5848" spans="1:1" s="427" customFormat="1" ht="12" hidden="1" customHeight="1">
      <c r="A5848" s="426"/>
    </row>
    <row r="5849" spans="1:1" s="427" customFormat="1" ht="12" hidden="1" customHeight="1">
      <c r="A5849" s="426"/>
    </row>
    <row r="5850" spans="1:1" s="427" customFormat="1" ht="12" hidden="1" customHeight="1">
      <c r="A5850" s="426"/>
    </row>
    <row r="5851" spans="1:1" s="427" customFormat="1" ht="12" hidden="1" customHeight="1">
      <c r="A5851" s="426"/>
    </row>
    <row r="5852" spans="1:1" s="427" customFormat="1" ht="12" hidden="1" customHeight="1">
      <c r="A5852" s="426"/>
    </row>
    <row r="5853" spans="1:1" s="427" customFormat="1" ht="12" hidden="1" customHeight="1">
      <c r="A5853" s="426"/>
    </row>
    <row r="5854" spans="1:1" s="427" customFormat="1" ht="12" hidden="1" customHeight="1">
      <c r="A5854" s="426"/>
    </row>
    <row r="5855" spans="1:1" s="427" customFormat="1" ht="12" hidden="1" customHeight="1">
      <c r="A5855" s="426"/>
    </row>
    <row r="5856" spans="1:1" s="427" customFormat="1" ht="12" hidden="1" customHeight="1">
      <c r="A5856" s="426"/>
    </row>
    <row r="5857" spans="1:1" s="427" customFormat="1" ht="12" hidden="1" customHeight="1">
      <c r="A5857" s="426"/>
    </row>
    <row r="5858" spans="1:1" s="427" customFormat="1" ht="12" hidden="1" customHeight="1">
      <c r="A5858" s="426"/>
    </row>
    <row r="5859" spans="1:1" s="427" customFormat="1" ht="12" hidden="1" customHeight="1">
      <c r="A5859" s="426"/>
    </row>
    <row r="5860" spans="1:1" s="427" customFormat="1" ht="12" hidden="1" customHeight="1">
      <c r="A5860" s="426"/>
    </row>
    <row r="5861" spans="1:1" s="427" customFormat="1" ht="12" hidden="1" customHeight="1">
      <c r="A5861" s="426"/>
    </row>
    <row r="5862" spans="1:1" s="427" customFormat="1" ht="12" hidden="1" customHeight="1">
      <c r="A5862" s="426"/>
    </row>
    <row r="5863" spans="1:1" s="427" customFormat="1" ht="12" hidden="1" customHeight="1">
      <c r="A5863" s="426"/>
    </row>
    <row r="5864" spans="1:1" s="427" customFormat="1" ht="12" hidden="1" customHeight="1">
      <c r="A5864" s="426"/>
    </row>
    <row r="5865" spans="1:1" s="427" customFormat="1" ht="12" hidden="1" customHeight="1">
      <c r="A5865" s="426"/>
    </row>
    <row r="5866" spans="1:1" s="427" customFormat="1" ht="12" hidden="1" customHeight="1">
      <c r="A5866" s="426"/>
    </row>
    <row r="5867" spans="1:1" s="427" customFormat="1" ht="12" hidden="1" customHeight="1">
      <c r="A5867" s="426"/>
    </row>
    <row r="5868" spans="1:1" s="427" customFormat="1" ht="12" hidden="1" customHeight="1">
      <c r="A5868" s="426"/>
    </row>
    <row r="5869" spans="1:1" s="427" customFormat="1" ht="12" hidden="1" customHeight="1">
      <c r="A5869" s="426"/>
    </row>
    <row r="5870" spans="1:1" s="427" customFormat="1" ht="12" hidden="1" customHeight="1">
      <c r="A5870" s="426"/>
    </row>
    <row r="5871" spans="1:1" s="427" customFormat="1" ht="12" hidden="1" customHeight="1">
      <c r="A5871" s="426"/>
    </row>
    <row r="5872" spans="1:1" s="427" customFormat="1" ht="12" hidden="1" customHeight="1">
      <c r="A5872" s="426"/>
    </row>
    <row r="5873" spans="1:1" s="427" customFormat="1" ht="12" hidden="1" customHeight="1">
      <c r="A5873" s="426"/>
    </row>
    <row r="5874" spans="1:1" s="427" customFormat="1" ht="12" hidden="1" customHeight="1">
      <c r="A5874" s="426"/>
    </row>
    <row r="5875" spans="1:1" s="427" customFormat="1" ht="12" hidden="1" customHeight="1">
      <c r="A5875" s="426"/>
    </row>
    <row r="5876" spans="1:1" s="427" customFormat="1" ht="12" hidden="1" customHeight="1">
      <c r="A5876" s="426"/>
    </row>
    <row r="5877" spans="1:1" s="427" customFormat="1" ht="12" hidden="1" customHeight="1">
      <c r="A5877" s="426"/>
    </row>
    <row r="5878" spans="1:1" s="427" customFormat="1" ht="12" hidden="1" customHeight="1">
      <c r="A5878" s="426"/>
    </row>
    <row r="5879" spans="1:1" s="427" customFormat="1" ht="12" hidden="1" customHeight="1">
      <c r="A5879" s="426"/>
    </row>
    <row r="5880" spans="1:1" s="427" customFormat="1" ht="12" hidden="1" customHeight="1">
      <c r="A5880" s="426"/>
    </row>
    <row r="5881" spans="1:1" s="427" customFormat="1" ht="12" hidden="1" customHeight="1">
      <c r="A5881" s="426"/>
    </row>
    <row r="5882" spans="1:1" s="427" customFormat="1" ht="12" hidden="1" customHeight="1">
      <c r="A5882" s="426"/>
    </row>
    <row r="5883" spans="1:1" s="427" customFormat="1" ht="12" hidden="1" customHeight="1">
      <c r="A5883" s="426"/>
    </row>
    <row r="5884" spans="1:1" s="427" customFormat="1" ht="12" hidden="1" customHeight="1">
      <c r="A5884" s="426"/>
    </row>
    <row r="5885" spans="1:1" s="427" customFormat="1" ht="12" hidden="1" customHeight="1">
      <c r="A5885" s="426"/>
    </row>
    <row r="5886" spans="1:1" s="427" customFormat="1" ht="12" hidden="1" customHeight="1">
      <c r="A5886" s="426"/>
    </row>
    <row r="5887" spans="1:1" s="427" customFormat="1" ht="12" hidden="1" customHeight="1">
      <c r="A5887" s="426"/>
    </row>
    <row r="5888" spans="1:1" s="427" customFormat="1" ht="12" hidden="1" customHeight="1">
      <c r="A5888" s="426"/>
    </row>
    <row r="5889" spans="1:1" s="427" customFormat="1" ht="12" hidden="1" customHeight="1">
      <c r="A5889" s="426"/>
    </row>
    <row r="5890" spans="1:1" s="427" customFormat="1" ht="12" hidden="1" customHeight="1">
      <c r="A5890" s="426"/>
    </row>
    <row r="5891" spans="1:1" s="427" customFormat="1" ht="12" hidden="1" customHeight="1">
      <c r="A5891" s="426"/>
    </row>
    <row r="5892" spans="1:1" s="427" customFormat="1" ht="12" hidden="1" customHeight="1">
      <c r="A5892" s="426"/>
    </row>
    <row r="5893" spans="1:1" s="427" customFormat="1" ht="12" hidden="1" customHeight="1">
      <c r="A5893" s="426"/>
    </row>
    <row r="5894" spans="1:1" s="427" customFormat="1" ht="12" hidden="1" customHeight="1">
      <c r="A5894" s="426"/>
    </row>
    <row r="5895" spans="1:1" s="427" customFormat="1" ht="12" hidden="1" customHeight="1">
      <c r="A5895" s="426"/>
    </row>
    <row r="5896" spans="1:1" s="427" customFormat="1" ht="12" hidden="1" customHeight="1">
      <c r="A5896" s="426"/>
    </row>
    <row r="5897" spans="1:1" s="427" customFormat="1" ht="12" hidden="1" customHeight="1">
      <c r="A5897" s="426"/>
    </row>
    <row r="5898" spans="1:1" s="427" customFormat="1" ht="12" hidden="1" customHeight="1">
      <c r="A5898" s="426"/>
    </row>
    <row r="5899" spans="1:1" s="427" customFormat="1" ht="12" hidden="1" customHeight="1">
      <c r="A5899" s="426"/>
    </row>
    <row r="5900" spans="1:1" s="427" customFormat="1" ht="12" hidden="1" customHeight="1">
      <c r="A5900" s="426"/>
    </row>
    <row r="5901" spans="1:1" s="427" customFormat="1" ht="12" hidden="1" customHeight="1">
      <c r="A5901" s="426"/>
    </row>
    <row r="5902" spans="1:1" s="427" customFormat="1" ht="12" hidden="1" customHeight="1">
      <c r="A5902" s="426"/>
    </row>
    <row r="5903" spans="1:1" s="427" customFormat="1" ht="12" hidden="1" customHeight="1">
      <c r="A5903" s="426"/>
    </row>
    <row r="5904" spans="1:1" s="427" customFormat="1" ht="12" hidden="1" customHeight="1">
      <c r="A5904" s="426"/>
    </row>
    <row r="5905" spans="1:1" s="427" customFormat="1" ht="12" hidden="1" customHeight="1">
      <c r="A5905" s="426"/>
    </row>
    <row r="5906" spans="1:1" s="427" customFormat="1" ht="12" hidden="1" customHeight="1">
      <c r="A5906" s="426"/>
    </row>
    <row r="5907" spans="1:1" s="427" customFormat="1" ht="12" hidden="1" customHeight="1">
      <c r="A5907" s="426"/>
    </row>
    <row r="5908" spans="1:1" s="427" customFormat="1" ht="12" hidden="1" customHeight="1">
      <c r="A5908" s="426"/>
    </row>
    <row r="5909" spans="1:1" s="427" customFormat="1" ht="12" hidden="1" customHeight="1">
      <c r="A5909" s="426"/>
    </row>
    <row r="5910" spans="1:1" s="427" customFormat="1" ht="12" hidden="1" customHeight="1">
      <c r="A5910" s="426"/>
    </row>
    <row r="5911" spans="1:1" s="427" customFormat="1" ht="12" hidden="1" customHeight="1">
      <c r="A5911" s="426"/>
    </row>
    <row r="5912" spans="1:1" s="427" customFormat="1" ht="12" hidden="1" customHeight="1">
      <c r="A5912" s="426"/>
    </row>
    <row r="5913" spans="1:1" s="427" customFormat="1" ht="12" hidden="1" customHeight="1">
      <c r="A5913" s="426"/>
    </row>
    <row r="5914" spans="1:1" s="427" customFormat="1" ht="12" hidden="1" customHeight="1">
      <c r="A5914" s="426"/>
    </row>
    <row r="5915" spans="1:1" s="427" customFormat="1" ht="12" hidden="1" customHeight="1">
      <c r="A5915" s="426"/>
    </row>
    <row r="5916" spans="1:1" s="427" customFormat="1" ht="12" hidden="1" customHeight="1">
      <c r="A5916" s="426"/>
    </row>
    <row r="5917" spans="1:1" s="427" customFormat="1" ht="12" hidden="1" customHeight="1">
      <c r="A5917" s="426"/>
    </row>
    <row r="5918" spans="1:1" s="427" customFormat="1" ht="12" hidden="1" customHeight="1">
      <c r="A5918" s="426"/>
    </row>
    <row r="5919" spans="1:1" s="427" customFormat="1" ht="12" hidden="1" customHeight="1">
      <c r="A5919" s="426"/>
    </row>
    <row r="5920" spans="1:1" s="427" customFormat="1" ht="12" hidden="1" customHeight="1">
      <c r="A5920" s="426"/>
    </row>
    <row r="5921" spans="1:1" s="427" customFormat="1" ht="12" hidden="1" customHeight="1">
      <c r="A5921" s="426"/>
    </row>
    <row r="5922" spans="1:1" s="427" customFormat="1" ht="12" hidden="1" customHeight="1">
      <c r="A5922" s="426"/>
    </row>
    <row r="5923" spans="1:1" s="427" customFormat="1" ht="12" hidden="1" customHeight="1">
      <c r="A5923" s="426"/>
    </row>
    <row r="5924" spans="1:1" s="427" customFormat="1" ht="12" hidden="1" customHeight="1">
      <c r="A5924" s="426"/>
    </row>
    <row r="5925" spans="1:1" s="427" customFormat="1" ht="12" hidden="1" customHeight="1">
      <c r="A5925" s="426"/>
    </row>
    <row r="5926" spans="1:1" s="427" customFormat="1" ht="12" hidden="1" customHeight="1">
      <c r="A5926" s="426"/>
    </row>
    <row r="5927" spans="1:1" s="427" customFormat="1" ht="12" hidden="1" customHeight="1">
      <c r="A5927" s="426"/>
    </row>
    <row r="5928" spans="1:1" s="427" customFormat="1" ht="12" hidden="1" customHeight="1">
      <c r="A5928" s="426"/>
    </row>
    <row r="5929" spans="1:1" s="427" customFormat="1" ht="12" hidden="1" customHeight="1">
      <c r="A5929" s="426"/>
    </row>
    <row r="5930" spans="1:1" s="427" customFormat="1" ht="12" hidden="1" customHeight="1">
      <c r="A5930" s="426"/>
    </row>
    <row r="5931" spans="1:1" s="427" customFormat="1" ht="12" hidden="1" customHeight="1">
      <c r="A5931" s="426"/>
    </row>
    <row r="5932" spans="1:1" s="427" customFormat="1" ht="12" hidden="1" customHeight="1">
      <c r="A5932" s="426"/>
    </row>
    <row r="5933" spans="1:1" s="427" customFormat="1" ht="12" hidden="1" customHeight="1">
      <c r="A5933" s="426"/>
    </row>
    <row r="5934" spans="1:1" s="427" customFormat="1" ht="12" hidden="1" customHeight="1">
      <c r="A5934" s="426"/>
    </row>
    <row r="5935" spans="1:1" s="427" customFormat="1" ht="12" hidden="1" customHeight="1">
      <c r="A5935" s="426"/>
    </row>
    <row r="5936" spans="1:1" s="427" customFormat="1" ht="12" hidden="1" customHeight="1">
      <c r="A5936" s="426"/>
    </row>
    <row r="5937" spans="1:1" s="427" customFormat="1" ht="12" hidden="1" customHeight="1">
      <c r="A5937" s="426"/>
    </row>
    <row r="5938" spans="1:1" s="427" customFormat="1" ht="12" hidden="1" customHeight="1">
      <c r="A5938" s="426"/>
    </row>
    <row r="5939" spans="1:1" s="427" customFormat="1" ht="12" hidden="1" customHeight="1">
      <c r="A5939" s="426"/>
    </row>
    <row r="5940" spans="1:1" s="427" customFormat="1" ht="12" hidden="1" customHeight="1">
      <c r="A5940" s="426"/>
    </row>
    <row r="5941" spans="1:1" s="427" customFormat="1" ht="12" hidden="1" customHeight="1">
      <c r="A5941" s="426"/>
    </row>
    <row r="5942" spans="1:1" s="427" customFormat="1" ht="12" hidden="1" customHeight="1">
      <c r="A5942" s="426"/>
    </row>
    <row r="5943" spans="1:1" s="427" customFormat="1" ht="12" hidden="1" customHeight="1">
      <c r="A5943" s="426"/>
    </row>
    <row r="5944" spans="1:1" s="427" customFormat="1" ht="12" hidden="1" customHeight="1">
      <c r="A5944" s="426"/>
    </row>
    <row r="5945" spans="1:1" s="427" customFormat="1" ht="12" hidden="1" customHeight="1">
      <c r="A5945" s="426"/>
    </row>
    <row r="5946" spans="1:1" s="427" customFormat="1" ht="12" hidden="1" customHeight="1">
      <c r="A5946" s="426"/>
    </row>
    <row r="5947" spans="1:1" s="427" customFormat="1" ht="12" hidden="1" customHeight="1">
      <c r="A5947" s="426"/>
    </row>
    <row r="5948" spans="1:1" s="427" customFormat="1" ht="12" hidden="1" customHeight="1">
      <c r="A5948" s="426"/>
    </row>
    <row r="5949" spans="1:1" s="427" customFormat="1" ht="12" hidden="1" customHeight="1">
      <c r="A5949" s="426"/>
    </row>
    <row r="5950" spans="1:1" s="427" customFormat="1" ht="12" hidden="1" customHeight="1">
      <c r="A5950" s="426"/>
    </row>
    <row r="5951" spans="1:1" s="427" customFormat="1" ht="12" hidden="1" customHeight="1">
      <c r="A5951" s="426"/>
    </row>
    <row r="5952" spans="1:1" s="427" customFormat="1" ht="12" hidden="1" customHeight="1">
      <c r="A5952" s="426"/>
    </row>
    <row r="5953" spans="1:1" s="427" customFormat="1" ht="12" hidden="1" customHeight="1">
      <c r="A5953" s="426"/>
    </row>
    <row r="5954" spans="1:1" s="427" customFormat="1" ht="12" hidden="1" customHeight="1">
      <c r="A5954" s="426"/>
    </row>
    <row r="5955" spans="1:1" s="427" customFormat="1" ht="12" hidden="1" customHeight="1">
      <c r="A5955" s="426"/>
    </row>
    <row r="5956" spans="1:1" s="427" customFormat="1" ht="12" hidden="1" customHeight="1">
      <c r="A5956" s="426"/>
    </row>
    <row r="5957" spans="1:1" s="427" customFormat="1" ht="12" hidden="1" customHeight="1">
      <c r="A5957" s="426"/>
    </row>
    <row r="5958" spans="1:1" s="427" customFormat="1" ht="12" hidden="1" customHeight="1">
      <c r="A5958" s="426"/>
    </row>
    <row r="5959" spans="1:1" s="427" customFormat="1" ht="12" hidden="1" customHeight="1">
      <c r="A5959" s="426"/>
    </row>
    <row r="5960" spans="1:1" s="427" customFormat="1" ht="12" hidden="1" customHeight="1">
      <c r="A5960" s="426"/>
    </row>
    <row r="5961" spans="1:1" s="427" customFormat="1" ht="12" hidden="1" customHeight="1">
      <c r="A5961" s="426"/>
    </row>
    <row r="5962" spans="1:1" s="427" customFormat="1" ht="12" hidden="1" customHeight="1">
      <c r="A5962" s="426"/>
    </row>
    <row r="5963" spans="1:1" s="427" customFormat="1" ht="12" hidden="1" customHeight="1">
      <c r="A5963" s="426"/>
    </row>
    <row r="5964" spans="1:1" s="427" customFormat="1" ht="12" hidden="1" customHeight="1">
      <c r="A5964" s="426"/>
    </row>
    <row r="5965" spans="1:1" s="427" customFormat="1" ht="12" hidden="1" customHeight="1">
      <c r="A5965" s="426"/>
    </row>
    <row r="5966" spans="1:1" s="427" customFormat="1" ht="12" hidden="1" customHeight="1">
      <c r="A5966" s="426"/>
    </row>
    <row r="5967" spans="1:1" s="427" customFormat="1" ht="12" hidden="1" customHeight="1">
      <c r="A5967" s="426"/>
    </row>
    <row r="5968" spans="1:1" s="427" customFormat="1" ht="12" hidden="1" customHeight="1">
      <c r="A5968" s="426"/>
    </row>
    <row r="5969" spans="1:1" s="427" customFormat="1" ht="12" hidden="1" customHeight="1">
      <c r="A5969" s="426"/>
    </row>
    <row r="5970" spans="1:1" s="427" customFormat="1" ht="12" hidden="1" customHeight="1">
      <c r="A5970" s="426"/>
    </row>
    <row r="5971" spans="1:1" s="427" customFormat="1" ht="12" hidden="1" customHeight="1">
      <c r="A5971" s="426"/>
    </row>
    <row r="5972" spans="1:1" s="427" customFormat="1" ht="12" hidden="1" customHeight="1">
      <c r="A5972" s="426"/>
    </row>
    <row r="5973" spans="1:1" s="427" customFormat="1" ht="12" hidden="1" customHeight="1">
      <c r="A5973" s="426"/>
    </row>
    <row r="5974" spans="1:1" s="427" customFormat="1" ht="12" hidden="1" customHeight="1">
      <c r="A5974" s="426"/>
    </row>
    <row r="5975" spans="1:1" s="427" customFormat="1" ht="12" hidden="1" customHeight="1">
      <c r="A5975" s="426"/>
    </row>
    <row r="5976" spans="1:1" s="427" customFormat="1" ht="12" hidden="1" customHeight="1">
      <c r="A5976" s="426"/>
    </row>
    <row r="5977" spans="1:1" s="427" customFormat="1" ht="12" hidden="1" customHeight="1">
      <c r="A5977" s="426"/>
    </row>
    <row r="5978" spans="1:1" s="427" customFormat="1" ht="12" hidden="1" customHeight="1">
      <c r="A5978" s="426"/>
    </row>
    <row r="5979" spans="1:1" s="427" customFormat="1" ht="12" hidden="1" customHeight="1">
      <c r="A5979" s="426"/>
    </row>
    <row r="5980" spans="1:1" s="427" customFormat="1" ht="12" hidden="1" customHeight="1">
      <c r="A5980" s="426"/>
    </row>
    <row r="5981" spans="1:1" s="427" customFormat="1" ht="12" hidden="1" customHeight="1">
      <c r="A5981" s="426"/>
    </row>
    <row r="5982" spans="1:1" s="427" customFormat="1" ht="12" hidden="1" customHeight="1">
      <c r="A5982" s="426"/>
    </row>
    <row r="5983" spans="1:1" s="427" customFormat="1" ht="12" hidden="1" customHeight="1">
      <c r="A5983" s="426"/>
    </row>
    <row r="5984" spans="1:1" s="427" customFormat="1" ht="12" hidden="1" customHeight="1">
      <c r="A5984" s="426"/>
    </row>
    <row r="5985" spans="1:1" s="427" customFormat="1" ht="12" hidden="1" customHeight="1">
      <c r="A5985" s="426"/>
    </row>
    <row r="5986" spans="1:1" s="427" customFormat="1" ht="12" hidden="1" customHeight="1">
      <c r="A5986" s="426"/>
    </row>
    <row r="5987" spans="1:1" s="427" customFormat="1" ht="12" hidden="1" customHeight="1">
      <c r="A5987" s="426"/>
    </row>
    <row r="5988" spans="1:1" s="427" customFormat="1" ht="12" hidden="1" customHeight="1">
      <c r="A5988" s="426"/>
    </row>
    <row r="5989" spans="1:1" s="427" customFormat="1" ht="12" hidden="1" customHeight="1">
      <c r="A5989" s="426"/>
    </row>
    <row r="5990" spans="1:1" s="427" customFormat="1" ht="12" hidden="1" customHeight="1">
      <c r="A5990" s="426"/>
    </row>
    <row r="5991" spans="1:1" s="427" customFormat="1" ht="12" hidden="1" customHeight="1">
      <c r="A5991" s="426"/>
    </row>
    <row r="5992" spans="1:1" s="427" customFormat="1" ht="12" hidden="1" customHeight="1">
      <c r="A5992" s="426"/>
    </row>
    <row r="5993" spans="1:1" s="427" customFormat="1" ht="12" hidden="1" customHeight="1">
      <c r="A5993" s="426"/>
    </row>
    <row r="5994" spans="1:1" s="427" customFormat="1" ht="12" hidden="1" customHeight="1">
      <c r="A5994" s="426"/>
    </row>
    <row r="5995" spans="1:1" s="427" customFormat="1" ht="12" hidden="1" customHeight="1">
      <c r="A5995" s="426"/>
    </row>
    <row r="5996" spans="1:1" s="427" customFormat="1" ht="12" hidden="1" customHeight="1">
      <c r="A5996" s="426"/>
    </row>
    <row r="5997" spans="1:1" s="427" customFormat="1" ht="12" hidden="1" customHeight="1">
      <c r="A5997" s="426"/>
    </row>
    <row r="5998" spans="1:1" s="427" customFormat="1" ht="12" hidden="1" customHeight="1">
      <c r="A5998" s="426"/>
    </row>
    <row r="5999" spans="1:1" s="427" customFormat="1" ht="12" hidden="1" customHeight="1">
      <c r="A5999" s="426"/>
    </row>
    <row r="6000" spans="1:1" s="427" customFormat="1" ht="12" hidden="1" customHeight="1">
      <c r="A6000" s="426"/>
    </row>
    <row r="6001" spans="1:1" s="427" customFormat="1" ht="12" hidden="1" customHeight="1">
      <c r="A6001" s="426"/>
    </row>
    <row r="6002" spans="1:1" s="427" customFormat="1" ht="12" hidden="1" customHeight="1">
      <c r="A6002" s="426"/>
    </row>
    <row r="6003" spans="1:1" s="427" customFormat="1" ht="12" hidden="1" customHeight="1">
      <c r="A6003" s="426"/>
    </row>
    <row r="6004" spans="1:1" s="427" customFormat="1" ht="12" hidden="1" customHeight="1">
      <c r="A6004" s="426"/>
    </row>
    <row r="6005" spans="1:1" s="427" customFormat="1" ht="12" hidden="1" customHeight="1">
      <c r="A6005" s="426"/>
    </row>
    <row r="6006" spans="1:1" s="427" customFormat="1" ht="12" hidden="1" customHeight="1">
      <c r="A6006" s="426"/>
    </row>
    <row r="6007" spans="1:1" s="427" customFormat="1" ht="12" hidden="1" customHeight="1">
      <c r="A6007" s="426"/>
    </row>
    <row r="6008" spans="1:1" s="427" customFormat="1" ht="12" hidden="1" customHeight="1">
      <c r="A6008" s="426"/>
    </row>
    <row r="6009" spans="1:1" s="427" customFormat="1" ht="12" hidden="1" customHeight="1">
      <c r="A6009" s="426"/>
    </row>
    <row r="6010" spans="1:1" s="427" customFormat="1" ht="12" hidden="1" customHeight="1">
      <c r="A6010" s="426"/>
    </row>
    <row r="6011" spans="1:1" s="427" customFormat="1" ht="12" hidden="1" customHeight="1">
      <c r="A6011" s="426"/>
    </row>
    <row r="6012" spans="1:1" s="427" customFormat="1" ht="12" hidden="1" customHeight="1">
      <c r="A6012" s="426"/>
    </row>
    <row r="6013" spans="1:1" s="427" customFormat="1" ht="12" hidden="1" customHeight="1">
      <c r="A6013" s="426"/>
    </row>
    <row r="6014" spans="1:1" s="427" customFormat="1" ht="12" hidden="1" customHeight="1">
      <c r="A6014" s="426"/>
    </row>
    <row r="6015" spans="1:1" s="427" customFormat="1" ht="12" hidden="1" customHeight="1">
      <c r="A6015" s="426"/>
    </row>
    <row r="6016" spans="1:1" s="427" customFormat="1" ht="12" hidden="1" customHeight="1">
      <c r="A6016" s="426"/>
    </row>
    <row r="6017" spans="1:1" s="427" customFormat="1" ht="12" hidden="1" customHeight="1">
      <c r="A6017" s="426"/>
    </row>
    <row r="6018" spans="1:1" s="427" customFormat="1" ht="12" hidden="1" customHeight="1">
      <c r="A6018" s="426"/>
    </row>
    <row r="6019" spans="1:1" s="427" customFormat="1" ht="12" hidden="1" customHeight="1">
      <c r="A6019" s="426"/>
    </row>
    <row r="6020" spans="1:1" s="427" customFormat="1" ht="12" hidden="1" customHeight="1">
      <c r="A6020" s="426"/>
    </row>
    <row r="6021" spans="1:1" s="427" customFormat="1" ht="12" hidden="1" customHeight="1">
      <c r="A6021" s="426"/>
    </row>
    <row r="6022" spans="1:1" s="427" customFormat="1" ht="12" hidden="1" customHeight="1">
      <c r="A6022" s="426"/>
    </row>
    <row r="6023" spans="1:1" s="427" customFormat="1" ht="12" hidden="1" customHeight="1">
      <c r="A6023" s="426"/>
    </row>
    <row r="6024" spans="1:1" s="427" customFormat="1" ht="12" hidden="1" customHeight="1">
      <c r="A6024" s="426"/>
    </row>
    <row r="6025" spans="1:1" s="427" customFormat="1" ht="12" hidden="1" customHeight="1">
      <c r="A6025" s="426"/>
    </row>
    <row r="6026" spans="1:1" s="427" customFormat="1" ht="12" hidden="1" customHeight="1">
      <c r="A6026" s="426"/>
    </row>
    <row r="6027" spans="1:1" s="427" customFormat="1" ht="12" hidden="1" customHeight="1">
      <c r="A6027" s="426"/>
    </row>
    <row r="6028" spans="1:1" s="427" customFormat="1" ht="12" hidden="1" customHeight="1">
      <c r="A6028" s="426"/>
    </row>
    <row r="6029" spans="1:1" s="427" customFormat="1" ht="12" hidden="1" customHeight="1">
      <c r="A6029" s="426"/>
    </row>
    <row r="6030" spans="1:1" s="427" customFormat="1" ht="12" hidden="1" customHeight="1">
      <c r="A6030" s="426"/>
    </row>
    <row r="6031" spans="1:1" s="427" customFormat="1" ht="12" hidden="1" customHeight="1">
      <c r="A6031" s="426"/>
    </row>
    <row r="6032" spans="1:1" s="427" customFormat="1" ht="12" hidden="1" customHeight="1">
      <c r="A6032" s="426"/>
    </row>
    <row r="6033" spans="1:1" s="427" customFormat="1" ht="12" hidden="1" customHeight="1">
      <c r="A6033" s="426"/>
    </row>
    <row r="6034" spans="1:1" s="427" customFormat="1" ht="12" hidden="1" customHeight="1">
      <c r="A6034" s="426"/>
    </row>
    <row r="6035" spans="1:1" s="427" customFormat="1" ht="12" hidden="1" customHeight="1">
      <c r="A6035" s="426"/>
    </row>
    <row r="6036" spans="1:1" s="427" customFormat="1" ht="12" hidden="1" customHeight="1">
      <c r="A6036" s="426"/>
    </row>
    <row r="6037" spans="1:1" s="427" customFormat="1" ht="12" hidden="1" customHeight="1">
      <c r="A6037" s="426"/>
    </row>
    <row r="6038" spans="1:1" s="427" customFormat="1" ht="12" hidden="1" customHeight="1">
      <c r="A6038" s="426"/>
    </row>
    <row r="6039" spans="1:1" s="427" customFormat="1" ht="12" hidden="1" customHeight="1">
      <c r="A6039" s="426"/>
    </row>
    <row r="6040" spans="1:1" s="427" customFormat="1" ht="12" hidden="1" customHeight="1">
      <c r="A6040" s="426"/>
    </row>
    <row r="6041" spans="1:1" s="427" customFormat="1" ht="12" hidden="1" customHeight="1">
      <c r="A6041" s="426"/>
    </row>
    <row r="6042" spans="1:1" s="427" customFormat="1" ht="12" hidden="1" customHeight="1">
      <c r="A6042" s="426"/>
    </row>
    <row r="6043" spans="1:1" s="427" customFormat="1" ht="12" hidden="1" customHeight="1">
      <c r="A6043" s="426"/>
    </row>
    <row r="6044" spans="1:1" s="427" customFormat="1" ht="12" hidden="1" customHeight="1">
      <c r="A6044" s="426"/>
    </row>
    <row r="6045" spans="1:1" s="427" customFormat="1" ht="12" hidden="1" customHeight="1">
      <c r="A6045" s="426"/>
    </row>
    <row r="6046" spans="1:1" s="427" customFormat="1" ht="12" hidden="1" customHeight="1">
      <c r="A6046" s="426"/>
    </row>
    <row r="6047" spans="1:1" s="427" customFormat="1" ht="12" hidden="1" customHeight="1">
      <c r="A6047" s="426"/>
    </row>
    <row r="6048" spans="1:1" s="427" customFormat="1" ht="12" hidden="1" customHeight="1">
      <c r="A6048" s="426"/>
    </row>
    <row r="6049" spans="1:1" s="427" customFormat="1" ht="12" hidden="1" customHeight="1">
      <c r="A6049" s="426"/>
    </row>
    <row r="6050" spans="1:1" s="427" customFormat="1" ht="12" hidden="1" customHeight="1">
      <c r="A6050" s="426"/>
    </row>
    <row r="6051" spans="1:1" s="427" customFormat="1" ht="12" hidden="1" customHeight="1">
      <c r="A6051" s="426"/>
    </row>
    <row r="6052" spans="1:1" s="427" customFormat="1" ht="12" hidden="1" customHeight="1">
      <c r="A6052" s="426"/>
    </row>
    <row r="6053" spans="1:1" s="427" customFormat="1" ht="12" hidden="1" customHeight="1">
      <c r="A6053" s="426"/>
    </row>
    <row r="6054" spans="1:1" s="427" customFormat="1" ht="12" hidden="1" customHeight="1">
      <c r="A6054" s="426"/>
    </row>
    <row r="6055" spans="1:1" s="427" customFormat="1" ht="12" hidden="1" customHeight="1">
      <c r="A6055" s="426"/>
    </row>
    <row r="6056" spans="1:1" s="427" customFormat="1" ht="12" hidden="1" customHeight="1">
      <c r="A6056" s="426"/>
    </row>
    <row r="6057" spans="1:1" s="427" customFormat="1" ht="12" hidden="1" customHeight="1">
      <c r="A6057" s="426"/>
    </row>
    <row r="6058" spans="1:1" s="427" customFormat="1" ht="12" hidden="1" customHeight="1">
      <c r="A6058" s="426"/>
    </row>
    <row r="6059" spans="1:1" s="427" customFormat="1" ht="12" hidden="1" customHeight="1">
      <c r="A6059" s="426"/>
    </row>
    <row r="6060" spans="1:1" s="427" customFormat="1" ht="12" hidden="1" customHeight="1">
      <c r="A6060" s="426"/>
    </row>
    <row r="6061" spans="1:1" s="427" customFormat="1" ht="12" hidden="1" customHeight="1">
      <c r="A6061" s="426"/>
    </row>
    <row r="6062" spans="1:1" s="427" customFormat="1" ht="12" hidden="1" customHeight="1">
      <c r="A6062" s="426"/>
    </row>
    <row r="6063" spans="1:1" s="427" customFormat="1" ht="12" hidden="1" customHeight="1">
      <c r="A6063" s="426"/>
    </row>
    <row r="6064" spans="1:1" s="427" customFormat="1" ht="12" hidden="1" customHeight="1">
      <c r="A6064" s="426"/>
    </row>
    <row r="6065" spans="1:1" s="427" customFormat="1" ht="12" hidden="1" customHeight="1">
      <c r="A6065" s="426"/>
    </row>
    <row r="6066" spans="1:1" s="427" customFormat="1" ht="12" hidden="1" customHeight="1">
      <c r="A6066" s="426"/>
    </row>
    <row r="6067" spans="1:1" s="427" customFormat="1" ht="12" hidden="1" customHeight="1">
      <c r="A6067" s="426"/>
    </row>
    <row r="6068" spans="1:1" s="427" customFormat="1" ht="12" hidden="1" customHeight="1">
      <c r="A6068" s="426"/>
    </row>
    <row r="6069" spans="1:1" s="427" customFormat="1" ht="12" hidden="1" customHeight="1">
      <c r="A6069" s="426"/>
    </row>
    <row r="6070" spans="1:1" s="427" customFormat="1" ht="12" hidden="1" customHeight="1">
      <c r="A6070" s="426"/>
    </row>
    <row r="6071" spans="1:1" s="427" customFormat="1" ht="12" hidden="1" customHeight="1">
      <c r="A6071" s="426"/>
    </row>
    <row r="6072" spans="1:1" s="427" customFormat="1" ht="12" hidden="1" customHeight="1">
      <c r="A6072" s="426"/>
    </row>
    <row r="6073" spans="1:1" s="427" customFormat="1" ht="12" hidden="1" customHeight="1">
      <c r="A6073" s="426"/>
    </row>
    <row r="6074" spans="1:1" s="427" customFormat="1" ht="12" hidden="1" customHeight="1">
      <c r="A6074" s="426"/>
    </row>
    <row r="6075" spans="1:1" s="427" customFormat="1" ht="12" hidden="1" customHeight="1">
      <c r="A6075" s="426"/>
    </row>
    <row r="6076" spans="1:1" s="427" customFormat="1" ht="12" hidden="1" customHeight="1">
      <c r="A6076" s="426"/>
    </row>
    <row r="6077" spans="1:1" s="427" customFormat="1" ht="12" hidden="1" customHeight="1">
      <c r="A6077" s="426"/>
    </row>
    <row r="6078" spans="1:1" s="427" customFormat="1" ht="12" hidden="1" customHeight="1">
      <c r="A6078" s="426"/>
    </row>
    <row r="6079" spans="1:1" s="427" customFormat="1" ht="12" hidden="1" customHeight="1">
      <c r="A6079" s="426"/>
    </row>
    <row r="6080" spans="1:1" s="427" customFormat="1" ht="12" hidden="1" customHeight="1">
      <c r="A6080" s="426"/>
    </row>
    <row r="6081" spans="1:1" s="427" customFormat="1" ht="12" hidden="1" customHeight="1">
      <c r="A6081" s="426"/>
    </row>
    <row r="6082" spans="1:1" s="427" customFormat="1" ht="12" hidden="1" customHeight="1">
      <c r="A6082" s="426"/>
    </row>
    <row r="6083" spans="1:1" s="427" customFormat="1" ht="12" hidden="1" customHeight="1">
      <c r="A6083" s="426"/>
    </row>
    <row r="6084" spans="1:1" s="427" customFormat="1" ht="12" hidden="1" customHeight="1">
      <c r="A6084" s="426"/>
    </row>
    <row r="6085" spans="1:1" s="427" customFormat="1" ht="12" hidden="1" customHeight="1">
      <c r="A6085" s="426"/>
    </row>
    <row r="6086" spans="1:1" s="427" customFormat="1" ht="12" hidden="1" customHeight="1">
      <c r="A6086" s="426"/>
    </row>
    <row r="6087" spans="1:1" s="427" customFormat="1" ht="12" hidden="1" customHeight="1">
      <c r="A6087" s="426"/>
    </row>
    <row r="6088" spans="1:1" s="427" customFormat="1" ht="12" hidden="1" customHeight="1">
      <c r="A6088" s="426"/>
    </row>
    <row r="6089" spans="1:1" s="427" customFormat="1" ht="12" hidden="1" customHeight="1">
      <c r="A6089" s="426"/>
    </row>
    <row r="6090" spans="1:1" s="427" customFormat="1" ht="12" hidden="1" customHeight="1">
      <c r="A6090" s="426"/>
    </row>
    <row r="6091" spans="1:1" s="427" customFormat="1" ht="12" hidden="1" customHeight="1">
      <c r="A6091" s="426"/>
    </row>
    <row r="6092" spans="1:1" s="427" customFormat="1" ht="12" hidden="1" customHeight="1">
      <c r="A6092" s="426"/>
    </row>
    <row r="6093" spans="1:1" s="427" customFormat="1" ht="12" hidden="1" customHeight="1">
      <c r="A6093" s="426"/>
    </row>
    <row r="6094" spans="1:1" s="427" customFormat="1" ht="12" hidden="1" customHeight="1">
      <c r="A6094" s="426"/>
    </row>
    <row r="6095" spans="1:1" s="427" customFormat="1" ht="12" hidden="1" customHeight="1">
      <c r="A6095" s="426"/>
    </row>
    <row r="6096" spans="1:1" s="427" customFormat="1" ht="12" hidden="1" customHeight="1">
      <c r="A6096" s="426"/>
    </row>
    <row r="6097" spans="1:1" s="427" customFormat="1" ht="12" hidden="1" customHeight="1">
      <c r="A6097" s="426"/>
    </row>
    <row r="6098" spans="1:1" s="427" customFormat="1" ht="12" hidden="1" customHeight="1">
      <c r="A6098" s="426"/>
    </row>
    <row r="6099" spans="1:1" s="427" customFormat="1" ht="12" hidden="1" customHeight="1">
      <c r="A6099" s="426"/>
    </row>
    <row r="6100" spans="1:1" s="427" customFormat="1" ht="12" hidden="1" customHeight="1">
      <c r="A6100" s="426"/>
    </row>
    <row r="6101" spans="1:1" s="427" customFormat="1" ht="12" hidden="1" customHeight="1">
      <c r="A6101" s="426"/>
    </row>
    <row r="6102" spans="1:1" s="427" customFormat="1" ht="12" hidden="1" customHeight="1">
      <c r="A6102" s="426"/>
    </row>
    <row r="6103" spans="1:1" s="427" customFormat="1" ht="12" hidden="1" customHeight="1">
      <c r="A6103" s="426"/>
    </row>
    <row r="6104" spans="1:1" s="427" customFormat="1" ht="12" hidden="1" customHeight="1">
      <c r="A6104" s="426"/>
    </row>
    <row r="6105" spans="1:1" s="427" customFormat="1" ht="12" hidden="1" customHeight="1">
      <c r="A6105" s="426"/>
    </row>
    <row r="6106" spans="1:1" s="427" customFormat="1" ht="12" hidden="1" customHeight="1">
      <c r="A6106" s="426"/>
    </row>
    <row r="6107" spans="1:1" s="427" customFormat="1" ht="12" hidden="1" customHeight="1">
      <c r="A6107" s="426"/>
    </row>
    <row r="6108" spans="1:1" s="427" customFormat="1" ht="12" hidden="1" customHeight="1">
      <c r="A6108" s="426"/>
    </row>
    <row r="6109" spans="1:1" s="427" customFormat="1" ht="12" hidden="1" customHeight="1">
      <c r="A6109" s="426"/>
    </row>
    <row r="6110" spans="1:1" s="427" customFormat="1" ht="12" hidden="1" customHeight="1">
      <c r="A6110" s="426"/>
    </row>
    <row r="6111" spans="1:1" s="427" customFormat="1" ht="12" hidden="1" customHeight="1">
      <c r="A6111" s="426"/>
    </row>
    <row r="6112" spans="1:1" s="427" customFormat="1" ht="12" hidden="1" customHeight="1">
      <c r="A6112" s="426"/>
    </row>
    <row r="6113" spans="1:1" s="427" customFormat="1" ht="12" hidden="1" customHeight="1">
      <c r="A6113" s="426"/>
    </row>
    <row r="6114" spans="1:1" s="427" customFormat="1" ht="12" hidden="1" customHeight="1">
      <c r="A6114" s="426"/>
    </row>
    <row r="6115" spans="1:1" s="427" customFormat="1" ht="12" hidden="1" customHeight="1">
      <c r="A6115" s="426"/>
    </row>
    <row r="6116" spans="1:1" s="427" customFormat="1" ht="12" hidden="1" customHeight="1">
      <c r="A6116" s="426"/>
    </row>
    <row r="6117" spans="1:1" s="427" customFormat="1" ht="12" hidden="1" customHeight="1">
      <c r="A6117" s="426"/>
    </row>
    <row r="6118" spans="1:1" s="427" customFormat="1" ht="12" hidden="1" customHeight="1">
      <c r="A6118" s="426"/>
    </row>
    <row r="6119" spans="1:1" s="427" customFormat="1" ht="12" hidden="1" customHeight="1">
      <c r="A6119" s="426"/>
    </row>
    <row r="6120" spans="1:1" s="427" customFormat="1" ht="12" hidden="1" customHeight="1">
      <c r="A6120" s="426"/>
    </row>
    <row r="6121" spans="1:1" s="427" customFormat="1" ht="12" hidden="1" customHeight="1">
      <c r="A6121" s="426"/>
    </row>
    <row r="6122" spans="1:1" s="427" customFormat="1" ht="12" hidden="1" customHeight="1">
      <c r="A6122" s="426"/>
    </row>
    <row r="6123" spans="1:1" s="427" customFormat="1" ht="12" hidden="1" customHeight="1">
      <c r="A6123" s="426"/>
    </row>
    <row r="6124" spans="1:1" s="427" customFormat="1" ht="12" hidden="1" customHeight="1">
      <c r="A6124" s="426"/>
    </row>
    <row r="6125" spans="1:1" s="427" customFormat="1" ht="12" hidden="1" customHeight="1">
      <c r="A6125" s="426"/>
    </row>
    <row r="6126" spans="1:1" s="427" customFormat="1" ht="12" hidden="1" customHeight="1">
      <c r="A6126" s="426"/>
    </row>
    <row r="6127" spans="1:1" s="427" customFormat="1" ht="12" hidden="1" customHeight="1">
      <c r="A6127" s="426"/>
    </row>
    <row r="6128" spans="1:1" s="427" customFormat="1" ht="12" hidden="1" customHeight="1">
      <c r="A6128" s="426"/>
    </row>
    <row r="6129" spans="1:1" s="427" customFormat="1" ht="12" hidden="1" customHeight="1">
      <c r="A6129" s="426"/>
    </row>
    <row r="6130" spans="1:1" s="427" customFormat="1" ht="12" hidden="1" customHeight="1">
      <c r="A6130" s="426"/>
    </row>
    <row r="6131" spans="1:1" s="427" customFormat="1" ht="12" hidden="1" customHeight="1">
      <c r="A6131" s="426"/>
    </row>
    <row r="6132" spans="1:1" s="427" customFormat="1" ht="12" hidden="1" customHeight="1">
      <c r="A6132" s="426"/>
    </row>
    <row r="6133" spans="1:1" s="427" customFormat="1" ht="12" hidden="1" customHeight="1">
      <c r="A6133" s="426"/>
    </row>
    <row r="6134" spans="1:1" s="427" customFormat="1" ht="12" hidden="1" customHeight="1">
      <c r="A6134" s="426"/>
    </row>
    <row r="6135" spans="1:1" s="427" customFormat="1" ht="12" hidden="1" customHeight="1">
      <c r="A6135" s="426"/>
    </row>
    <row r="6136" spans="1:1" s="427" customFormat="1" ht="12" hidden="1" customHeight="1">
      <c r="A6136" s="426"/>
    </row>
    <row r="6137" spans="1:1" s="427" customFormat="1" ht="12" hidden="1" customHeight="1">
      <c r="A6137" s="426"/>
    </row>
    <row r="6138" spans="1:1" s="427" customFormat="1" ht="12" hidden="1" customHeight="1">
      <c r="A6138" s="426"/>
    </row>
    <row r="6139" spans="1:1" s="427" customFormat="1" ht="12" hidden="1" customHeight="1">
      <c r="A6139" s="426"/>
    </row>
    <row r="6140" spans="1:1" s="427" customFormat="1" ht="12" hidden="1" customHeight="1">
      <c r="A6140" s="426"/>
    </row>
    <row r="6141" spans="1:1" s="427" customFormat="1" ht="12" hidden="1" customHeight="1">
      <c r="A6141" s="426"/>
    </row>
    <row r="6142" spans="1:1" s="427" customFormat="1" ht="12" hidden="1" customHeight="1">
      <c r="A6142" s="426"/>
    </row>
    <row r="6143" spans="1:1" s="427" customFormat="1" ht="12" hidden="1" customHeight="1">
      <c r="A6143" s="426"/>
    </row>
    <row r="6144" spans="1:1" s="427" customFormat="1" ht="12" hidden="1" customHeight="1">
      <c r="A6144" s="426"/>
    </row>
    <row r="6145" spans="1:1" s="427" customFormat="1" ht="12" hidden="1" customHeight="1">
      <c r="A6145" s="426"/>
    </row>
    <row r="6146" spans="1:1" s="427" customFormat="1" ht="12" hidden="1" customHeight="1">
      <c r="A6146" s="426"/>
    </row>
    <row r="6147" spans="1:1" s="427" customFormat="1" ht="12" hidden="1" customHeight="1">
      <c r="A6147" s="426"/>
    </row>
    <row r="6148" spans="1:1" s="427" customFormat="1" ht="12" hidden="1" customHeight="1">
      <c r="A6148" s="426"/>
    </row>
    <row r="6149" spans="1:1" s="427" customFormat="1" ht="12" hidden="1" customHeight="1">
      <c r="A6149" s="426"/>
    </row>
    <row r="6150" spans="1:1" s="427" customFormat="1" ht="12" hidden="1" customHeight="1">
      <c r="A6150" s="426"/>
    </row>
    <row r="6151" spans="1:1" s="427" customFormat="1" ht="12" hidden="1" customHeight="1">
      <c r="A6151" s="426"/>
    </row>
    <row r="6152" spans="1:1" s="427" customFormat="1" ht="12" hidden="1" customHeight="1">
      <c r="A6152" s="426"/>
    </row>
    <row r="6153" spans="1:1" s="427" customFormat="1" ht="12" hidden="1" customHeight="1">
      <c r="A6153" s="426"/>
    </row>
    <row r="6154" spans="1:1" s="427" customFormat="1" ht="12" hidden="1" customHeight="1">
      <c r="A6154" s="426"/>
    </row>
    <row r="6155" spans="1:1" s="427" customFormat="1" ht="12" hidden="1" customHeight="1">
      <c r="A6155" s="426"/>
    </row>
    <row r="6156" spans="1:1" s="427" customFormat="1" ht="12" hidden="1" customHeight="1">
      <c r="A6156" s="426"/>
    </row>
    <row r="6157" spans="1:1" s="427" customFormat="1" ht="12" hidden="1" customHeight="1">
      <c r="A6157" s="426"/>
    </row>
    <row r="6158" spans="1:1" s="427" customFormat="1" ht="12" hidden="1" customHeight="1">
      <c r="A6158" s="426"/>
    </row>
    <row r="6159" spans="1:1" s="427" customFormat="1" ht="12" hidden="1" customHeight="1">
      <c r="A6159" s="426"/>
    </row>
    <row r="6160" spans="1:1" s="427" customFormat="1" ht="12" hidden="1" customHeight="1">
      <c r="A6160" s="426"/>
    </row>
    <row r="6161" spans="1:1" s="427" customFormat="1" ht="12" hidden="1" customHeight="1">
      <c r="A6161" s="426"/>
    </row>
    <row r="6162" spans="1:1" s="427" customFormat="1" ht="12" hidden="1" customHeight="1">
      <c r="A6162" s="426"/>
    </row>
    <row r="6163" spans="1:1" s="427" customFormat="1" ht="12" hidden="1" customHeight="1">
      <c r="A6163" s="426"/>
    </row>
    <row r="6164" spans="1:1" s="427" customFormat="1" ht="12" hidden="1" customHeight="1">
      <c r="A6164" s="426"/>
    </row>
    <row r="6165" spans="1:1" s="427" customFormat="1" ht="12" hidden="1" customHeight="1">
      <c r="A6165" s="426"/>
    </row>
    <row r="6166" spans="1:1" s="427" customFormat="1" ht="12" hidden="1" customHeight="1">
      <c r="A6166" s="426"/>
    </row>
    <row r="6167" spans="1:1" s="427" customFormat="1" ht="12" hidden="1" customHeight="1">
      <c r="A6167" s="426"/>
    </row>
    <row r="6168" spans="1:1" s="427" customFormat="1" ht="12" hidden="1" customHeight="1">
      <c r="A6168" s="426"/>
    </row>
    <row r="6169" spans="1:1" s="427" customFormat="1" ht="12" hidden="1" customHeight="1">
      <c r="A6169" s="426"/>
    </row>
    <row r="6170" spans="1:1" s="427" customFormat="1" ht="12" hidden="1" customHeight="1">
      <c r="A6170" s="426"/>
    </row>
    <row r="6171" spans="1:1" s="427" customFormat="1" ht="12" hidden="1" customHeight="1">
      <c r="A6171" s="426"/>
    </row>
    <row r="6172" spans="1:1" s="427" customFormat="1" ht="12" hidden="1" customHeight="1">
      <c r="A6172" s="426"/>
    </row>
    <row r="6173" spans="1:1" s="427" customFormat="1" ht="12" hidden="1" customHeight="1">
      <c r="A6173" s="426"/>
    </row>
    <row r="6174" spans="1:1" s="427" customFormat="1" ht="12" hidden="1" customHeight="1">
      <c r="A6174" s="426"/>
    </row>
    <row r="6175" spans="1:1" s="427" customFormat="1" ht="12" hidden="1" customHeight="1">
      <c r="A6175" s="426"/>
    </row>
    <row r="6176" spans="1:1" s="427" customFormat="1" ht="12" hidden="1" customHeight="1">
      <c r="A6176" s="426"/>
    </row>
    <row r="6177" spans="1:1" s="427" customFormat="1" ht="12" hidden="1" customHeight="1">
      <c r="A6177" s="426"/>
    </row>
    <row r="6178" spans="1:1" s="427" customFormat="1" ht="12" hidden="1" customHeight="1">
      <c r="A6178" s="426"/>
    </row>
    <row r="6179" spans="1:1" s="427" customFormat="1" ht="12" hidden="1" customHeight="1">
      <c r="A6179" s="426"/>
    </row>
    <row r="6180" spans="1:1" s="427" customFormat="1" ht="12" hidden="1" customHeight="1">
      <c r="A6180" s="426"/>
    </row>
    <row r="6181" spans="1:1" s="427" customFormat="1" ht="12" hidden="1" customHeight="1">
      <c r="A6181" s="426"/>
    </row>
    <row r="6182" spans="1:1" s="427" customFormat="1" ht="12" hidden="1" customHeight="1">
      <c r="A6182" s="426"/>
    </row>
    <row r="6183" spans="1:1" s="427" customFormat="1" ht="12" hidden="1" customHeight="1">
      <c r="A6183" s="426"/>
    </row>
    <row r="6184" spans="1:1" s="427" customFormat="1" ht="12" hidden="1" customHeight="1">
      <c r="A6184" s="426"/>
    </row>
    <row r="6185" spans="1:1" s="427" customFormat="1" ht="12" hidden="1" customHeight="1">
      <c r="A6185" s="426"/>
    </row>
    <row r="6186" spans="1:1" s="427" customFormat="1" ht="12" hidden="1" customHeight="1">
      <c r="A6186" s="426"/>
    </row>
    <row r="6187" spans="1:1" s="427" customFormat="1" ht="12" hidden="1" customHeight="1">
      <c r="A6187" s="426"/>
    </row>
    <row r="6188" spans="1:1" s="427" customFormat="1" ht="12" hidden="1" customHeight="1">
      <c r="A6188" s="426"/>
    </row>
    <row r="6189" spans="1:1" s="427" customFormat="1" ht="12" hidden="1" customHeight="1">
      <c r="A6189" s="426"/>
    </row>
    <row r="6190" spans="1:1" s="427" customFormat="1" ht="12" hidden="1" customHeight="1">
      <c r="A6190" s="426"/>
    </row>
    <row r="6191" spans="1:1" s="427" customFormat="1" ht="12" hidden="1" customHeight="1">
      <c r="A6191" s="426"/>
    </row>
    <row r="6192" spans="1:1" s="427" customFormat="1" ht="12" hidden="1" customHeight="1">
      <c r="A6192" s="426"/>
    </row>
    <row r="6193" spans="1:1" s="427" customFormat="1" ht="12" hidden="1" customHeight="1">
      <c r="A6193" s="426"/>
    </row>
    <row r="6194" spans="1:1" s="427" customFormat="1" ht="12" hidden="1" customHeight="1">
      <c r="A6194" s="426"/>
    </row>
    <row r="6195" spans="1:1" s="427" customFormat="1" ht="12" hidden="1" customHeight="1">
      <c r="A6195" s="426"/>
    </row>
    <row r="6196" spans="1:1" s="427" customFormat="1" ht="12" hidden="1" customHeight="1">
      <c r="A6196" s="426"/>
    </row>
    <row r="6197" spans="1:1" s="427" customFormat="1" ht="12" hidden="1" customHeight="1">
      <c r="A6197" s="426"/>
    </row>
    <row r="6198" spans="1:1" s="427" customFormat="1" ht="12" hidden="1" customHeight="1">
      <c r="A6198" s="426"/>
    </row>
    <row r="6199" spans="1:1" s="427" customFormat="1" ht="12" hidden="1" customHeight="1">
      <c r="A6199" s="426"/>
    </row>
    <row r="6200" spans="1:1" s="427" customFormat="1" ht="12" hidden="1" customHeight="1">
      <c r="A6200" s="426"/>
    </row>
    <row r="6201" spans="1:1" s="427" customFormat="1" ht="12" hidden="1" customHeight="1">
      <c r="A6201" s="426"/>
    </row>
    <row r="6202" spans="1:1" s="427" customFormat="1" ht="12" hidden="1" customHeight="1">
      <c r="A6202" s="426"/>
    </row>
    <row r="6203" spans="1:1" s="427" customFormat="1" ht="12" hidden="1" customHeight="1">
      <c r="A6203" s="426"/>
    </row>
    <row r="6204" spans="1:1" s="427" customFormat="1" ht="12" hidden="1" customHeight="1">
      <c r="A6204" s="426"/>
    </row>
    <row r="6205" spans="1:1" s="427" customFormat="1" ht="12" hidden="1" customHeight="1">
      <c r="A6205" s="426"/>
    </row>
    <row r="6206" spans="1:1" s="427" customFormat="1" ht="12" hidden="1" customHeight="1">
      <c r="A6206" s="426"/>
    </row>
    <row r="6207" spans="1:1" s="427" customFormat="1" ht="12" hidden="1" customHeight="1">
      <c r="A6207" s="426"/>
    </row>
    <row r="6208" spans="1:1" s="427" customFormat="1" ht="12" hidden="1" customHeight="1">
      <c r="A6208" s="426"/>
    </row>
    <row r="6209" spans="1:1" s="427" customFormat="1" ht="12" hidden="1" customHeight="1">
      <c r="A6209" s="426"/>
    </row>
    <row r="6210" spans="1:1" s="427" customFormat="1" ht="12" hidden="1" customHeight="1">
      <c r="A6210" s="426"/>
    </row>
    <row r="6211" spans="1:1" s="427" customFormat="1" ht="12" hidden="1" customHeight="1">
      <c r="A6211" s="426"/>
    </row>
    <row r="6212" spans="1:1" s="427" customFormat="1" ht="12" hidden="1" customHeight="1">
      <c r="A6212" s="426"/>
    </row>
    <row r="6213" spans="1:1" s="427" customFormat="1" ht="12" hidden="1" customHeight="1">
      <c r="A6213" s="426"/>
    </row>
    <row r="6214" spans="1:1" s="427" customFormat="1" ht="12" hidden="1" customHeight="1">
      <c r="A6214" s="426"/>
    </row>
    <row r="6215" spans="1:1" s="427" customFormat="1" ht="12" hidden="1" customHeight="1">
      <c r="A6215" s="426"/>
    </row>
    <row r="6216" spans="1:1" s="427" customFormat="1" ht="12" hidden="1" customHeight="1">
      <c r="A6216" s="426"/>
    </row>
    <row r="6217" spans="1:1" s="427" customFormat="1" ht="12" hidden="1" customHeight="1">
      <c r="A6217" s="426"/>
    </row>
    <row r="6218" spans="1:1" s="427" customFormat="1" ht="12" hidden="1" customHeight="1">
      <c r="A6218" s="426"/>
    </row>
    <row r="6219" spans="1:1" s="427" customFormat="1" ht="12" hidden="1" customHeight="1">
      <c r="A6219" s="426"/>
    </row>
    <row r="6220" spans="1:1" s="427" customFormat="1" ht="12" hidden="1" customHeight="1">
      <c r="A6220" s="426"/>
    </row>
    <row r="6221" spans="1:1" s="427" customFormat="1" ht="12" hidden="1" customHeight="1">
      <c r="A6221" s="426"/>
    </row>
    <row r="6222" spans="1:1" s="427" customFormat="1" ht="12" hidden="1" customHeight="1">
      <c r="A6222" s="426"/>
    </row>
    <row r="6223" spans="1:1" s="427" customFormat="1" ht="12" hidden="1" customHeight="1">
      <c r="A6223" s="426"/>
    </row>
    <row r="6224" spans="1:1" s="427" customFormat="1" ht="12" hidden="1" customHeight="1">
      <c r="A6224" s="426"/>
    </row>
    <row r="6225" spans="1:1" s="427" customFormat="1" ht="12" hidden="1" customHeight="1">
      <c r="A6225" s="426"/>
    </row>
    <row r="6226" spans="1:1" s="427" customFormat="1" ht="12" hidden="1" customHeight="1">
      <c r="A6226" s="426"/>
    </row>
    <row r="6227" spans="1:1" s="427" customFormat="1" ht="12" hidden="1" customHeight="1">
      <c r="A6227" s="426"/>
    </row>
    <row r="6228" spans="1:1" s="427" customFormat="1" ht="12" hidden="1" customHeight="1">
      <c r="A6228" s="426"/>
    </row>
    <row r="6229" spans="1:1" s="427" customFormat="1" ht="12" hidden="1" customHeight="1">
      <c r="A6229" s="426"/>
    </row>
    <row r="6230" spans="1:1" s="427" customFormat="1" ht="12" hidden="1" customHeight="1">
      <c r="A6230" s="426"/>
    </row>
    <row r="6231" spans="1:1" s="427" customFormat="1" ht="12" hidden="1" customHeight="1">
      <c r="A6231" s="426"/>
    </row>
    <row r="6232" spans="1:1" s="427" customFormat="1" ht="12" hidden="1" customHeight="1">
      <c r="A6232" s="426"/>
    </row>
    <row r="6233" spans="1:1" s="427" customFormat="1" ht="12" hidden="1" customHeight="1">
      <c r="A6233" s="426"/>
    </row>
    <row r="6234" spans="1:1" s="427" customFormat="1" ht="12" hidden="1" customHeight="1">
      <c r="A6234" s="426"/>
    </row>
    <row r="6235" spans="1:1" s="427" customFormat="1" ht="12" hidden="1" customHeight="1">
      <c r="A6235" s="426"/>
    </row>
    <row r="6236" spans="1:1" s="427" customFormat="1" ht="12" hidden="1" customHeight="1">
      <c r="A6236" s="426"/>
    </row>
    <row r="6237" spans="1:1" s="427" customFormat="1" ht="12" hidden="1" customHeight="1">
      <c r="A6237" s="426"/>
    </row>
    <row r="6238" spans="1:1" s="427" customFormat="1" ht="12" hidden="1" customHeight="1">
      <c r="A6238" s="426"/>
    </row>
    <row r="6239" spans="1:1" s="427" customFormat="1" ht="12" hidden="1" customHeight="1">
      <c r="A6239" s="426"/>
    </row>
    <row r="6240" spans="1:1" s="427" customFormat="1" ht="12" hidden="1" customHeight="1">
      <c r="A6240" s="426"/>
    </row>
    <row r="6241" spans="1:1" s="427" customFormat="1" ht="12" hidden="1" customHeight="1">
      <c r="A6241" s="426"/>
    </row>
    <row r="6242" spans="1:1" s="427" customFormat="1" ht="12" hidden="1" customHeight="1">
      <c r="A6242" s="426"/>
    </row>
    <row r="6243" spans="1:1" s="427" customFormat="1" ht="12" hidden="1" customHeight="1">
      <c r="A6243" s="426"/>
    </row>
    <row r="6244" spans="1:1" s="427" customFormat="1" ht="12" hidden="1" customHeight="1">
      <c r="A6244" s="426"/>
    </row>
    <row r="6245" spans="1:1" s="427" customFormat="1" ht="12" hidden="1" customHeight="1">
      <c r="A6245" s="426"/>
    </row>
    <row r="6246" spans="1:1" s="427" customFormat="1" ht="12" hidden="1" customHeight="1">
      <c r="A6246" s="426"/>
    </row>
    <row r="6247" spans="1:1" s="427" customFormat="1" ht="12" hidden="1" customHeight="1">
      <c r="A6247" s="426"/>
    </row>
    <row r="6248" spans="1:1" s="427" customFormat="1" ht="12" hidden="1" customHeight="1">
      <c r="A6248" s="426"/>
    </row>
    <row r="6249" spans="1:1" s="427" customFormat="1" ht="12" hidden="1" customHeight="1">
      <c r="A6249" s="426"/>
    </row>
    <row r="6250" spans="1:1" s="427" customFormat="1" ht="12" hidden="1" customHeight="1">
      <c r="A6250" s="426"/>
    </row>
    <row r="6251" spans="1:1" s="427" customFormat="1" ht="12" hidden="1" customHeight="1">
      <c r="A6251" s="426"/>
    </row>
    <row r="6252" spans="1:1" s="427" customFormat="1" ht="12" hidden="1" customHeight="1">
      <c r="A6252" s="426"/>
    </row>
    <row r="6253" spans="1:1" s="427" customFormat="1" ht="12" hidden="1" customHeight="1">
      <c r="A6253" s="426"/>
    </row>
    <row r="6254" spans="1:1" s="427" customFormat="1" ht="12" hidden="1" customHeight="1">
      <c r="A6254" s="426"/>
    </row>
    <row r="6255" spans="1:1" s="427" customFormat="1" ht="12" hidden="1" customHeight="1">
      <c r="A6255" s="426"/>
    </row>
    <row r="6256" spans="1:1" s="427" customFormat="1" ht="12" hidden="1" customHeight="1">
      <c r="A6256" s="426"/>
    </row>
    <row r="6257" spans="1:1" s="427" customFormat="1" ht="12" hidden="1" customHeight="1">
      <c r="A6257" s="426"/>
    </row>
    <row r="6258" spans="1:1" s="427" customFormat="1" ht="12" hidden="1" customHeight="1">
      <c r="A6258" s="426"/>
    </row>
    <row r="6259" spans="1:1" s="427" customFormat="1" ht="12" hidden="1" customHeight="1">
      <c r="A6259" s="426"/>
    </row>
    <row r="6260" spans="1:1" s="427" customFormat="1" ht="12" hidden="1" customHeight="1">
      <c r="A6260" s="426"/>
    </row>
    <row r="6261" spans="1:1" s="427" customFormat="1" ht="12" hidden="1" customHeight="1">
      <c r="A6261" s="426"/>
    </row>
    <row r="6262" spans="1:1" s="427" customFormat="1" ht="12" hidden="1" customHeight="1">
      <c r="A6262" s="426"/>
    </row>
    <row r="6263" spans="1:1" s="427" customFormat="1" ht="12" hidden="1" customHeight="1">
      <c r="A6263" s="426"/>
    </row>
    <row r="6264" spans="1:1" s="427" customFormat="1" ht="12" hidden="1" customHeight="1">
      <c r="A6264" s="426"/>
    </row>
    <row r="6265" spans="1:1" s="427" customFormat="1" ht="12" hidden="1" customHeight="1">
      <c r="A6265" s="426"/>
    </row>
    <row r="6266" spans="1:1" s="427" customFormat="1" ht="12" hidden="1" customHeight="1">
      <c r="A6266" s="426"/>
    </row>
    <row r="6267" spans="1:1" s="427" customFormat="1" ht="12" hidden="1" customHeight="1">
      <c r="A6267" s="426"/>
    </row>
    <row r="6268" spans="1:1" s="427" customFormat="1" ht="12" hidden="1" customHeight="1">
      <c r="A6268" s="426"/>
    </row>
    <row r="6269" spans="1:1" s="427" customFormat="1" ht="12" hidden="1" customHeight="1">
      <c r="A6269" s="426"/>
    </row>
    <row r="6270" spans="1:1" s="427" customFormat="1" ht="12" hidden="1" customHeight="1">
      <c r="A6270" s="426"/>
    </row>
    <row r="6271" spans="1:1" s="427" customFormat="1" ht="12" hidden="1" customHeight="1">
      <c r="A6271" s="426"/>
    </row>
    <row r="6272" spans="1:1" s="427" customFormat="1" ht="12" hidden="1" customHeight="1">
      <c r="A6272" s="426"/>
    </row>
    <row r="6273" spans="1:1" s="427" customFormat="1" ht="12" hidden="1" customHeight="1">
      <c r="A6273" s="426"/>
    </row>
    <row r="6274" spans="1:1" s="427" customFormat="1" ht="12" hidden="1" customHeight="1">
      <c r="A6274" s="426"/>
    </row>
    <row r="6275" spans="1:1" s="427" customFormat="1" ht="12" hidden="1" customHeight="1">
      <c r="A6275" s="426"/>
    </row>
    <row r="6276" spans="1:1" s="427" customFormat="1" ht="12" hidden="1" customHeight="1">
      <c r="A6276" s="426"/>
    </row>
    <row r="6277" spans="1:1" s="427" customFormat="1" ht="12" hidden="1" customHeight="1">
      <c r="A6277" s="426"/>
    </row>
    <row r="6278" spans="1:1" s="427" customFormat="1" ht="12" hidden="1" customHeight="1">
      <c r="A6278" s="426"/>
    </row>
    <row r="6279" spans="1:1" s="427" customFormat="1" ht="12" hidden="1" customHeight="1">
      <c r="A6279" s="426"/>
    </row>
    <row r="6280" spans="1:1" s="427" customFormat="1" ht="12" hidden="1" customHeight="1">
      <c r="A6280" s="426"/>
    </row>
    <row r="6281" spans="1:1" s="427" customFormat="1" ht="12" hidden="1" customHeight="1">
      <c r="A6281" s="426"/>
    </row>
    <row r="6282" spans="1:1" s="427" customFormat="1" ht="12" hidden="1" customHeight="1">
      <c r="A6282" s="426"/>
    </row>
    <row r="6283" spans="1:1" s="427" customFormat="1" ht="12" hidden="1" customHeight="1">
      <c r="A6283" s="426"/>
    </row>
    <row r="6284" spans="1:1" s="427" customFormat="1" ht="12" hidden="1" customHeight="1">
      <c r="A6284" s="426"/>
    </row>
    <row r="6285" spans="1:1" s="427" customFormat="1" ht="12" hidden="1" customHeight="1">
      <c r="A6285" s="426"/>
    </row>
    <row r="6286" spans="1:1" s="427" customFormat="1" ht="12" hidden="1" customHeight="1">
      <c r="A6286" s="426"/>
    </row>
    <row r="6287" spans="1:1" s="427" customFormat="1" ht="12" hidden="1" customHeight="1">
      <c r="A6287" s="426"/>
    </row>
    <row r="6288" spans="1:1" s="427" customFormat="1" ht="12" hidden="1" customHeight="1">
      <c r="A6288" s="426"/>
    </row>
    <row r="6289" spans="1:1" s="427" customFormat="1" ht="12" hidden="1" customHeight="1">
      <c r="A6289" s="426"/>
    </row>
    <row r="6290" spans="1:1" s="427" customFormat="1" ht="12" hidden="1" customHeight="1">
      <c r="A6290" s="426"/>
    </row>
    <row r="6291" spans="1:1" s="427" customFormat="1" ht="12" hidden="1" customHeight="1">
      <c r="A6291" s="426"/>
    </row>
    <row r="6292" spans="1:1" s="427" customFormat="1" ht="12" hidden="1" customHeight="1">
      <c r="A6292" s="426"/>
    </row>
    <row r="6293" spans="1:1" s="427" customFormat="1" ht="12" hidden="1" customHeight="1">
      <c r="A6293" s="426"/>
    </row>
    <row r="6294" spans="1:1" s="427" customFormat="1" ht="12" hidden="1" customHeight="1">
      <c r="A6294" s="426"/>
    </row>
    <row r="6295" spans="1:1" s="427" customFormat="1" ht="12" hidden="1" customHeight="1">
      <c r="A6295" s="426"/>
    </row>
    <row r="6296" spans="1:1" s="427" customFormat="1" ht="12" hidden="1" customHeight="1">
      <c r="A6296" s="426"/>
    </row>
    <row r="6297" spans="1:1" s="427" customFormat="1" ht="12" hidden="1" customHeight="1">
      <c r="A6297" s="426"/>
    </row>
    <row r="6298" spans="1:1" s="427" customFormat="1" ht="12" hidden="1" customHeight="1">
      <c r="A6298" s="426"/>
    </row>
    <row r="6299" spans="1:1" s="427" customFormat="1" ht="12" hidden="1" customHeight="1">
      <c r="A6299" s="426"/>
    </row>
    <row r="6300" spans="1:1" s="427" customFormat="1" ht="12" hidden="1" customHeight="1">
      <c r="A6300" s="426"/>
    </row>
    <row r="6301" spans="1:1" s="427" customFormat="1" ht="12" hidden="1" customHeight="1">
      <c r="A6301" s="426"/>
    </row>
    <row r="6302" spans="1:1" s="427" customFormat="1" ht="12" hidden="1" customHeight="1">
      <c r="A6302" s="426"/>
    </row>
    <row r="6303" spans="1:1" s="427" customFormat="1" ht="12" hidden="1" customHeight="1">
      <c r="A6303" s="426"/>
    </row>
    <row r="6304" spans="1:1" s="427" customFormat="1" ht="12" hidden="1" customHeight="1">
      <c r="A6304" s="426"/>
    </row>
    <row r="6305" spans="1:1" s="427" customFormat="1" ht="12" hidden="1" customHeight="1">
      <c r="A6305" s="426"/>
    </row>
    <row r="6306" spans="1:1" s="427" customFormat="1" ht="12" hidden="1" customHeight="1">
      <c r="A6306" s="426"/>
    </row>
    <row r="6307" spans="1:1" s="427" customFormat="1" ht="12" hidden="1" customHeight="1">
      <c r="A6307" s="426"/>
    </row>
    <row r="6308" spans="1:1" s="427" customFormat="1" ht="12" hidden="1" customHeight="1">
      <c r="A6308" s="426"/>
    </row>
    <row r="6309" spans="1:1" s="427" customFormat="1" ht="12" hidden="1" customHeight="1">
      <c r="A6309" s="426"/>
    </row>
    <row r="6310" spans="1:1" s="427" customFormat="1" ht="12" hidden="1" customHeight="1">
      <c r="A6310" s="426"/>
    </row>
    <row r="6311" spans="1:1" s="427" customFormat="1" ht="12" hidden="1" customHeight="1">
      <c r="A6311" s="426"/>
    </row>
    <row r="6312" spans="1:1" s="427" customFormat="1" ht="12" hidden="1" customHeight="1">
      <c r="A6312" s="426"/>
    </row>
    <row r="6313" spans="1:1" s="427" customFormat="1" ht="12" hidden="1" customHeight="1">
      <c r="A6313" s="426"/>
    </row>
    <row r="6314" spans="1:1" s="427" customFormat="1" ht="12" hidden="1" customHeight="1">
      <c r="A6314" s="426"/>
    </row>
    <row r="6315" spans="1:1" s="427" customFormat="1" ht="12" hidden="1" customHeight="1">
      <c r="A6315" s="426"/>
    </row>
    <row r="6316" spans="1:1" s="427" customFormat="1" ht="12" hidden="1" customHeight="1">
      <c r="A6316" s="426"/>
    </row>
    <row r="6317" spans="1:1" s="427" customFormat="1" ht="12" hidden="1" customHeight="1">
      <c r="A6317" s="426"/>
    </row>
    <row r="6318" spans="1:1" s="427" customFormat="1" ht="12" hidden="1" customHeight="1">
      <c r="A6318" s="426"/>
    </row>
    <row r="6319" spans="1:1" s="427" customFormat="1" ht="12" hidden="1" customHeight="1">
      <c r="A6319" s="426"/>
    </row>
    <row r="6320" spans="1:1" s="427" customFormat="1" ht="12" hidden="1" customHeight="1">
      <c r="A6320" s="426"/>
    </row>
    <row r="6321" spans="1:1" s="427" customFormat="1" ht="12" hidden="1" customHeight="1">
      <c r="A6321" s="426"/>
    </row>
    <row r="6322" spans="1:1" s="427" customFormat="1" ht="12" hidden="1" customHeight="1">
      <c r="A6322" s="426"/>
    </row>
    <row r="6323" spans="1:1" s="427" customFormat="1" ht="12" hidden="1" customHeight="1">
      <c r="A6323" s="426"/>
    </row>
    <row r="6324" spans="1:1" s="427" customFormat="1" ht="12" hidden="1" customHeight="1">
      <c r="A6324" s="426"/>
    </row>
    <row r="6325" spans="1:1" s="427" customFormat="1" ht="12" hidden="1" customHeight="1">
      <c r="A6325" s="426"/>
    </row>
    <row r="6326" spans="1:1" s="427" customFormat="1" ht="12" hidden="1" customHeight="1">
      <c r="A6326" s="426"/>
    </row>
    <row r="6327" spans="1:1" s="427" customFormat="1" ht="12" hidden="1" customHeight="1">
      <c r="A6327" s="426"/>
    </row>
    <row r="6328" spans="1:1" s="427" customFormat="1" ht="12" hidden="1" customHeight="1">
      <c r="A6328" s="426"/>
    </row>
    <row r="6329" spans="1:1" s="427" customFormat="1" ht="12" hidden="1" customHeight="1">
      <c r="A6329" s="426"/>
    </row>
    <row r="6330" spans="1:1" s="427" customFormat="1" ht="12" hidden="1" customHeight="1">
      <c r="A6330" s="426"/>
    </row>
    <row r="6331" spans="1:1" s="427" customFormat="1" ht="12" hidden="1" customHeight="1">
      <c r="A6331" s="426"/>
    </row>
    <row r="6332" spans="1:1" s="427" customFormat="1" ht="12" hidden="1" customHeight="1">
      <c r="A6332" s="426"/>
    </row>
    <row r="6333" spans="1:1" s="427" customFormat="1" ht="12" hidden="1" customHeight="1">
      <c r="A6333" s="426"/>
    </row>
    <row r="6334" spans="1:1" s="427" customFormat="1" ht="12" hidden="1" customHeight="1">
      <c r="A6334" s="426"/>
    </row>
    <row r="6335" spans="1:1" s="427" customFormat="1" ht="12" hidden="1" customHeight="1">
      <c r="A6335" s="426"/>
    </row>
    <row r="6336" spans="1:1" s="427" customFormat="1" ht="12" hidden="1" customHeight="1">
      <c r="A6336" s="426"/>
    </row>
    <row r="6337" spans="1:1" s="427" customFormat="1" ht="12" hidden="1" customHeight="1">
      <c r="A6337" s="426"/>
    </row>
    <row r="6338" spans="1:1" s="427" customFormat="1" ht="12" hidden="1" customHeight="1">
      <c r="A6338" s="426"/>
    </row>
    <row r="6339" spans="1:1" s="427" customFormat="1" ht="12" hidden="1" customHeight="1">
      <c r="A6339" s="426"/>
    </row>
    <row r="6340" spans="1:1" s="427" customFormat="1" ht="12" hidden="1" customHeight="1">
      <c r="A6340" s="426"/>
    </row>
    <row r="6341" spans="1:1" s="427" customFormat="1" ht="12" hidden="1" customHeight="1">
      <c r="A6341" s="426"/>
    </row>
    <row r="6342" spans="1:1" s="427" customFormat="1" ht="12" hidden="1" customHeight="1">
      <c r="A6342" s="426"/>
    </row>
    <row r="6343" spans="1:1" s="427" customFormat="1" ht="12" hidden="1" customHeight="1">
      <c r="A6343" s="426"/>
    </row>
    <row r="6344" spans="1:1" s="427" customFormat="1" ht="12" hidden="1" customHeight="1">
      <c r="A6344" s="426"/>
    </row>
    <row r="6345" spans="1:1" s="427" customFormat="1" ht="12" hidden="1" customHeight="1">
      <c r="A6345" s="426"/>
    </row>
    <row r="6346" spans="1:1" s="427" customFormat="1" ht="12" hidden="1" customHeight="1">
      <c r="A6346" s="426"/>
    </row>
    <row r="6347" spans="1:1" s="427" customFormat="1" ht="12" hidden="1" customHeight="1">
      <c r="A6347" s="426"/>
    </row>
    <row r="6348" spans="1:1" s="427" customFormat="1" ht="12" hidden="1" customHeight="1">
      <c r="A6348" s="426"/>
    </row>
    <row r="6349" spans="1:1" s="427" customFormat="1" ht="12" hidden="1" customHeight="1">
      <c r="A6349" s="426"/>
    </row>
    <row r="6350" spans="1:1" s="427" customFormat="1" ht="12" hidden="1" customHeight="1">
      <c r="A6350" s="426"/>
    </row>
    <row r="6351" spans="1:1" s="427" customFormat="1" ht="12" hidden="1" customHeight="1">
      <c r="A6351" s="426"/>
    </row>
    <row r="6352" spans="1:1" s="427" customFormat="1" ht="12" hidden="1" customHeight="1">
      <c r="A6352" s="426"/>
    </row>
    <row r="6353" spans="1:1" s="427" customFormat="1" ht="12" hidden="1" customHeight="1">
      <c r="A6353" s="426"/>
    </row>
    <row r="6354" spans="1:1" s="427" customFormat="1" ht="12" hidden="1" customHeight="1">
      <c r="A6354" s="426"/>
    </row>
    <row r="6355" spans="1:1" s="427" customFormat="1" ht="12" hidden="1" customHeight="1">
      <c r="A6355" s="426"/>
    </row>
    <row r="6356" spans="1:1" s="427" customFormat="1" ht="12" hidden="1" customHeight="1">
      <c r="A6356" s="426"/>
    </row>
    <row r="6357" spans="1:1" s="427" customFormat="1" ht="12" hidden="1" customHeight="1">
      <c r="A6357" s="426"/>
    </row>
    <row r="6358" spans="1:1" s="427" customFormat="1" ht="12" hidden="1" customHeight="1">
      <c r="A6358" s="426"/>
    </row>
    <row r="6359" spans="1:1" s="427" customFormat="1" ht="12" hidden="1" customHeight="1">
      <c r="A6359" s="426"/>
    </row>
    <row r="6360" spans="1:1" s="427" customFormat="1" ht="12" hidden="1" customHeight="1">
      <c r="A6360" s="426"/>
    </row>
    <row r="6361" spans="1:1" s="427" customFormat="1" ht="12" hidden="1" customHeight="1">
      <c r="A6361" s="426"/>
    </row>
    <row r="6362" spans="1:1" s="427" customFormat="1" ht="12" hidden="1" customHeight="1">
      <c r="A6362" s="426"/>
    </row>
    <row r="6363" spans="1:1" s="427" customFormat="1" ht="12" hidden="1" customHeight="1">
      <c r="A6363" s="426"/>
    </row>
    <row r="6364" spans="1:1" s="427" customFormat="1" ht="12" hidden="1" customHeight="1">
      <c r="A6364" s="426"/>
    </row>
    <row r="6365" spans="1:1" s="427" customFormat="1" ht="12" hidden="1" customHeight="1">
      <c r="A6365" s="426"/>
    </row>
    <row r="6366" spans="1:1" s="427" customFormat="1" ht="12" hidden="1" customHeight="1">
      <c r="A6366" s="426"/>
    </row>
    <row r="6367" spans="1:1" s="427" customFormat="1" ht="12" hidden="1" customHeight="1">
      <c r="A6367" s="426"/>
    </row>
    <row r="6368" spans="1:1" s="427" customFormat="1" ht="12" hidden="1" customHeight="1">
      <c r="A6368" s="426"/>
    </row>
    <row r="6369" spans="1:1" s="427" customFormat="1" ht="12" hidden="1" customHeight="1">
      <c r="A6369" s="426"/>
    </row>
    <row r="6370" spans="1:1" s="427" customFormat="1" ht="12" hidden="1" customHeight="1">
      <c r="A6370" s="426"/>
    </row>
    <row r="6371" spans="1:1" s="427" customFormat="1" ht="12" hidden="1" customHeight="1">
      <c r="A6371" s="426"/>
    </row>
    <row r="6372" spans="1:1" s="427" customFormat="1" ht="12" hidden="1" customHeight="1">
      <c r="A6372" s="426"/>
    </row>
    <row r="6373" spans="1:1" s="427" customFormat="1" ht="12" hidden="1" customHeight="1">
      <c r="A6373" s="426"/>
    </row>
    <row r="6374" spans="1:1" s="427" customFormat="1" ht="12" hidden="1" customHeight="1">
      <c r="A6374" s="426"/>
    </row>
    <row r="6375" spans="1:1" s="427" customFormat="1" ht="12" hidden="1" customHeight="1">
      <c r="A6375" s="426"/>
    </row>
    <row r="6376" spans="1:1" s="427" customFormat="1" ht="12" hidden="1" customHeight="1">
      <c r="A6376" s="426"/>
    </row>
    <row r="6377" spans="1:1" s="427" customFormat="1" ht="12" hidden="1" customHeight="1">
      <c r="A6377" s="426"/>
    </row>
    <row r="6378" spans="1:1" s="427" customFormat="1" ht="12" hidden="1" customHeight="1">
      <c r="A6378" s="426"/>
    </row>
    <row r="6379" spans="1:1" s="427" customFormat="1" ht="12" hidden="1" customHeight="1">
      <c r="A6379" s="426"/>
    </row>
    <row r="6380" spans="1:1" s="427" customFormat="1" ht="12" hidden="1" customHeight="1">
      <c r="A6380" s="426"/>
    </row>
    <row r="6381" spans="1:1" s="427" customFormat="1" ht="12" hidden="1" customHeight="1">
      <c r="A6381" s="426"/>
    </row>
    <row r="6382" spans="1:1" s="427" customFormat="1" ht="12" hidden="1" customHeight="1">
      <c r="A6382" s="426"/>
    </row>
    <row r="6383" spans="1:1" s="427" customFormat="1" ht="12" hidden="1" customHeight="1">
      <c r="A6383" s="426"/>
    </row>
    <row r="6384" spans="1:1" s="427" customFormat="1" ht="12" hidden="1" customHeight="1">
      <c r="A6384" s="426"/>
    </row>
    <row r="6385" spans="1:1" s="427" customFormat="1" ht="12" hidden="1" customHeight="1">
      <c r="A6385" s="426"/>
    </row>
    <row r="6386" spans="1:1" s="427" customFormat="1" ht="12" hidden="1" customHeight="1">
      <c r="A6386" s="426"/>
    </row>
    <row r="6387" spans="1:1" s="427" customFormat="1" ht="12" hidden="1" customHeight="1">
      <c r="A6387" s="426"/>
    </row>
    <row r="6388" spans="1:1" s="427" customFormat="1" ht="12" hidden="1" customHeight="1">
      <c r="A6388" s="426"/>
    </row>
    <row r="6389" spans="1:1" s="427" customFormat="1" ht="12" hidden="1" customHeight="1">
      <c r="A6389" s="426"/>
    </row>
    <row r="6390" spans="1:1" s="427" customFormat="1" ht="12" hidden="1" customHeight="1">
      <c r="A6390" s="426"/>
    </row>
    <row r="6391" spans="1:1" s="427" customFormat="1" ht="12" hidden="1" customHeight="1">
      <c r="A6391" s="426"/>
    </row>
    <row r="6392" spans="1:1" s="427" customFormat="1" ht="12" hidden="1" customHeight="1">
      <c r="A6392" s="426"/>
    </row>
    <row r="6393" spans="1:1" s="427" customFormat="1" ht="12" hidden="1" customHeight="1">
      <c r="A6393" s="426"/>
    </row>
    <row r="6394" spans="1:1" s="427" customFormat="1" ht="12" hidden="1" customHeight="1">
      <c r="A6394" s="426"/>
    </row>
    <row r="6395" spans="1:1" s="427" customFormat="1" ht="12" hidden="1" customHeight="1">
      <c r="A6395" s="426"/>
    </row>
    <row r="6396" spans="1:1" s="427" customFormat="1" ht="12" hidden="1" customHeight="1">
      <c r="A6396" s="426"/>
    </row>
    <row r="6397" spans="1:1" s="427" customFormat="1" ht="12" hidden="1" customHeight="1">
      <c r="A6397" s="426"/>
    </row>
    <row r="6398" spans="1:1" s="427" customFormat="1" ht="12" hidden="1" customHeight="1">
      <c r="A6398" s="426"/>
    </row>
    <row r="6399" spans="1:1" s="427" customFormat="1" ht="12" hidden="1" customHeight="1">
      <c r="A6399" s="426"/>
    </row>
    <row r="6400" spans="1:1" s="427" customFormat="1" ht="12" hidden="1" customHeight="1">
      <c r="A6400" s="426"/>
    </row>
    <row r="6401" spans="1:1" s="427" customFormat="1" ht="12" hidden="1" customHeight="1">
      <c r="A6401" s="426"/>
    </row>
    <row r="6402" spans="1:1" s="427" customFormat="1" ht="12" hidden="1" customHeight="1">
      <c r="A6402" s="426"/>
    </row>
    <row r="6403" spans="1:1" s="427" customFormat="1" ht="12" hidden="1" customHeight="1">
      <c r="A6403" s="426"/>
    </row>
    <row r="6404" spans="1:1" s="427" customFormat="1" ht="12" hidden="1" customHeight="1">
      <c r="A6404" s="426"/>
    </row>
    <row r="6405" spans="1:1" s="427" customFormat="1" ht="12" hidden="1" customHeight="1">
      <c r="A6405" s="426"/>
    </row>
    <row r="6406" spans="1:1" s="427" customFormat="1" ht="12" hidden="1" customHeight="1">
      <c r="A6406" s="426"/>
    </row>
    <row r="6407" spans="1:1" s="427" customFormat="1" ht="12" hidden="1" customHeight="1">
      <c r="A6407" s="426"/>
    </row>
    <row r="6408" spans="1:1" s="427" customFormat="1" ht="12" hidden="1" customHeight="1">
      <c r="A6408" s="426"/>
    </row>
    <row r="6409" spans="1:1" s="427" customFormat="1" ht="12" hidden="1" customHeight="1">
      <c r="A6409" s="426"/>
    </row>
    <row r="6410" spans="1:1" s="427" customFormat="1" ht="12" hidden="1" customHeight="1">
      <c r="A6410" s="426"/>
    </row>
    <row r="6411" spans="1:1" s="427" customFormat="1" ht="12" hidden="1" customHeight="1">
      <c r="A6411" s="426"/>
    </row>
    <row r="6412" spans="1:1" s="427" customFormat="1" ht="12" hidden="1" customHeight="1">
      <c r="A6412" s="426"/>
    </row>
    <row r="6413" spans="1:1" s="427" customFormat="1" ht="12" hidden="1" customHeight="1">
      <c r="A6413" s="426"/>
    </row>
    <row r="6414" spans="1:1" s="427" customFormat="1" ht="12" hidden="1" customHeight="1">
      <c r="A6414" s="426"/>
    </row>
    <row r="6415" spans="1:1" s="427" customFormat="1" ht="12" hidden="1" customHeight="1">
      <c r="A6415" s="426"/>
    </row>
    <row r="6416" spans="1:1" s="427" customFormat="1" ht="12" hidden="1" customHeight="1">
      <c r="A6416" s="426"/>
    </row>
    <row r="6417" spans="1:1" s="427" customFormat="1" ht="12" hidden="1" customHeight="1">
      <c r="A6417" s="426"/>
    </row>
    <row r="6418" spans="1:1" s="427" customFormat="1" ht="12" hidden="1" customHeight="1">
      <c r="A6418" s="426"/>
    </row>
    <row r="6419" spans="1:1" s="427" customFormat="1" ht="12" hidden="1" customHeight="1">
      <c r="A6419" s="426"/>
    </row>
    <row r="6420" spans="1:1" s="427" customFormat="1" ht="12" hidden="1" customHeight="1">
      <c r="A6420" s="426"/>
    </row>
    <row r="6421" spans="1:1" s="427" customFormat="1" ht="12" hidden="1" customHeight="1">
      <c r="A6421" s="426"/>
    </row>
    <row r="6422" spans="1:1" s="427" customFormat="1" ht="12" hidden="1" customHeight="1">
      <c r="A6422" s="426"/>
    </row>
    <row r="6423" spans="1:1" s="427" customFormat="1" ht="12" hidden="1" customHeight="1">
      <c r="A6423" s="426"/>
    </row>
    <row r="6424" spans="1:1" s="427" customFormat="1" ht="12" hidden="1" customHeight="1">
      <c r="A6424" s="426"/>
    </row>
    <row r="6425" spans="1:1" s="427" customFormat="1" ht="12" hidden="1" customHeight="1">
      <c r="A6425" s="426"/>
    </row>
    <row r="6426" spans="1:1" s="427" customFormat="1" ht="12" hidden="1" customHeight="1">
      <c r="A6426" s="426"/>
    </row>
    <row r="6427" spans="1:1" s="427" customFormat="1" ht="12" hidden="1" customHeight="1">
      <c r="A6427" s="426"/>
    </row>
    <row r="6428" spans="1:1" s="427" customFormat="1" ht="12" hidden="1" customHeight="1">
      <c r="A6428" s="426"/>
    </row>
    <row r="6429" spans="1:1" s="427" customFormat="1" ht="12" hidden="1" customHeight="1">
      <c r="A6429" s="426"/>
    </row>
    <row r="6430" spans="1:1" s="427" customFormat="1" ht="12" hidden="1" customHeight="1">
      <c r="A6430" s="426"/>
    </row>
    <row r="6431" spans="1:1" s="427" customFormat="1" ht="12" hidden="1" customHeight="1">
      <c r="A6431" s="426"/>
    </row>
    <row r="6432" spans="1:1" s="427" customFormat="1" ht="12" hidden="1" customHeight="1">
      <c r="A6432" s="426"/>
    </row>
    <row r="6433" spans="1:1" s="427" customFormat="1" ht="12" hidden="1" customHeight="1">
      <c r="A6433" s="426"/>
    </row>
    <row r="6434" spans="1:1" s="427" customFormat="1" ht="12" hidden="1" customHeight="1">
      <c r="A6434" s="426"/>
    </row>
    <row r="6435" spans="1:1" s="427" customFormat="1" ht="12" hidden="1" customHeight="1">
      <c r="A6435" s="426"/>
    </row>
    <row r="6436" spans="1:1" s="427" customFormat="1" ht="12" hidden="1" customHeight="1">
      <c r="A6436" s="426"/>
    </row>
    <row r="6437" spans="1:1" s="427" customFormat="1" ht="12" hidden="1" customHeight="1">
      <c r="A6437" s="426"/>
    </row>
    <row r="6438" spans="1:1" s="427" customFormat="1" ht="12" hidden="1" customHeight="1">
      <c r="A6438" s="426"/>
    </row>
    <row r="6439" spans="1:1" s="427" customFormat="1" ht="12" hidden="1" customHeight="1">
      <c r="A6439" s="426"/>
    </row>
    <row r="6440" spans="1:1" s="427" customFormat="1" ht="12" hidden="1" customHeight="1">
      <c r="A6440" s="426"/>
    </row>
    <row r="6441" spans="1:1" s="427" customFormat="1" ht="12" hidden="1" customHeight="1">
      <c r="A6441" s="426"/>
    </row>
    <row r="6442" spans="1:1" s="427" customFormat="1" ht="12" hidden="1" customHeight="1">
      <c r="A6442" s="426"/>
    </row>
    <row r="6443" spans="1:1" s="427" customFormat="1" ht="12" hidden="1" customHeight="1">
      <c r="A6443" s="426"/>
    </row>
    <row r="6444" spans="1:1" s="427" customFormat="1" ht="12" hidden="1" customHeight="1">
      <c r="A6444" s="426"/>
    </row>
    <row r="6445" spans="1:1" s="427" customFormat="1" ht="12" hidden="1" customHeight="1">
      <c r="A6445" s="426"/>
    </row>
    <row r="6446" spans="1:1" s="427" customFormat="1" ht="12" hidden="1" customHeight="1">
      <c r="A6446" s="426"/>
    </row>
    <row r="6447" spans="1:1" s="427" customFormat="1" ht="12" hidden="1" customHeight="1">
      <c r="A6447" s="426"/>
    </row>
    <row r="6448" spans="1:1" s="427" customFormat="1" ht="12" hidden="1" customHeight="1">
      <c r="A6448" s="426"/>
    </row>
    <row r="6449" spans="1:1" s="427" customFormat="1" ht="12" hidden="1" customHeight="1">
      <c r="A6449" s="426"/>
    </row>
    <row r="6450" spans="1:1" s="427" customFormat="1" ht="12" hidden="1" customHeight="1">
      <c r="A6450" s="426"/>
    </row>
    <row r="6451" spans="1:1" s="427" customFormat="1" ht="12" hidden="1" customHeight="1">
      <c r="A6451" s="426"/>
    </row>
    <row r="6452" spans="1:1" s="427" customFormat="1" ht="12" hidden="1" customHeight="1">
      <c r="A6452" s="426"/>
    </row>
    <row r="6453" spans="1:1" s="427" customFormat="1" ht="12" hidden="1" customHeight="1">
      <c r="A6453" s="426"/>
    </row>
    <row r="6454" spans="1:1" s="427" customFormat="1" ht="12" hidden="1" customHeight="1">
      <c r="A6454" s="426"/>
    </row>
    <row r="6455" spans="1:1" s="427" customFormat="1" ht="12" hidden="1" customHeight="1">
      <c r="A6455" s="426"/>
    </row>
    <row r="6456" spans="1:1" s="427" customFormat="1" ht="12" hidden="1" customHeight="1">
      <c r="A6456" s="426"/>
    </row>
    <row r="6457" spans="1:1" s="427" customFormat="1" ht="12" hidden="1" customHeight="1">
      <c r="A6457" s="426"/>
    </row>
    <row r="6458" spans="1:1" s="427" customFormat="1" ht="12" hidden="1" customHeight="1">
      <c r="A6458" s="426"/>
    </row>
    <row r="6459" spans="1:1" s="427" customFormat="1" ht="12" hidden="1" customHeight="1">
      <c r="A6459" s="426"/>
    </row>
    <row r="6460" spans="1:1" s="427" customFormat="1" ht="12" hidden="1" customHeight="1">
      <c r="A6460" s="426"/>
    </row>
    <row r="6461" spans="1:1" s="427" customFormat="1" ht="12" hidden="1" customHeight="1">
      <c r="A6461" s="426"/>
    </row>
    <row r="6462" spans="1:1" s="427" customFormat="1" ht="12" hidden="1" customHeight="1">
      <c r="A6462" s="426"/>
    </row>
    <row r="6463" spans="1:1" s="427" customFormat="1" ht="12" hidden="1" customHeight="1">
      <c r="A6463" s="426"/>
    </row>
    <row r="6464" spans="1:1" s="427" customFormat="1" ht="12" hidden="1" customHeight="1">
      <c r="A6464" s="426"/>
    </row>
    <row r="6465" spans="1:1" s="427" customFormat="1" ht="12" hidden="1" customHeight="1">
      <c r="A6465" s="426"/>
    </row>
    <row r="6466" spans="1:1" s="427" customFormat="1" ht="12" hidden="1" customHeight="1">
      <c r="A6466" s="426"/>
    </row>
    <row r="6467" spans="1:1" s="427" customFormat="1" ht="12" hidden="1" customHeight="1">
      <c r="A6467" s="426"/>
    </row>
    <row r="6468" spans="1:1" s="427" customFormat="1" ht="12" hidden="1" customHeight="1">
      <c r="A6468" s="426"/>
    </row>
    <row r="6469" spans="1:1" s="427" customFormat="1" ht="12" hidden="1" customHeight="1">
      <c r="A6469" s="426"/>
    </row>
    <row r="6470" spans="1:1" s="427" customFormat="1" ht="12" hidden="1" customHeight="1">
      <c r="A6470" s="426"/>
    </row>
    <row r="6471" spans="1:1" s="427" customFormat="1" ht="12" hidden="1" customHeight="1">
      <c r="A6471" s="426"/>
    </row>
    <row r="6472" spans="1:1" s="427" customFormat="1" ht="12" hidden="1" customHeight="1">
      <c r="A6472" s="426"/>
    </row>
    <row r="6473" spans="1:1" s="427" customFormat="1" ht="12" hidden="1" customHeight="1">
      <c r="A6473" s="426"/>
    </row>
    <row r="6474" spans="1:1" s="427" customFormat="1" ht="12" hidden="1" customHeight="1">
      <c r="A6474" s="426"/>
    </row>
    <row r="6475" spans="1:1" s="427" customFormat="1" ht="12" hidden="1" customHeight="1">
      <c r="A6475" s="426"/>
    </row>
    <row r="6476" spans="1:1" s="427" customFormat="1" ht="12" hidden="1" customHeight="1">
      <c r="A6476" s="426"/>
    </row>
    <row r="6477" spans="1:1" s="427" customFormat="1" ht="12" hidden="1" customHeight="1">
      <c r="A6477" s="426"/>
    </row>
    <row r="6478" spans="1:1" s="427" customFormat="1" ht="12" hidden="1" customHeight="1">
      <c r="A6478" s="426"/>
    </row>
    <row r="6479" spans="1:1" s="427" customFormat="1" ht="12" hidden="1" customHeight="1">
      <c r="A6479" s="426"/>
    </row>
    <row r="6480" spans="1:1" s="427" customFormat="1" ht="12" hidden="1" customHeight="1">
      <c r="A6480" s="426"/>
    </row>
    <row r="6481" spans="1:1" s="427" customFormat="1" ht="12" hidden="1" customHeight="1">
      <c r="A6481" s="426"/>
    </row>
    <row r="6482" spans="1:1" s="427" customFormat="1" ht="12" hidden="1" customHeight="1">
      <c r="A6482" s="426"/>
    </row>
    <row r="6483" spans="1:1" s="427" customFormat="1" ht="12" hidden="1" customHeight="1">
      <c r="A6483" s="426"/>
    </row>
    <row r="6484" spans="1:1" s="427" customFormat="1" ht="12" hidden="1" customHeight="1">
      <c r="A6484" s="426"/>
    </row>
    <row r="6485" spans="1:1" s="427" customFormat="1" ht="12" hidden="1" customHeight="1">
      <c r="A6485" s="426"/>
    </row>
    <row r="6486" spans="1:1" s="427" customFormat="1" ht="12" hidden="1" customHeight="1">
      <c r="A6486" s="426"/>
    </row>
    <row r="6487" spans="1:1" s="427" customFormat="1" ht="12" hidden="1" customHeight="1">
      <c r="A6487" s="426"/>
    </row>
    <row r="6488" spans="1:1" s="427" customFormat="1" ht="12" hidden="1" customHeight="1">
      <c r="A6488" s="426"/>
    </row>
    <row r="6489" spans="1:1" s="427" customFormat="1" ht="12" hidden="1" customHeight="1">
      <c r="A6489" s="426"/>
    </row>
    <row r="6490" spans="1:1" s="427" customFormat="1" ht="12" hidden="1" customHeight="1">
      <c r="A6490" s="426"/>
    </row>
    <row r="6491" spans="1:1" s="427" customFormat="1" ht="12" hidden="1" customHeight="1">
      <c r="A6491" s="426"/>
    </row>
    <row r="6492" spans="1:1" s="427" customFormat="1" ht="12" hidden="1" customHeight="1">
      <c r="A6492" s="426"/>
    </row>
    <row r="6493" spans="1:1" s="427" customFormat="1" ht="12" hidden="1" customHeight="1">
      <c r="A6493" s="426"/>
    </row>
    <row r="6494" spans="1:1" s="427" customFormat="1" ht="12" hidden="1" customHeight="1">
      <c r="A6494" s="426"/>
    </row>
    <row r="6495" spans="1:1" s="427" customFormat="1" ht="12" hidden="1" customHeight="1">
      <c r="A6495" s="426"/>
    </row>
    <row r="6496" spans="1:1" s="427" customFormat="1" ht="12" hidden="1" customHeight="1">
      <c r="A6496" s="426"/>
    </row>
    <row r="6497" spans="1:1" s="427" customFormat="1" ht="12" hidden="1" customHeight="1">
      <c r="A6497" s="426"/>
    </row>
    <row r="6498" spans="1:1" s="427" customFormat="1" ht="12" hidden="1" customHeight="1">
      <c r="A6498" s="426"/>
    </row>
    <row r="6499" spans="1:1" s="427" customFormat="1" ht="12" hidden="1" customHeight="1">
      <c r="A6499" s="426"/>
    </row>
    <row r="6500" spans="1:1" s="427" customFormat="1" ht="12" hidden="1" customHeight="1">
      <c r="A6500" s="426"/>
    </row>
    <row r="6501" spans="1:1" s="427" customFormat="1" ht="12" hidden="1" customHeight="1">
      <c r="A6501" s="426"/>
    </row>
    <row r="6502" spans="1:1" s="427" customFormat="1" ht="12" hidden="1" customHeight="1">
      <c r="A6502" s="426"/>
    </row>
    <row r="6503" spans="1:1" s="427" customFormat="1" ht="12" hidden="1" customHeight="1">
      <c r="A6503" s="426"/>
    </row>
    <row r="6504" spans="1:1" s="427" customFormat="1" ht="12" hidden="1" customHeight="1">
      <c r="A6504" s="426"/>
    </row>
    <row r="6505" spans="1:1" s="427" customFormat="1" ht="12" hidden="1" customHeight="1">
      <c r="A6505" s="426"/>
    </row>
    <row r="6506" spans="1:1" s="427" customFormat="1" ht="12" hidden="1" customHeight="1">
      <c r="A6506" s="426"/>
    </row>
    <row r="6507" spans="1:1" s="427" customFormat="1" ht="12" hidden="1" customHeight="1">
      <c r="A6507" s="426"/>
    </row>
    <row r="6508" spans="1:1" s="427" customFormat="1" ht="12" hidden="1" customHeight="1">
      <c r="A6508" s="426"/>
    </row>
    <row r="6509" spans="1:1" s="427" customFormat="1" ht="12" hidden="1" customHeight="1">
      <c r="A6509" s="426"/>
    </row>
    <row r="6510" spans="1:1" s="427" customFormat="1" ht="12" hidden="1" customHeight="1">
      <c r="A6510" s="426"/>
    </row>
    <row r="6511" spans="1:1" s="427" customFormat="1" ht="12" hidden="1" customHeight="1">
      <c r="A6511" s="426"/>
    </row>
    <row r="6512" spans="1:1" s="427" customFormat="1" ht="12" hidden="1" customHeight="1">
      <c r="A6512" s="426"/>
    </row>
    <row r="6513" spans="1:1" s="427" customFormat="1" ht="12" hidden="1" customHeight="1">
      <c r="A6513" s="426"/>
    </row>
    <row r="6514" spans="1:1" s="427" customFormat="1" ht="12" hidden="1" customHeight="1">
      <c r="A6514" s="426"/>
    </row>
    <row r="6515" spans="1:1" s="427" customFormat="1" ht="12" hidden="1" customHeight="1">
      <c r="A6515" s="426"/>
    </row>
    <row r="6516" spans="1:1" s="427" customFormat="1" ht="12" hidden="1" customHeight="1">
      <c r="A6516" s="426"/>
    </row>
    <row r="6517" spans="1:1" s="427" customFormat="1" ht="12" hidden="1" customHeight="1">
      <c r="A6517" s="426"/>
    </row>
    <row r="6518" spans="1:1" s="427" customFormat="1" ht="12" hidden="1" customHeight="1">
      <c r="A6518" s="426"/>
    </row>
    <row r="6519" spans="1:1" s="427" customFormat="1" ht="12" hidden="1" customHeight="1">
      <c r="A6519" s="426"/>
    </row>
    <row r="6520" spans="1:1" s="427" customFormat="1" ht="12" hidden="1" customHeight="1">
      <c r="A6520" s="426"/>
    </row>
    <row r="6521" spans="1:1" s="427" customFormat="1" ht="12" hidden="1" customHeight="1">
      <c r="A6521" s="426"/>
    </row>
    <row r="6522" spans="1:1" s="427" customFormat="1" ht="12" hidden="1" customHeight="1">
      <c r="A6522" s="426"/>
    </row>
    <row r="6523" spans="1:1" s="427" customFormat="1" ht="12" hidden="1" customHeight="1">
      <c r="A6523" s="426"/>
    </row>
    <row r="6524" spans="1:1" s="427" customFormat="1" ht="12" hidden="1" customHeight="1">
      <c r="A6524" s="426"/>
    </row>
    <row r="6525" spans="1:1" s="427" customFormat="1" ht="12" hidden="1" customHeight="1">
      <c r="A6525" s="426"/>
    </row>
    <row r="6526" spans="1:1" s="427" customFormat="1" ht="12" hidden="1" customHeight="1">
      <c r="A6526" s="426"/>
    </row>
    <row r="6527" spans="1:1" s="427" customFormat="1" ht="12" hidden="1" customHeight="1">
      <c r="A6527" s="426"/>
    </row>
    <row r="6528" spans="1:1" s="427" customFormat="1" ht="12" hidden="1" customHeight="1">
      <c r="A6528" s="426"/>
    </row>
    <row r="6529" spans="1:1" s="427" customFormat="1" ht="12" hidden="1" customHeight="1">
      <c r="A6529" s="426"/>
    </row>
    <row r="6530" spans="1:1" s="427" customFormat="1" ht="12" hidden="1" customHeight="1">
      <c r="A6530" s="426"/>
    </row>
    <row r="6531" spans="1:1" s="427" customFormat="1" ht="12" hidden="1" customHeight="1">
      <c r="A6531" s="426"/>
    </row>
    <row r="6532" spans="1:1" s="427" customFormat="1" ht="12" hidden="1" customHeight="1">
      <c r="A6532" s="426"/>
    </row>
    <row r="6533" spans="1:1" s="427" customFormat="1" ht="12" hidden="1" customHeight="1">
      <c r="A6533" s="426"/>
    </row>
    <row r="6534" spans="1:1" s="427" customFormat="1" ht="12" hidden="1" customHeight="1">
      <c r="A6534" s="426"/>
    </row>
    <row r="6535" spans="1:1" s="427" customFormat="1" ht="12" hidden="1" customHeight="1">
      <c r="A6535" s="426"/>
    </row>
    <row r="6536" spans="1:1" s="427" customFormat="1" ht="12" hidden="1" customHeight="1">
      <c r="A6536" s="426"/>
    </row>
    <row r="6537" spans="1:1" s="427" customFormat="1" ht="12" hidden="1" customHeight="1">
      <c r="A6537" s="426"/>
    </row>
    <row r="6538" spans="1:1" s="427" customFormat="1" ht="12" hidden="1" customHeight="1">
      <c r="A6538" s="426"/>
    </row>
    <row r="6539" spans="1:1" s="427" customFormat="1" ht="12" hidden="1" customHeight="1">
      <c r="A6539" s="426"/>
    </row>
    <row r="6540" spans="1:1" s="427" customFormat="1" ht="12" hidden="1" customHeight="1">
      <c r="A6540" s="426"/>
    </row>
    <row r="6541" spans="1:1" s="427" customFormat="1" ht="12" hidden="1" customHeight="1">
      <c r="A6541" s="426"/>
    </row>
    <row r="6542" spans="1:1" s="427" customFormat="1" ht="12" hidden="1" customHeight="1">
      <c r="A6542" s="426"/>
    </row>
    <row r="6543" spans="1:1" s="427" customFormat="1" ht="12" hidden="1" customHeight="1">
      <c r="A6543" s="426"/>
    </row>
    <row r="6544" spans="1:1" s="427" customFormat="1" ht="12" hidden="1" customHeight="1">
      <c r="A6544" s="426"/>
    </row>
    <row r="6545" spans="1:1" s="427" customFormat="1" ht="12" hidden="1" customHeight="1">
      <c r="A6545" s="426"/>
    </row>
    <row r="6546" spans="1:1" s="427" customFormat="1" ht="12" hidden="1" customHeight="1">
      <c r="A6546" s="426"/>
    </row>
    <row r="6547" spans="1:1" s="427" customFormat="1" ht="12" hidden="1" customHeight="1">
      <c r="A6547" s="426"/>
    </row>
    <row r="6548" spans="1:1" s="427" customFormat="1" ht="12" hidden="1" customHeight="1">
      <c r="A6548" s="426"/>
    </row>
    <row r="6549" spans="1:1" s="427" customFormat="1" ht="12" hidden="1" customHeight="1">
      <c r="A6549" s="426"/>
    </row>
    <row r="6550" spans="1:1" s="427" customFormat="1" ht="12" hidden="1" customHeight="1">
      <c r="A6550" s="426"/>
    </row>
    <row r="6551" spans="1:1" s="427" customFormat="1" ht="12" hidden="1" customHeight="1">
      <c r="A6551" s="426"/>
    </row>
    <row r="6552" spans="1:1" s="427" customFormat="1" ht="12" hidden="1" customHeight="1">
      <c r="A6552" s="426"/>
    </row>
    <row r="6553" spans="1:1" s="427" customFormat="1" ht="12" hidden="1" customHeight="1">
      <c r="A6553" s="426"/>
    </row>
    <row r="6554" spans="1:1" s="427" customFormat="1" ht="12" hidden="1" customHeight="1">
      <c r="A6554" s="426"/>
    </row>
    <row r="6555" spans="1:1" s="427" customFormat="1" ht="12" hidden="1" customHeight="1">
      <c r="A6555" s="426"/>
    </row>
    <row r="6556" spans="1:1" s="427" customFormat="1" ht="12" hidden="1" customHeight="1">
      <c r="A6556" s="426"/>
    </row>
    <row r="6557" spans="1:1" s="427" customFormat="1" ht="12" hidden="1" customHeight="1">
      <c r="A6557" s="426"/>
    </row>
    <row r="6558" spans="1:1" s="427" customFormat="1" ht="12" hidden="1" customHeight="1">
      <c r="A6558" s="426"/>
    </row>
    <row r="6559" spans="1:1" s="427" customFormat="1" ht="12" hidden="1" customHeight="1">
      <c r="A6559" s="426"/>
    </row>
    <row r="6560" spans="1:1" s="427" customFormat="1" ht="12" hidden="1" customHeight="1">
      <c r="A6560" s="426"/>
    </row>
    <row r="6561" spans="1:1" s="427" customFormat="1" ht="12" hidden="1" customHeight="1">
      <c r="A6561" s="426"/>
    </row>
    <row r="6562" spans="1:1" s="427" customFormat="1" ht="12" hidden="1" customHeight="1">
      <c r="A6562" s="426"/>
    </row>
    <row r="6563" spans="1:1" s="427" customFormat="1" ht="12" hidden="1" customHeight="1">
      <c r="A6563" s="426"/>
    </row>
    <row r="6564" spans="1:1" s="427" customFormat="1" ht="12" hidden="1" customHeight="1">
      <c r="A6564" s="426"/>
    </row>
    <row r="6565" spans="1:1" s="427" customFormat="1" ht="12" hidden="1" customHeight="1">
      <c r="A6565" s="426"/>
    </row>
    <row r="6566" spans="1:1" s="427" customFormat="1" ht="12" hidden="1" customHeight="1">
      <c r="A6566" s="426"/>
    </row>
    <row r="6567" spans="1:1" s="427" customFormat="1" ht="12" hidden="1" customHeight="1">
      <c r="A6567" s="426"/>
    </row>
    <row r="6568" spans="1:1" s="427" customFormat="1" ht="12" hidden="1" customHeight="1">
      <c r="A6568" s="426"/>
    </row>
    <row r="6569" spans="1:1" s="427" customFormat="1" ht="12" hidden="1" customHeight="1">
      <c r="A6569" s="426"/>
    </row>
    <row r="6570" spans="1:1" s="427" customFormat="1" ht="12" hidden="1" customHeight="1">
      <c r="A6570" s="426"/>
    </row>
    <row r="6571" spans="1:1" s="427" customFormat="1" ht="12" hidden="1" customHeight="1">
      <c r="A6571" s="426"/>
    </row>
    <row r="6572" spans="1:1" s="427" customFormat="1" ht="12" hidden="1" customHeight="1">
      <c r="A6572" s="426"/>
    </row>
    <row r="6573" spans="1:1" s="427" customFormat="1" ht="12" hidden="1" customHeight="1">
      <c r="A6573" s="426"/>
    </row>
    <row r="6574" spans="1:1" s="427" customFormat="1" ht="12" hidden="1" customHeight="1">
      <c r="A6574" s="426"/>
    </row>
    <row r="6575" spans="1:1" s="427" customFormat="1" ht="12" hidden="1" customHeight="1">
      <c r="A6575" s="426"/>
    </row>
    <row r="6576" spans="1:1" s="427" customFormat="1" ht="12" hidden="1" customHeight="1">
      <c r="A6576" s="426"/>
    </row>
    <row r="6577" spans="1:1" s="427" customFormat="1" ht="12" hidden="1" customHeight="1">
      <c r="A6577" s="426"/>
    </row>
    <row r="6578" spans="1:1" s="427" customFormat="1" ht="12" hidden="1" customHeight="1">
      <c r="A6578" s="426"/>
    </row>
    <row r="6579" spans="1:1" s="427" customFormat="1" ht="12" hidden="1" customHeight="1">
      <c r="A6579" s="426"/>
    </row>
    <row r="6580" spans="1:1" s="427" customFormat="1" ht="12" hidden="1" customHeight="1">
      <c r="A6580" s="426"/>
    </row>
    <row r="6581" spans="1:1" s="427" customFormat="1" ht="12" hidden="1" customHeight="1">
      <c r="A6581" s="426"/>
    </row>
    <row r="6582" spans="1:1" s="427" customFormat="1" ht="12" hidden="1" customHeight="1">
      <c r="A6582" s="426"/>
    </row>
    <row r="6583" spans="1:1" s="427" customFormat="1" ht="12" hidden="1" customHeight="1">
      <c r="A6583" s="426"/>
    </row>
    <row r="6584" spans="1:1" s="427" customFormat="1" ht="12" hidden="1" customHeight="1">
      <c r="A6584" s="426"/>
    </row>
    <row r="6585" spans="1:1" s="427" customFormat="1" ht="12" hidden="1" customHeight="1">
      <c r="A6585" s="426"/>
    </row>
    <row r="6586" spans="1:1" s="427" customFormat="1" ht="12" hidden="1" customHeight="1">
      <c r="A6586" s="426"/>
    </row>
    <row r="6587" spans="1:1" s="427" customFormat="1" ht="12" hidden="1" customHeight="1">
      <c r="A6587" s="426"/>
    </row>
    <row r="6588" spans="1:1" s="427" customFormat="1" ht="12" hidden="1" customHeight="1">
      <c r="A6588" s="426"/>
    </row>
    <row r="6589" spans="1:1" s="427" customFormat="1" ht="12" hidden="1" customHeight="1">
      <c r="A6589" s="426"/>
    </row>
    <row r="6590" spans="1:1" s="427" customFormat="1" ht="12" hidden="1" customHeight="1">
      <c r="A6590" s="426"/>
    </row>
    <row r="6591" spans="1:1" s="427" customFormat="1" ht="12" hidden="1" customHeight="1">
      <c r="A6591" s="426"/>
    </row>
    <row r="6592" spans="1:1" s="427" customFormat="1" ht="12" hidden="1" customHeight="1">
      <c r="A6592" s="426"/>
    </row>
    <row r="6593" spans="1:1" s="427" customFormat="1" ht="12" hidden="1" customHeight="1">
      <c r="A6593" s="426"/>
    </row>
    <row r="6594" spans="1:1" s="427" customFormat="1" ht="12" hidden="1" customHeight="1">
      <c r="A6594" s="426"/>
    </row>
    <row r="6595" spans="1:1" s="427" customFormat="1" ht="12" hidden="1" customHeight="1">
      <c r="A6595" s="426"/>
    </row>
    <row r="6596" spans="1:1" s="427" customFormat="1" ht="12" hidden="1" customHeight="1">
      <c r="A6596" s="426"/>
    </row>
    <row r="6597" spans="1:1" s="427" customFormat="1" ht="12" hidden="1" customHeight="1">
      <c r="A6597" s="426"/>
    </row>
    <row r="6598" spans="1:1" s="427" customFormat="1" ht="12" hidden="1" customHeight="1">
      <c r="A6598" s="426"/>
    </row>
    <row r="6599" spans="1:1" s="427" customFormat="1" ht="12" hidden="1" customHeight="1">
      <c r="A6599" s="426"/>
    </row>
    <row r="6600" spans="1:1" s="427" customFormat="1" ht="12" hidden="1" customHeight="1">
      <c r="A6600" s="426"/>
    </row>
    <row r="6601" spans="1:1" s="427" customFormat="1" ht="12" hidden="1" customHeight="1">
      <c r="A6601" s="426"/>
    </row>
    <row r="6602" spans="1:1" s="427" customFormat="1" ht="12" hidden="1" customHeight="1">
      <c r="A6602" s="426"/>
    </row>
    <row r="6603" spans="1:1" s="427" customFormat="1" ht="12" hidden="1" customHeight="1">
      <c r="A6603" s="426"/>
    </row>
    <row r="6604" spans="1:1" s="427" customFormat="1" ht="12" hidden="1" customHeight="1">
      <c r="A6604" s="426"/>
    </row>
    <row r="6605" spans="1:1" s="427" customFormat="1" ht="12" hidden="1" customHeight="1">
      <c r="A6605" s="426"/>
    </row>
    <row r="6606" spans="1:1" s="427" customFormat="1" ht="12" hidden="1" customHeight="1">
      <c r="A6606" s="426"/>
    </row>
    <row r="6607" spans="1:1" s="427" customFormat="1" ht="12" hidden="1" customHeight="1">
      <c r="A6607" s="426"/>
    </row>
    <row r="6608" spans="1:1" s="427" customFormat="1" ht="12" hidden="1" customHeight="1">
      <c r="A6608" s="426"/>
    </row>
    <row r="6609" spans="1:1" s="427" customFormat="1" ht="12" hidden="1" customHeight="1">
      <c r="A6609" s="426"/>
    </row>
    <row r="6610" spans="1:1" s="427" customFormat="1" ht="12" hidden="1" customHeight="1">
      <c r="A6610" s="426"/>
    </row>
    <row r="6611" spans="1:1" s="427" customFormat="1" ht="12" hidden="1" customHeight="1">
      <c r="A6611" s="426"/>
    </row>
    <row r="6612" spans="1:1" s="427" customFormat="1" ht="12" hidden="1" customHeight="1">
      <c r="A6612" s="426"/>
    </row>
    <row r="6613" spans="1:1" s="427" customFormat="1" ht="12" hidden="1" customHeight="1">
      <c r="A6613" s="426"/>
    </row>
    <row r="6614" spans="1:1" s="427" customFormat="1" ht="12" hidden="1" customHeight="1">
      <c r="A6614" s="426"/>
    </row>
    <row r="6615" spans="1:1" s="427" customFormat="1" ht="12" hidden="1" customHeight="1">
      <c r="A6615" s="426"/>
    </row>
    <row r="6616" spans="1:1" s="427" customFormat="1" ht="12" hidden="1" customHeight="1">
      <c r="A6616" s="426"/>
    </row>
    <row r="6617" spans="1:1" s="427" customFormat="1" ht="12" hidden="1" customHeight="1">
      <c r="A6617" s="426"/>
    </row>
    <row r="6618" spans="1:1" s="427" customFormat="1" ht="12" hidden="1" customHeight="1">
      <c r="A6618" s="426"/>
    </row>
    <row r="6619" spans="1:1" s="427" customFormat="1" ht="12" hidden="1" customHeight="1">
      <c r="A6619" s="426"/>
    </row>
    <row r="6620" spans="1:1" s="427" customFormat="1" ht="12" hidden="1" customHeight="1">
      <c r="A6620" s="426"/>
    </row>
    <row r="6621" spans="1:1" s="427" customFormat="1" ht="12" hidden="1" customHeight="1">
      <c r="A6621" s="426"/>
    </row>
    <row r="6622" spans="1:1" s="427" customFormat="1" ht="12" hidden="1" customHeight="1">
      <c r="A6622" s="426"/>
    </row>
    <row r="6623" spans="1:1" s="427" customFormat="1" ht="12" hidden="1" customHeight="1">
      <c r="A6623" s="426"/>
    </row>
    <row r="6624" spans="1:1" s="427" customFormat="1" ht="12" hidden="1" customHeight="1">
      <c r="A6624" s="426"/>
    </row>
    <row r="6625" spans="1:1" s="427" customFormat="1" ht="12" hidden="1" customHeight="1">
      <c r="A6625" s="426"/>
    </row>
    <row r="6626" spans="1:1" s="427" customFormat="1" ht="12" hidden="1" customHeight="1">
      <c r="A6626" s="426"/>
    </row>
    <row r="6627" spans="1:1" s="427" customFormat="1" ht="12" hidden="1" customHeight="1">
      <c r="A6627" s="426"/>
    </row>
    <row r="6628" spans="1:1" s="427" customFormat="1" ht="12" hidden="1" customHeight="1">
      <c r="A6628" s="426"/>
    </row>
    <row r="6629" spans="1:1" s="427" customFormat="1" ht="12" hidden="1" customHeight="1">
      <c r="A6629" s="426"/>
    </row>
    <row r="6630" spans="1:1" s="427" customFormat="1" ht="12" hidden="1" customHeight="1">
      <c r="A6630" s="426"/>
    </row>
    <row r="6631" spans="1:1" s="427" customFormat="1" ht="12" hidden="1" customHeight="1">
      <c r="A6631" s="426"/>
    </row>
    <row r="6632" spans="1:1" s="427" customFormat="1" ht="12" hidden="1" customHeight="1">
      <c r="A6632" s="426"/>
    </row>
    <row r="6633" spans="1:1" s="427" customFormat="1" ht="12" hidden="1" customHeight="1">
      <c r="A6633" s="426"/>
    </row>
    <row r="6634" spans="1:1" s="427" customFormat="1" ht="12" hidden="1" customHeight="1">
      <c r="A6634" s="426"/>
    </row>
    <row r="6635" spans="1:1" s="427" customFormat="1" ht="12" hidden="1" customHeight="1">
      <c r="A6635" s="426"/>
    </row>
    <row r="6636" spans="1:1" s="427" customFormat="1" ht="12" hidden="1" customHeight="1">
      <c r="A6636" s="426"/>
    </row>
    <row r="6637" spans="1:1" s="427" customFormat="1" ht="12" hidden="1" customHeight="1">
      <c r="A6637" s="426"/>
    </row>
    <row r="6638" spans="1:1" s="427" customFormat="1" ht="12" hidden="1" customHeight="1">
      <c r="A6638" s="426"/>
    </row>
    <row r="6639" spans="1:1" s="427" customFormat="1" ht="12" hidden="1" customHeight="1">
      <c r="A6639" s="426"/>
    </row>
    <row r="6640" spans="1:1" s="427" customFormat="1" ht="12" hidden="1" customHeight="1">
      <c r="A6640" s="426"/>
    </row>
    <row r="6641" spans="1:1" s="427" customFormat="1" ht="12" hidden="1" customHeight="1">
      <c r="A6641" s="426"/>
    </row>
    <row r="6642" spans="1:1" s="427" customFormat="1" ht="12" hidden="1" customHeight="1">
      <c r="A6642" s="426"/>
    </row>
    <row r="6643" spans="1:1" s="427" customFormat="1" ht="12" hidden="1" customHeight="1">
      <c r="A6643" s="426"/>
    </row>
    <row r="6644" spans="1:1" s="427" customFormat="1" ht="12" hidden="1" customHeight="1">
      <c r="A6644" s="426"/>
    </row>
    <row r="6645" spans="1:1" s="427" customFormat="1" ht="12" hidden="1" customHeight="1">
      <c r="A6645" s="426"/>
    </row>
    <row r="6646" spans="1:1" s="427" customFormat="1" ht="12" hidden="1" customHeight="1">
      <c r="A6646" s="426"/>
    </row>
    <row r="6647" spans="1:1" s="427" customFormat="1" ht="12" hidden="1" customHeight="1">
      <c r="A6647" s="426"/>
    </row>
    <row r="6648" spans="1:1" s="427" customFormat="1" ht="12" hidden="1" customHeight="1">
      <c r="A6648" s="426"/>
    </row>
    <row r="6649" spans="1:1" s="427" customFormat="1" ht="12" hidden="1" customHeight="1">
      <c r="A6649" s="426"/>
    </row>
    <row r="6650" spans="1:1" s="427" customFormat="1" ht="12" hidden="1" customHeight="1">
      <c r="A6650" s="426"/>
    </row>
    <row r="6651" spans="1:1" s="427" customFormat="1" ht="12" hidden="1" customHeight="1">
      <c r="A6651" s="426"/>
    </row>
    <row r="6652" spans="1:1" s="427" customFormat="1" ht="12" hidden="1" customHeight="1">
      <c r="A6652" s="426"/>
    </row>
    <row r="6653" spans="1:1" s="427" customFormat="1" ht="12" hidden="1" customHeight="1">
      <c r="A6653" s="426"/>
    </row>
    <row r="6654" spans="1:1" s="427" customFormat="1" ht="12" hidden="1" customHeight="1">
      <c r="A6654" s="426"/>
    </row>
    <row r="6655" spans="1:1" s="427" customFormat="1" ht="12" hidden="1" customHeight="1">
      <c r="A6655" s="426"/>
    </row>
    <row r="6656" spans="1:1" s="427" customFormat="1" ht="12" hidden="1" customHeight="1">
      <c r="A6656" s="426"/>
    </row>
    <row r="6657" spans="1:1" s="427" customFormat="1" ht="12" hidden="1" customHeight="1">
      <c r="A6657" s="426"/>
    </row>
    <row r="6658" spans="1:1" s="427" customFormat="1" ht="12" hidden="1" customHeight="1">
      <c r="A6658" s="426"/>
    </row>
    <row r="6659" spans="1:1" s="427" customFormat="1" ht="12" hidden="1" customHeight="1">
      <c r="A6659" s="426"/>
    </row>
    <row r="6660" spans="1:1" s="427" customFormat="1" ht="12" hidden="1" customHeight="1">
      <c r="A6660" s="426"/>
    </row>
    <row r="6661" spans="1:1" s="427" customFormat="1" ht="12" hidden="1" customHeight="1">
      <c r="A6661" s="426"/>
    </row>
    <row r="6662" spans="1:1" s="427" customFormat="1" ht="12" hidden="1" customHeight="1">
      <c r="A6662" s="426"/>
    </row>
    <row r="6663" spans="1:1" s="427" customFormat="1" ht="12" hidden="1" customHeight="1">
      <c r="A6663" s="426"/>
    </row>
    <row r="6664" spans="1:1" s="427" customFormat="1" ht="12" hidden="1" customHeight="1">
      <c r="A6664" s="426"/>
    </row>
    <row r="6665" spans="1:1" s="427" customFormat="1" ht="12" hidden="1" customHeight="1">
      <c r="A6665" s="426"/>
    </row>
    <row r="6666" spans="1:1" s="427" customFormat="1" ht="12" hidden="1" customHeight="1">
      <c r="A6666" s="426"/>
    </row>
    <row r="6667" spans="1:1" s="427" customFormat="1" ht="12" hidden="1" customHeight="1">
      <c r="A6667" s="426"/>
    </row>
    <row r="6668" spans="1:1" s="427" customFormat="1" ht="12" hidden="1" customHeight="1">
      <c r="A6668" s="426"/>
    </row>
    <row r="6669" spans="1:1" s="427" customFormat="1" ht="12" hidden="1" customHeight="1">
      <c r="A6669" s="426"/>
    </row>
    <row r="6670" spans="1:1" s="427" customFormat="1" ht="12" hidden="1" customHeight="1">
      <c r="A6670" s="426"/>
    </row>
    <row r="6671" spans="1:1" s="427" customFormat="1" ht="12" hidden="1" customHeight="1">
      <c r="A6671" s="426"/>
    </row>
    <row r="6672" spans="1:1" s="427" customFormat="1" ht="12" hidden="1" customHeight="1">
      <c r="A6672" s="426"/>
    </row>
    <row r="6673" spans="1:1" s="427" customFormat="1" ht="12" hidden="1" customHeight="1">
      <c r="A6673" s="426"/>
    </row>
    <row r="6674" spans="1:1" s="427" customFormat="1" ht="12" hidden="1" customHeight="1">
      <c r="A6674" s="426"/>
    </row>
    <row r="6675" spans="1:1" s="427" customFormat="1" ht="12" hidden="1" customHeight="1">
      <c r="A6675" s="426"/>
    </row>
    <row r="6676" spans="1:1" s="427" customFormat="1" ht="12" hidden="1" customHeight="1">
      <c r="A6676" s="426"/>
    </row>
    <row r="6677" spans="1:1" s="427" customFormat="1" ht="12" hidden="1" customHeight="1">
      <c r="A6677" s="426"/>
    </row>
    <row r="6678" spans="1:1" s="427" customFormat="1" ht="12" hidden="1" customHeight="1">
      <c r="A6678" s="426"/>
    </row>
    <row r="6679" spans="1:1" s="427" customFormat="1" ht="12" hidden="1" customHeight="1">
      <c r="A6679" s="426"/>
    </row>
    <row r="6680" spans="1:1" s="427" customFormat="1" ht="12" hidden="1" customHeight="1">
      <c r="A6680" s="426"/>
    </row>
    <row r="6681" spans="1:1" s="427" customFormat="1" ht="12" hidden="1" customHeight="1">
      <c r="A6681" s="426"/>
    </row>
    <row r="6682" spans="1:1" s="427" customFormat="1" ht="12" hidden="1" customHeight="1">
      <c r="A6682" s="426"/>
    </row>
    <row r="6683" spans="1:1" s="427" customFormat="1" ht="12" hidden="1" customHeight="1">
      <c r="A6683" s="426"/>
    </row>
    <row r="6684" spans="1:1" s="427" customFormat="1" ht="12" hidden="1" customHeight="1">
      <c r="A6684" s="426"/>
    </row>
    <row r="6685" spans="1:1" s="427" customFormat="1" ht="12" hidden="1" customHeight="1">
      <c r="A6685" s="426"/>
    </row>
    <row r="6686" spans="1:1" s="427" customFormat="1" ht="12" hidden="1" customHeight="1">
      <c r="A6686" s="426"/>
    </row>
    <row r="6687" spans="1:1" s="427" customFormat="1" ht="12" hidden="1" customHeight="1">
      <c r="A6687" s="426"/>
    </row>
    <row r="6688" spans="1:1" s="427" customFormat="1" ht="12" hidden="1" customHeight="1">
      <c r="A6688" s="426"/>
    </row>
    <row r="6689" spans="1:1" s="427" customFormat="1" ht="12" hidden="1" customHeight="1">
      <c r="A6689" s="426"/>
    </row>
    <row r="6690" spans="1:1" s="427" customFormat="1" ht="12" hidden="1" customHeight="1">
      <c r="A6690" s="426"/>
    </row>
    <row r="6691" spans="1:1" s="427" customFormat="1" ht="12" hidden="1" customHeight="1">
      <c r="A6691" s="426"/>
    </row>
    <row r="6692" spans="1:1" s="427" customFormat="1" ht="12" hidden="1" customHeight="1">
      <c r="A6692" s="426"/>
    </row>
    <row r="6693" spans="1:1" s="427" customFormat="1" ht="12" hidden="1" customHeight="1">
      <c r="A6693" s="426"/>
    </row>
    <row r="6694" spans="1:1" s="427" customFormat="1" ht="12" hidden="1" customHeight="1">
      <c r="A6694" s="426"/>
    </row>
    <row r="6695" spans="1:1" s="427" customFormat="1" ht="12" hidden="1" customHeight="1">
      <c r="A6695" s="426"/>
    </row>
    <row r="6696" spans="1:1" s="427" customFormat="1" ht="12" hidden="1" customHeight="1">
      <c r="A6696" s="426"/>
    </row>
    <row r="6697" spans="1:1" s="427" customFormat="1" ht="12" hidden="1" customHeight="1">
      <c r="A6697" s="426"/>
    </row>
    <row r="6698" spans="1:1" s="427" customFormat="1" ht="12" hidden="1" customHeight="1">
      <c r="A6698" s="426"/>
    </row>
    <row r="6699" spans="1:1" s="427" customFormat="1" ht="12" hidden="1" customHeight="1">
      <c r="A6699" s="426"/>
    </row>
    <row r="6700" spans="1:1" s="427" customFormat="1" ht="12" hidden="1" customHeight="1">
      <c r="A6700" s="426"/>
    </row>
    <row r="6701" spans="1:1" s="427" customFormat="1" ht="12" hidden="1" customHeight="1">
      <c r="A6701" s="426"/>
    </row>
    <row r="6702" spans="1:1" s="427" customFormat="1" ht="12" hidden="1" customHeight="1">
      <c r="A6702" s="426"/>
    </row>
    <row r="6703" spans="1:1" s="427" customFormat="1" ht="12" hidden="1" customHeight="1">
      <c r="A6703" s="426"/>
    </row>
    <row r="6704" spans="1:1" s="427" customFormat="1" ht="12" hidden="1" customHeight="1">
      <c r="A6704" s="426"/>
    </row>
    <row r="6705" spans="1:1" s="427" customFormat="1" ht="12" hidden="1" customHeight="1">
      <c r="A6705" s="426"/>
    </row>
    <row r="6706" spans="1:1" s="427" customFormat="1" ht="12" hidden="1" customHeight="1">
      <c r="A6706" s="426"/>
    </row>
    <row r="6707" spans="1:1" s="427" customFormat="1" ht="12" hidden="1" customHeight="1">
      <c r="A6707" s="426"/>
    </row>
    <row r="6708" spans="1:1" s="427" customFormat="1" ht="12" hidden="1" customHeight="1">
      <c r="A6708" s="426"/>
    </row>
    <row r="6709" spans="1:1" s="427" customFormat="1" ht="12" hidden="1" customHeight="1">
      <c r="A6709" s="426"/>
    </row>
    <row r="6710" spans="1:1" s="427" customFormat="1" ht="12" hidden="1" customHeight="1">
      <c r="A6710" s="426"/>
    </row>
    <row r="6711" spans="1:1" s="427" customFormat="1" ht="12" hidden="1" customHeight="1">
      <c r="A6711" s="426"/>
    </row>
    <row r="6712" spans="1:1" s="427" customFormat="1" ht="12" hidden="1" customHeight="1">
      <c r="A6712" s="426"/>
    </row>
    <row r="6713" spans="1:1" s="427" customFormat="1" ht="12" hidden="1" customHeight="1">
      <c r="A6713" s="426"/>
    </row>
    <row r="6714" spans="1:1" s="427" customFormat="1" ht="12" hidden="1" customHeight="1">
      <c r="A6714" s="426"/>
    </row>
    <row r="6715" spans="1:1" s="427" customFormat="1" ht="12" hidden="1" customHeight="1">
      <c r="A6715" s="426"/>
    </row>
    <row r="6716" spans="1:1" s="427" customFormat="1" ht="12" hidden="1" customHeight="1">
      <c r="A6716" s="426"/>
    </row>
    <row r="6717" spans="1:1" s="427" customFormat="1" ht="12" hidden="1" customHeight="1">
      <c r="A6717" s="426"/>
    </row>
    <row r="6718" spans="1:1" s="427" customFormat="1" ht="12" hidden="1" customHeight="1">
      <c r="A6718" s="426"/>
    </row>
    <row r="6719" spans="1:1" s="427" customFormat="1" ht="12" hidden="1" customHeight="1">
      <c r="A6719" s="426"/>
    </row>
    <row r="6720" spans="1:1" s="427" customFormat="1" ht="12" hidden="1" customHeight="1">
      <c r="A6720" s="426"/>
    </row>
    <row r="6721" spans="1:1" s="427" customFormat="1" ht="12" hidden="1" customHeight="1">
      <c r="A6721" s="426"/>
    </row>
    <row r="6722" spans="1:1" s="427" customFormat="1" ht="12" hidden="1" customHeight="1">
      <c r="A6722" s="426"/>
    </row>
    <row r="6723" spans="1:1" s="427" customFormat="1" ht="12" hidden="1" customHeight="1">
      <c r="A6723" s="426"/>
    </row>
    <row r="6724" spans="1:1" s="427" customFormat="1" ht="12" hidden="1" customHeight="1">
      <c r="A6724" s="426"/>
    </row>
    <row r="6725" spans="1:1" s="427" customFormat="1" ht="12" hidden="1" customHeight="1">
      <c r="A6725" s="426"/>
    </row>
    <row r="6726" spans="1:1" s="427" customFormat="1" ht="12" hidden="1" customHeight="1">
      <c r="A6726" s="426"/>
    </row>
    <row r="6727" spans="1:1" s="427" customFormat="1" ht="12" hidden="1" customHeight="1">
      <c r="A6727" s="426"/>
    </row>
    <row r="6728" spans="1:1" s="427" customFormat="1" ht="12" hidden="1" customHeight="1">
      <c r="A6728" s="426"/>
    </row>
    <row r="6729" spans="1:1" s="427" customFormat="1" ht="12" hidden="1" customHeight="1">
      <c r="A6729" s="426"/>
    </row>
    <row r="6730" spans="1:1" s="427" customFormat="1" ht="12" hidden="1" customHeight="1">
      <c r="A6730" s="426"/>
    </row>
    <row r="6731" spans="1:1" s="427" customFormat="1" ht="12" hidden="1" customHeight="1">
      <c r="A6731" s="426"/>
    </row>
    <row r="6732" spans="1:1" s="427" customFormat="1" ht="12" hidden="1" customHeight="1">
      <c r="A6732" s="426"/>
    </row>
    <row r="6733" spans="1:1" s="427" customFormat="1" ht="12" hidden="1" customHeight="1">
      <c r="A6733" s="426"/>
    </row>
    <row r="6734" spans="1:1" s="427" customFormat="1" ht="12" hidden="1" customHeight="1">
      <c r="A6734" s="426"/>
    </row>
    <row r="6735" spans="1:1" s="427" customFormat="1" ht="12" hidden="1" customHeight="1">
      <c r="A6735" s="426"/>
    </row>
    <row r="6736" spans="1:1" s="427" customFormat="1" ht="12" hidden="1" customHeight="1">
      <c r="A6736" s="426"/>
    </row>
    <row r="6737" spans="1:1" s="427" customFormat="1" ht="12" hidden="1" customHeight="1">
      <c r="A6737" s="426"/>
    </row>
    <row r="6738" spans="1:1" s="427" customFormat="1" ht="12" hidden="1" customHeight="1">
      <c r="A6738" s="426"/>
    </row>
    <row r="6739" spans="1:1" s="427" customFormat="1" ht="12" hidden="1" customHeight="1">
      <c r="A6739" s="426"/>
    </row>
    <row r="6740" spans="1:1" s="427" customFormat="1" ht="12" hidden="1" customHeight="1">
      <c r="A6740" s="426"/>
    </row>
    <row r="6741" spans="1:1" s="427" customFormat="1" ht="12" hidden="1" customHeight="1">
      <c r="A6741" s="426"/>
    </row>
    <row r="6742" spans="1:1" s="427" customFormat="1" ht="12" hidden="1" customHeight="1">
      <c r="A6742" s="426"/>
    </row>
    <row r="6743" spans="1:1" s="427" customFormat="1" ht="12" hidden="1" customHeight="1">
      <c r="A6743" s="426"/>
    </row>
    <row r="6744" spans="1:1" s="427" customFormat="1" ht="12" hidden="1" customHeight="1">
      <c r="A6744" s="426"/>
    </row>
    <row r="6745" spans="1:1" s="427" customFormat="1" ht="12" hidden="1" customHeight="1">
      <c r="A6745" s="426"/>
    </row>
    <row r="6746" spans="1:1" s="427" customFormat="1" ht="12" hidden="1" customHeight="1">
      <c r="A6746" s="426"/>
    </row>
    <row r="6747" spans="1:1" s="427" customFormat="1" ht="12" hidden="1" customHeight="1">
      <c r="A6747" s="426"/>
    </row>
    <row r="6748" spans="1:1" s="427" customFormat="1" ht="12" hidden="1" customHeight="1">
      <c r="A6748" s="426"/>
    </row>
    <row r="6749" spans="1:1" s="427" customFormat="1" ht="12" hidden="1" customHeight="1">
      <c r="A6749" s="426"/>
    </row>
    <row r="6750" spans="1:1" s="427" customFormat="1" ht="12" hidden="1" customHeight="1">
      <c r="A6750" s="426"/>
    </row>
    <row r="6751" spans="1:1" s="427" customFormat="1" ht="12" hidden="1" customHeight="1">
      <c r="A6751" s="426"/>
    </row>
    <row r="6752" spans="1:1" s="427" customFormat="1" ht="12" hidden="1" customHeight="1">
      <c r="A6752" s="426"/>
    </row>
    <row r="6753" spans="1:1" s="427" customFormat="1" ht="12" hidden="1" customHeight="1">
      <c r="A6753" s="426"/>
    </row>
    <row r="6754" spans="1:1" s="427" customFormat="1" ht="12" hidden="1" customHeight="1">
      <c r="A6754" s="426"/>
    </row>
    <row r="6755" spans="1:1" s="427" customFormat="1" ht="12" hidden="1" customHeight="1">
      <c r="A6755" s="426"/>
    </row>
    <row r="6756" spans="1:1" s="427" customFormat="1" ht="12" hidden="1" customHeight="1">
      <c r="A6756" s="426"/>
    </row>
    <row r="6757" spans="1:1" s="427" customFormat="1" ht="12" hidden="1" customHeight="1">
      <c r="A6757" s="426"/>
    </row>
    <row r="6758" spans="1:1" s="427" customFormat="1" ht="12" hidden="1" customHeight="1">
      <c r="A6758" s="426"/>
    </row>
    <row r="6759" spans="1:1" s="427" customFormat="1" ht="12" hidden="1" customHeight="1">
      <c r="A6759" s="426"/>
    </row>
    <row r="6760" spans="1:1" s="427" customFormat="1" ht="12" hidden="1" customHeight="1">
      <c r="A6760" s="426"/>
    </row>
    <row r="6761" spans="1:1" s="427" customFormat="1" ht="12" hidden="1" customHeight="1">
      <c r="A6761" s="426"/>
    </row>
    <row r="6762" spans="1:1" s="427" customFormat="1" ht="12" hidden="1" customHeight="1">
      <c r="A6762" s="426"/>
    </row>
    <row r="6763" spans="1:1" s="427" customFormat="1" ht="12" hidden="1" customHeight="1">
      <c r="A6763" s="426"/>
    </row>
    <row r="6764" spans="1:1" s="427" customFormat="1" ht="12" hidden="1" customHeight="1">
      <c r="A6764" s="426"/>
    </row>
    <row r="6765" spans="1:1" s="427" customFormat="1" ht="12" hidden="1" customHeight="1">
      <c r="A6765" s="426"/>
    </row>
    <row r="6766" spans="1:1" s="427" customFormat="1" ht="12" hidden="1" customHeight="1">
      <c r="A6766" s="426"/>
    </row>
    <row r="6767" spans="1:1" s="427" customFormat="1" ht="12" hidden="1" customHeight="1">
      <c r="A6767" s="426"/>
    </row>
    <row r="6768" spans="1:1" s="427" customFormat="1" ht="12" hidden="1" customHeight="1">
      <c r="A6768" s="426"/>
    </row>
    <row r="6769" spans="1:1" s="427" customFormat="1" ht="12" hidden="1" customHeight="1">
      <c r="A6769" s="426"/>
    </row>
    <row r="6770" spans="1:1" s="427" customFormat="1" ht="12" hidden="1" customHeight="1">
      <c r="A6770" s="426"/>
    </row>
    <row r="6771" spans="1:1" s="427" customFormat="1" ht="12" hidden="1" customHeight="1">
      <c r="A6771" s="426"/>
    </row>
    <row r="6772" spans="1:1" s="427" customFormat="1" ht="12" hidden="1" customHeight="1">
      <c r="A6772" s="426"/>
    </row>
    <row r="6773" spans="1:1" s="427" customFormat="1" ht="12" hidden="1" customHeight="1">
      <c r="A6773" s="426"/>
    </row>
    <row r="6774" spans="1:1" s="427" customFormat="1" ht="12" hidden="1" customHeight="1">
      <c r="A6774" s="426"/>
    </row>
    <row r="6775" spans="1:1" s="427" customFormat="1" ht="12" hidden="1" customHeight="1">
      <c r="A6775" s="426"/>
    </row>
    <row r="6776" spans="1:1" s="427" customFormat="1" ht="12" hidden="1" customHeight="1">
      <c r="A6776" s="426"/>
    </row>
    <row r="6777" spans="1:1" s="427" customFormat="1" ht="12" hidden="1" customHeight="1">
      <c r="A6777" s="426"/>
    </row>
    <row r="6778" spans="1:1" s="427" customFormat="1" ht="12" hidden="1" customHeight="1">
      <c r="A6778" s="426"/>
    </row>
    <row r="6779" spans="1:1" s="427" customFormat="1" ht="12" hidden="1" customHeight="1">
      <c r="A6779" s="426"/>
    </row>
    <row r="6780" spans="1:1" s="427" customFormat="1" ht="12" hidden="1" customHeight="1">
      <c r="A6780" s="426"/>
    </row>
    <row r="6781" spans="1:1" s="427" customFormat="1" ht="12" hidden="1" customHeight="1">
      <c r="A6781" s="426"/>
    </row>
    <row r="6782" spans="1:1" s="427" customFormat="1" ht="12" hidden="1" customHeight="1">
      <c r="A6782" s="426"/>
    </row>
    <row r="6783" spans="1:1" s="427" customFormat="1" ht="12" hidden="1" customHeight="1">
      <c r="A6783" s="426"/>
    </row>
    <row r="6784" spans="1:1" s="427" customFormat="1" ht="12" hidden="1" customHeight="1">
      <c r="A6784" s="426"/>
    </row>
    <row r="6785" spans="1:1" s="427" customFormat="1" ht="12" hidden="1" customHeight="1">
      <c r="A6785" s="426"/>
    </row>
    <row r="6786" spans="1:1" s="427" customFormat="1" ht="12" hidden="1" customHeight="1">
      <c r="A6786" s="426"/>
    </row>
    <row r="6787" spans="1:1" s="427" customFormat="1" ht="12" hidden="1" customHeight="1">
      <c r="A6787" s="426"/>
    </row>
    <row r="6788" spans="1:1" s="427" customFormat="1" ht="12" hidden="1" customHeight="1">
      <c r="A6788" s="426"/>
    </row>
    <row r="6789" spans="1:1" s="427" customFormat="1" ht="12" hidden="1" customHeight="1">
      <c r="A6789" s="426"/>
    </row>
    <row r="6790" spans="1:1" s="427" customFormat="1" ht="12" hidden="1" customHeight="1">
      <c r="A6790" s="426"/>
    </row>
    <row r="6791" spans="1:1" s="427" customFormat="1" ht="12" hidden="1" customHeight="1">
      <c r="A6791" s="426"/>
    </row>
    <row r="6792" spans="1:1" s="427" customFormat="1" ht="12" hidden="1" customHeight="1">
      <c r="A6792" s="426"/>
    </row>
    <row r="6793" spans="1:1" s="427" customFormat="1" ht="12" hidden="1" customHeight="1">
      <c r="A6793" s="426"/>
    </row>
    <row r="6794" spans="1:1" s="427" customFormat="1" ht="12" hidden="1" customHeight="1">
      <c r="A6794" s="426"/>
    </row>
    <row r="6795" spans="1:1" s="427" customFormat="1" ht="12" hidden="1" customHeight="1">
      <c r="A6795" s="426"/>
    </row>
    <row r="6796" spans="1:1" s="427" customFormat="1" ht="12" hidden="1" customHeight="1">
      <c r="A6796" s="426"/>
    </row>
    <row r="6797" spans="1:1" s="427" customFormat="1" ht="12" hidden="1" customHeight="1">
      <c r="A6797" s="426"/>
    </row>
    <row r="6798" spans="1:1" s="427" customFormat="1" ht="12" hidden="1" customHeight="1">
      <c r="A6798" s="426"/>
    </row>
    <row r="6799" spans="1:1" s="427" customFormat="1" ht="12" hidden="1" customHeight="1">
      <c r="A6799" s="426"/>
    </row>
    <row r="6800" spans="1:1" s="427" customFormat="1" ht="12" hidden="1" customHeight="1">
      <c r="A6800" s="426"/>
    </row>
    <row r="6801" spans="1:1" s="427" customFormat="1" ht="12" hidden="1" customHeight="1">
      <c r="A6801" s="426"/>
    </row>
    <row r="6802" spans="1:1" s="427" customFormat="1" ht="12" hidden="1" customHeight="1">
      <c r="A6802" s="426"/>
    </row>
    <row r="6803" spans="1:1" s="427" customFormat="1" ht="12" hidden="1" customHeight="1">
      <c r="A6803" s="426"/>
    </row>
    <row r="6804" spans="1:1" s="427" customFormat="1" ht="12" hidden="1" customHeight="1">
      <c r="A6804" s="426"/>
    </row>
    <row r="6805" spans="1:1" s="427" customFormat="1" ht="12" hidden="1" customHeight="1">
      <c r="A6805" s="426"/>
    </row>
    <row r="6806" spans="1:1" s="427" customFormat="1" ht="12" hidden="1" customHeight="1">
      <c r="A6806" s="426"/>
    </row>
    <row r="6807" spans="1:1" s="427" customFormat="1" ht="12" hidden="1" customHeight="1">
      <c r="A6807" s="426"/>
    </row>
    <row r="6808" spans="1:1" s="427" customFormat="1" ht="12" hidden="1" customHeight="1">
      <c r="A6808" s="426"/>
    </row>
    <row r="6809" spans="1:1" s="427" customFormat="1" ht="12" hidden="1" customHeight="1">
      <c r="A6809" s="426"/>
    </row>
    <row r="6810" spans="1:1" s="427" customFormat="1" ht="12" hidden="1" customHeight="1">
      <c r="A6810" s="426"/>
    </row>
    <row r="6811" spans="1:1" s="427" customFormat="1" ht="12" hidden="1" customHeight="1">
      <c r="A6811" s="426"/>
    </row>
    <row r="6812" spans="1:1" s="427" customFormat="1" ht="12" hidden="1" customHeight="1">
      <c r="A6812" s="426"/>
    </row>
    <row r="6813" spans="1:1" s="427" customFormat="1" ht="12" hidden="1" customHeight="1">
      <c r="A6813" s="426"/>
    </row>
    <row r="6814" spans="1:1" s="427" customFormat="1" ht="12" hidden="1" customHeight="1">
      <c r="A6814" s="426"/>
    </row>
    <row r="6815" spans="1:1" s="427" customFormat="1" ht="12" hidden="1" customHeight="1">
      <c r="A6815" s="426"/>
    </row>
    <row r="6816" spans="1:1" s="427" customFormat="1" ht="12" hidden="1" customHeight="1">
      <c r="A6816" s="426"/>
    </row>
    <row r="6817" spans="1:1" s="427" customFormat="1" ht="12" hidden="1" customHeight="1">
      <c r="A6817" s="426"/>
    </row>
    <row r="6818" spans="1:1" s="427" customFormat="1" ht="12" hidden="1" customHeight="1">
      <c r="A6818" s="426"/>
    </row>
    <row r="6819" spans="1:1" s="427" customFormat="1" ht="12" hidden="1" customHeight="1">
      <c r="A6819" s="426"/>
    </row>
    <row r="6820" spans="1:1" s="427" customFormat="1" ht="12" hidden="1" customHeight="1">
      <c r="A6820" s="426"/>
    </row>
    <row r="6821" spans="1:1" s="427" customFormat="1" ht="12" hidden="1" customHeight="1">
      <c r="A6821" s="426"/>
    </row>
    <row r="6822" spans="1:1" s="427" customFormat="1" ht="12" hidden="1" customHeight="1">
      <c r="A6822" s="426"/>
    </row>
    <row r="6823" spans="1:1" s="427" customFormat="1" ht="12" hidden="1" customHeight="1">
      <c r="A6823" s="426"/>
    </row>
    <row r="6824" spans="1:1" s="427" customFormat="1" ht="12" hidden="1" customHeight="1">
      <c r="A6824" s="426"/>
    </row>
    <row r="6825" spans="1:1" s="427" customFormat="1" ht="12" hidden="1" customHeight="1">
      <c r="A6825" s="426"/>
    </row>
    <row r="6826" spans="1:1" s="427" customFormat="1" ht="12" hidden="1" customHeight="1">
      <c r="A6826" s="426"/>
    </row>
    <row r="6827" spans="1:1" s="427" customFormat="1" ht="12" hidden="1" customHeight="1">
      <c r="A6827" s="426"/>
    </row>
    <row r="6828" spans="1:1" s="427" customFormat="1" ht="12" hidden="1" customHeight="1">
      <c r="A6828" s="426"/>
    </row>
    <row r="6829" spans="1:1" s="427" customFormat="1" ht="12" hidden="1" customHeight="1">
      <c r="A6829" s="426"/>
    </row>
    <row r="6830" spans="1:1" s="427" customFormat="1" ht="12" hidden="1" customHeight="1">
      <c r="A6830" s="426"/>
    </row>
    <row r="6831" spans="1:1" s="427" customFormat="1" ht="12" hidden="1" customHeight="1">
      <c r="A6831" s="426"/>
    </row>
    <row r="6832" spans="1:1" s="427" customFormat="1" ht="12" hidden="1" customHeight="1">
      <c r="A6832" s="426"/>
    </row>
    <row r="6833" spans="1:1" s="427" customFormat="1" ht="12" hidden="1" customHeight="1">
      <c r="A6833" s="426"/>
    </row>
    <row r="6834" spans="1:1" s="427" customFormat="1" ht="12" hidden="1" customHeight="1">
      <c r="A6834" s="426"/>
    </row>
    <row r="6835" spans="1:1" s="427" customFormat="1" ht="12" hidden="1" customHeight="1">
      <c r="A6835" s="426"/>
    </row>
    <row r="6836" spans="1:1" s="427" customFormat="1" ht="12" hidden="1" customHeight="1">
      <c r="A6836" s="426"/>
    </row>
    <row r="6837" spans="1:1" s="427" customFormat="1" ht="12" hidden="1" customHeight="1">
      <c r="A6837" s="426"/>
    </row>
    <row r="6838" spans="1:1" s="427" customFormat="1" ht="12" hidden="1" customHeight="1">
      <c r="A6838" s="426"/>
    </row>
    <row r="6839" spans="1:1" s="427" customFormat="1" ht="12" hidden="1" customHeight="1">
      <c r="A6839" s="426"/>
    </row>
    <row r="6840" spans="1:1" s="427" customFormat="1" ht="12" hidden="1" customHeight="1">
      <c r="A6840" s="426"/>
    </row>
    <row r="6841" spans="1:1" s="427" customFormat="1" ht="12" hidden="1" customHeight="1">
      <c r="A6841" s="426"/>
    </row>
    <row r="6842" spans="1:1" s="427" customFormat="1" ht="12" hidden="1" customHeight="1">
      <c r="A6842" s="426"/>
    </row>
    <row r="6843" spans="1:1" s="427" customFormat="1" ht="12" hidden="1" customHeight="1">
      <c r="A6843" s="426"/>
    </row>
    <row r="6844" spans="1:1" s="427" customFormat="1" ht="12" hidden="1" customHeight="1">
      <c r="A6844" s="426"/>
    </row>
    <row r="6845" spans="1:1" s="427" customFormat="1" ht="12" hidden="1" customHeight="1">
      <c r="A6845" s="426"/>
    </row>
    <row r="6846" spans="1:1" s="427" customFormat="1" ht="12" hidden="1" customHeight="1">
      <c r="A6846" s="426"/>
    </row>
    <row r="6847" spans="1:1" s="427" customFormat="1" ht="12" hidden="1" customHeight="1">
      <c r="A6847" s="426"/>
    </row>
    <row r="6848" spans="1:1" s="427" customFormat="1" ht="12" hidden="1" customHeight="1">
      <c r="A6848" s="426"/>
    </row>
    <row r="6849" spans="1:1" s="427" customFormat="1" ht="12" hidden="1" customHeight="1">
      <c r="A6849" s="426"/>
    </row>
    <row r="6850" spans="1:1" s="427" customFormat="1" ht="12" hidden="1" customHeight="1">
      <c r="A6850" s="426"/>
    </row>
    <row r="6851" spans="1:1" s="427" customFormat="1" ht="12" hidden="1" customHeight="1">
      <c r="A6851" s="426"/>
    </row>
    <row r="6852" spans="1:1" s="427" customFormat="1" ht="12" hidden="1" customHeight="1">
      <c r="A6852" s="426"/>
    </row>
    <row r="6853" spans="1:1" s="427" customFormat="1" ht="12" hidden="1" customHeight="1">
      <c r="A6853" s="426"/>
    </row>
    <row r="6854" spans="1:1" s="427" customFormat="1" ht="12" hidden="1" customHeight="1">
      <c r="A6854" s="426"/>
    </row>
    <row r="6855" spans="1:1" s="427" customFormat="1" ht="12" hidden="1" customHeight="1">
      <c r="A6855" s="426"/>
    </row>
    <row r="6856" spans="1:1" s="427" customFormat="1" ht="12" hidden="1" customHeight="1">
      <c r="A6856" s="426"/>
    </row>
    <row r="6857" spans="1:1" s="427" customFormat="1" ht="12" hidden="1" customHeight="1">
      <c r="A6857" s="426"/>
    </row>
    <row r="6858" spans="1:1" s="427" customFormat="1" ht="12" hidden="1" customHeight="1">
      <c r="A6858" s="426"/>
    </row>
    <row r="6859" spans="1:1" s="427" customFormat="1" ht="12" hidden="1" customHeight="1">
      <c r="A6859" s="426"/>
    </row>
    <row r="6860" spans="1:1" s="427" customFormat="1" ht="12" hidden="1" customHeight="1">
      <c r="A6860" s="426"/>
    </row>
    <row r="6861" spans="1:1" s="427" customFormat="1" ht="12" hidden="1" customHeight="1">
      <c r="A6861" s="426"/>
    </row>
    <row r="6862" spans="1:1" s="427" customFormat="1" ht="12" hidden="1" customHeight="1">
      <c r="A6862" s="426"/>
    </row>
    <row r="6863" spans="1:1" s="427" customFormat="1" ht="12" hidden="1" customHeight="1">
      <c r="A6863" s="426"/>
    </row>
    <row r="6864" spans="1:1" s="427" customFormat="1" ht="12" hidden="1" customHeight="1">
      <c r="A6864" s="426"/>
    </row>
    <row r="6865" spans="1:1" s="427" customFormat="1" ht="12" hidden="1" customHeight="1">
      <c r="A6865" s="426"/>
    </row>
    <row r="6866" spans="1:1" s="427" customFormat="1" ht="12" hidden="1" customHeight="1">
      <c r="A6866" s="426"/>
    </row>
    <row r="6867" spans="1:1" s="427" customFormat="1" ht="12" hidden="1" customHeight="1">
      <c r="A6867" s="426"/>
    </row>
    <row r="6868" spans="1:1" s="427" customFormat="1" ht="12" hidden="1" customHeight="1">
      <c r="A6868" s="426"/>
    </row>
    <row r="6869" spans="1:1" s="427" customFormat="1" ht="12" hidden="1" customHeight="1">
      <c r="A6869" s="426"/>
    </row>
    <row r="6870" spans="1:1" s="427" customFormat="1" ht="12" hidden="1" customHeight="1">
      <c r="A6870" s="426"/>
    </row>
    <row r="6871" spans="1:1" s="427" customFormat="1" ht="12" hidden="1" customHeight="1">
      <c r="A6871" s="426"/>
    </row>
    <row r="6872" spans="1:1" s="427" customFormat="1" ht="12" hidden="1" customHeight="1">
      <c r="A6872" s="426"/>
    </row>
    <row r="6873" spans="1:1" s="427" customFormat="1" ht="12" hidden="1" customHeight="1">
      <c r="A6873" s="426"/>
    </row>
    <row r="6874" spans="1:1" s="427" customFormat="1" ht="12" hidden="1" customHeight="1">
      <c r="A6874" s="426"/>
    </row>
    <row r="6875" spans="1:1" s="427" customFormat="1" ht="12" hidden="1" customHeight="1">
      <c r="A6875" s="426"/>
    </row>
    <row r="6876" spans="1:1" s="427" customFormat="1" ht="12" hidden="1" customHeight="1">
      <c r="A6876" s="426"/>
    </row>
    <row r="6877" spans="1:1" s="427" customFormat="1" ht="12" hidden="1" customHeight="1">
      <c r="A6877" s="426"/>
    </row>
    <row r="6878" spans="1:1" s="427" customFormat="1" ht="12" hidden="1" customHeight="1">
      <c r="A6878" s="426"/>
    </row>
    <row r="6879" spans="1:1" s="427" customFormat="1" ht="12" hidden="1" customHeight="1">
      <c r="A6879" s="426"/>
    </row>
    <row r="6880" spans="1:1" s="427" customFormat="1" ht="12" hidden="1" customHeight="1">
      <c r="A6880" s="426"/>
    </row>
    <row r="6881" spans="1:1" s="427" customFormat="1" ht="12" hidden="1" customHeight="1">
      <c r="A6881" s="426"/>
    </row>
    <row r="6882" spans="1:1" s="427" customFormat="1" ht="12" hidden="1" customHeight="1">
      <c r="A6882" s="426"/>
    </row>
    <row r="6883" spans="1:1" s="427" customFormat="1" ht="12" hidden="1" customHeight="1">
      <c r="A6883" s="426"/>
    </row>
    <row r="6884" spans="1:1" s="427" customFormat="1" ht="12" hidden="1" customHeight="1">
      <c r="A6884" s="426"/>
    </row>
    <row r="6885" spans="1:1" s="427" customFormat="1" ht="12" hidden="1" customHeight="1">
      <c r="A6885" s="426"/>
    </row>
    <row r="6886" spans="1:1" s="427" customFormat="1" ht="12" hidden="1" customHeight="1">
      <c r="A6886" s="426"/>
    </row>
    <row r="6887" spans="1:1" s="427" customFormat="1" ht="12" hidden="1" customHeight="1">
      <c r="A6887" s="426"/>
    </row>
    <row r="6888" spans="1:1" s="427" customFormat="1" ht="12" hidden="1" customHeight="1">
      <c r="A6888" s="426"/>
    </row>
    <row r="6889" spans="1:1" s="427" customFormat="1" ht="12" hidden="1" customHeight="1">
      <c r="A6889" s="426"/>
    </row>
    <row r="6890" spans="1:1" s="427" customFormat="1" ht="12" hidden="1" customHeight="1">
      <c r="A6890" s="426"/>
    </row>
    <row r="6891" spans="1:1" s="427" customFormat="1" ht="12" hidden="1" customHeight="1">
      <c r="A6891" s="426"/>
    </row>
    <row r="6892" spans="1:1" s="427" customFormat="1" ht="12" hidden="1" customHeight="1">
      <c r="A6892" s="426"/>
    </row>
    <row r="6893" spans="1:1" s="427" customFormat="1" ht="12" hidden="1" customHeight="1">
      <c r="A6893" s="426"/>
    </row>
    <row r="6894" spans="1:1" s="427" customFormat="1" ht="12" hidden="1" customHeight="1">
      <c r="A6894" s="426"/>
    </row>
    <row r="6895" spans="1:1" s="427" customFormat="1" ht="12" hidden="1" customHeight="1">
      <c r="A6895" s="426"/>
    </row>
    <row r="6896" spans="1:1" s="427" customFormat="1" ht="12" hidden="1" customHeight="1">
      <c r="A6896" s="426"/>
    </row>
    <row r="6897" spans="1:1" s="427" customFormat="1" ht="12" hidden="1" customHeight="1">
      <c r="A6897" s="426"/>
    </row>
    <row r="6898" spans="1:1" s="427" customFormat="1" ht="12" hidden="1" customHeight="1">
      <c r="A6898" s="426"/>
    </row>
    <row r="6899" spans="1:1" s="427" customFormat="1" ht="12" hidden="1" customHeight="1">
      <c r="A6899" s="426"/>
    </row>
    <row r="6900" spans="1:1" s="427" customFormat="1" ht="12" hidden="1" customHeight="1">
      <c r="A6900" s="426"/>
    </row>
    <row r="6901" spans="1:1" s="427" customFormat="1" ht="12" hidden="1" customHeight="1">
      <c r="A6901" s="426"/>
    </row>
    <row r="6902" spans="1:1" s="427" customFormat="1" ht="12" hidden="1" customHeight="1">
      <c r="A6902" s="426"/>
    </row>
    <row r="6903" spans="1:1" s="427" customFormat="1" ht="12" hidden="1" customHeight="1">
      <c r="A6903" s="426"/>
    </row>
    <row r="6904" spans="1:1" s="427" customFormat="1" ht="12" hidden="1" customHeight="1">
      <c r="A6904" s="426"/>
    </row>
    <row r="6905" spans="1:1" s="427" customFormat="1" ht="12" hidden="1" customHeight="1">
      <c r="A6905" s="426"/>
    </row>
    <row r="6906" spans="1:1" s="427" customFormat="1" ht="12" hidden="1" customHeight="1">
      <c r="A6906" s="426"/>
    </row>
    <row r="6907" spans="1:1" s="427" customFormat="1" ht="12" hidden="1" customHeight="1">
      <c r="A6907" s="426"/>
    </row>
    <row r="6908" spans="1:1" s="427" customFormat="1" ht="12" hidden="1" customHeight="1">
      <c r="A6908" s="426"/>
    </row>
    <row r="6909" spans="1:1" s="427" customFormat="1" ht="12" hidden="1" customHeight="1">
      <c r="A6909" s="426"/>
    </row>
    <row r="6910" spans="1:1" s="427" customFormat="1" ht="12" hidden="1" customHeight="1">
      <c r="A6910" s="426"/>
    </row>
    <row r="6911" spans="1:1" s="427" customFormat="1" ht="12" hidden="1" customHeight="1">
      <c r="A6911" s="426"/>
    </row>
    <row r="6912" spans="1:1" s="427" customFormat="1" ht="12" hidden="1" customHeight="1">
      <c r="A6912" s="426"/>
    </row>
    <row r="6913" spans="1:1" s="427" customFormat="1" ht="12" hidden="1" customHeight="1">
      <c r="A6913" s="426"/>
    </row>
    <row r="6914" spans="1:1" s="427" customFormat="1" ht="12" hidden="1" customHeight="1">
      <c r="A6914" s="426"/>
    </row>
    <row r="6915" spans="1:1" s="427" customFormat="1" ht="12" hidden="1" customHeight="1">
      <c r="A6915" s="426"/>
    </row>
    <row r="6916" spans="1:1" s="427" customFormat="1" ht="12" hidden="1" customHeight="1">
      <c r="A6916" s="426"/>
    </row>
    <row r="6917" spans="1:1" s="427" customFormat="1" ht="12" hidden="1" customHeight="1">
      <c r="A6917" s="426"/>
    </row>
    <row r="6918" spans="1:1" s="427" customFormat="1" ht="12" hidden="1" customHeight="1">
      <c r="A6918" s="426"/>
    </row>
    <row r="6919" spans="1:1" s="427" customFormat="1" ht="12" hidden="1" customHeight="1">
      <c r="A6919" s="426"/>
    </row>
    <row r="6920" spans="1:1" s="427" customFormat="1" ht="12" hidden="1" customHeight="1">
      <c r="A6920" s="426"/>
    </row>
    <row r="6921" spans="1:1" s="427" customFormat="1" ht="12" hidden="1" customHeight="1">
      <c r="A6921" s="426"/>
    </row>
    <row r="6922" spans="1:1" s="427" customFormat="1" ht="12" hidden="1" customHeight="1">
      <c r="A6922" s="426"/>
    </row>
    <row r="6923" spans="1:1" s="427" customFormat="1" ht="12" hidden="1" customHeight="1">
      <c r="A6923" s="426"/>
    </row>
    <row r="6924" spans="1:1" s="427" customFormat="1" ht="12" hidden="1" customHeight="1">
      <c r="A6924" s="426"/>
    </row>
    <row r="6925" spans="1:1" s="427" customFormat="1" ht="12" hidden="1" customHeight="1">
      <c r="A6925" s="426"/>
    </row>
    <row r="6926" spans="1:1" s="427" customFormat="1" ht="12" hidden="1" customHeight="1">
      <c r="A6926" s="426"/>
    </row>
    <row r="6927" spans="1:1" s="427" customFormat="1" ht="12" hidden="1" customHeight="1">
      <c r="A6927" s="426"/>
    </row>
    <row r="6928" spans="1:1" s="427" customFormat="1" ht="12" hidden="1" customHeight="1">
      <c r="A6928" s="426"/>
    </row>
    <row r="6929" spans="1:1" s="427" customFormat="1" ht="12" hidden="1" customHeight="1">
      <c r="A6929" s="426"/>
    </row>
    <row r="6930" spans="1:1" s="427" customFormat="1" ht="12" hidden="1" customHeight="1">
      <c r="A6930" s="426"/>
    </row>
    <row r="6931" spans="1:1" s="427" customFormat="1" ht="12" hidden="1" customHeight="1">
      <c r="A6931" s="426"/>
    </row>
    <row r="6932" spans="1:1" s="427" customFormat="1" ht="12" hidden="1" customHeight="1">
      <c r="A6932" s="426"/>
    </row>
    <row r="6933" spans="1:1" s="427" customFormat="1" ht="12" hidden="1" customHeight="1">
      <c r="A6933" s="426"/>
    </row>
    <row r="6934" spans="1:1" s="427" customFormat="1" ht="12" hidden="1" customHeight="1">
      <c r="A6934" s="426"/>
    </row>
    <row r="6935" spans="1:1" s="427" customFormat="1" ht="12" hidden="1" customHeight="1">
      <c r="A6935" s="426"/>
    </row>
    <row r="6936" spans="1:1" s="427" customFormat="1" ht="12" hidden="1" customHeight="1">
      <c r="A6936" s="426"/>
    </row>
    <row r="6937" spans="1:1" s="427" customFormat="1" ht="12" hidden="1" customHeight="1">
      <c r="A6937" s="426"/>
    </row>
    <row r="6938" spans="1:1" s="427" customFormat="1" ht="12" hidden="1" customHeight="1">
      <c r="A6938" s="426"/>
    </row>
    <row r="6939" spans="1:1" s="427" customFormat="1" ht="12" hidden="1" customHeight="1">
      <c r="A6939" s="426"/>
    </row>
    <row r="6940" spans="1:1" s="427" customFormat="1" ht="12" hidden="1" customHeight="1">
      <c r="A6940" s="426"/>
    </row>
    <row r="6941" spans="1:1" s="427" customFormat="1" ht="12" hidden="1" customHeight="1">
      <c r="A6941" s="426"/>
    </row>
    <row r="6942" spans="1:1" s="427" customFormat="1" ht="12" hidden="1" customHeight="1">
      <c r="A6942" s="426"/>
    </row>
    <row r="6943" spans="1:1" s="427" customFormat="1" ht="12" hidden="1" customHeight="1">
      <c r="A6943" s="426"/>
    </row>
    <row r="6944" spans="1:1" s="427" customFormat="1" ht="12" hidden="1" customHeight="1">
      <c r="A6944" s="426"/>
    </row>
    <row r="6945" spans="1:1" s="427" customFormat="1" ht="12" hidden="1" customHeight="1">
      <c r="A6945" s="426"/>
    </row>
    <row r="6946" spans="1:1" s="427" customFormat="1" ht="12" hidden="1" customHeight="1">
      <c r="A6946" s="426"/>
    </row>
    <row r="6947" spans="1:1" s="427" customFormat="1" ht="12" hidden="1" customHeight="1">
      <c r="A6947" s="426"/>
    </row>
    <row r="6948" spans="1:1" s="427" customFormat="1" ht="12" hidden="1" customHeight="1">
      <c r="A6948" s="426"/>
    </row>
    <row r="6949" spans="1:1" s="427" customFormat="1" ht="12" hidden="1" customHeight="1">
      <c r="A6949" s="426"/>
    </row>
    <row r="6950" spans="1:1" s="427" customFormat="1" ht="12" hidden="1" customHeight="1">
      <c r="A6950" s="426"/>
    </row>
    <row r="6951" spans="1:1" s="427" customFormat="1" ht="12" hidden="1" customHeight="1">
      <c r="A6951" s="426"/>
    </row>
    <row r="6952" spans="1:1" s="427" customFormat="1" ht="12" hidden="1" customHeight="1">
      <c r="A6952" s="426"/>
    </row>
    <row r="6953" spans="1:1" s="427" customFormat="1" ht="12" hidden="1" customHeight="1">
      <c r="A6953" s="426"/>
    </row>
    <row r="6954" spans="1:1" s="427" customFormat="1" ht="12" hidden="1" customHeight="1">
      <c r="A6954" s="426"/>
    </row>
    <row r="6955" spans="1:1" s="427" customFormat="1" ht="12" hidden="1" customHeight="1">
      <c r="A6955" s="426"/>
    </row>
    <row r="6956" spans="1:1" s="427" customFormat="1" ht="12" hidden="1" customHeight="1">
      <c r="A6956" s="426"/>
    </row>
    <row r="6957" spans="1:1" s="427" customFormat="1" ht="12" hidden="1" customHeight="1">
      <c r="A6957" s="426"/>
    </row>
    <row r="6958" spans="1:1" s="427" customFormat="1" ht="12" hidden="1" customHeight="1">
      <c r="A6958" s="426"/>
    </row>
    <row r="6959" spans="1:1" s="427" customFormat="1" ht="12" hidden="1" customHeight="1">
      <c r="A6959" s="426"/>
    </row>
    <row r="6960" spans="1:1" s="427" customFormat="1" ht="12" hidden="1" customHeight="1">
      <c r="A6960" s="426"/>
    </row>
    <row r="6961" spans="1:1" s="427" customFormat="1" ht="12" hidden="1" customHeight="1">
      <c r="A6961" s="426"/>
    </row>
    <row r="6962" spans="1:1" s="427" customFormat="1" ht="12" hidden="1" customHeight="1">
      <c r="A6962" s="426"/>
    </row>
    <row r="6963" spans="1:1" s="427" customFormat="1" ht="12" hidden="1" customHeight="1">
      <c r="A6963" s="426"/>
    </row>
    <row r="6964" spans="1:1" s="427" customFormat="1" ht="12" hidden="1" customHeight="1">
      <c r="A6964" s="426"/>
    </row>
    <row r="6965" spans="1:1" s="427" customFormat="1" ht="12" hidden="1" customHeight="1">
      <c r="A6965" s="426"/>
    </row>
    <row r="6966" spans="1:1" s="427" customFormat="1" ht="12" hidden="1" customHeight="1">
      <c r="A6966" s="426"/>
    </row>
    <row r="6967" spans="1:1" s="427" customFormat="1" ht="12" hidden="1" customHeight="1">
      <c r="A6967" s="426"/>
    </row>
    <row r="6968" spans="1:1" s="427" customFormat="1" ht="12" hidden="1" customHeight="1">
      <c r="A6968" s="426"/>
    </row>
    <row r="6969" spans="1:1" s="427" customFormat="1" ht="12" hidden="1" customHeight="1">
      <c r="A6969" s="426"/>
    </row>
    <row r="6970" spans="1:1" s="427" customFormat="1" ht="12" hidden="1" customHeight="1">
      <c r="A6970" s="426"/>
    </row>
    <row r="6971" spans="1:1" s="427" customFormat="1" ht="12" hidden="1" customHeight="1">
      <c r="A6971" s="426"/>
    </row>
    <row r="6972" spans="1:1" s="427" customFormat="1" ht="12" hidden="1" customHeight="1">
      <c r="A6972" s="426"/>
    </row>
    <row r="6973" spans="1:1" s="427" customFormat="1" ht="12" hidden="1" customHeight="1">
      <c r="A6973" s="426"/>
    </row>
    <row r="6974" spans="1:1" s="427" customFormat="1" ht="12" hidden="1" customHeight="1">
      <c r="A6974" s="426"/>
    </row>
    <row r="6975" spans="1:1" s="427" customFormat="1" ht="12" hidden="1" customHeight="1">
      <c r="A6975" s="426"/>
    </row>
    <row r="6976" spans="1:1" s="427" customFormat="1" ht="12" hidden="1" customHeight="1">
      <c r="A6976" s="426"/>
    </row>
    <row r="6977" spans="1:1" s="427" customFormat="1" ht="12" hidden="1" customHeight="1">
      <c r="A6977" s="426"/>
    </row>
    <row r="6978" spans="1:1" s="427" customFormat="1" ht="12" hidden="1" customHeight="1">
      <c r="A6978" s="426"/>
    </row>
    <row r="6979" spans="1:1" s="427" customFormat="1" ht="12" hidden="1" customHeight="1">
      <c r="A6979" s="426"/>
    </row>
    <row r="6980" spans="1:1" s="427" customFormat="1" ht="12" hidden="1" customHeight="1">
      <c r="A6980" s="426"/>
    </row>
    <row r="6981" spans="1:1" s="427" customFormat="1" ht="12" hidden="1" customHeight="1">
      <c r="A6981" s="426"/>
    </row>
    <row r="6982" spans="1:1" s="427" customFormat="1" ht="12" hidden="1" customHeight="1">
      <c r="A6982" s="426"/>
    </row>
    <row r="6983" spans="1:1" s="427" customFormat="1" ht="12" hidden="1" customHeight="1">
      <c r="A6983" s="426"/>
    </row>
    <row r="6984" spans="1:1" s="427" customFormat="1" ht="12" hidden="1" customHeight="1">
      <c r="A6984" s="426"/>
    </row>
    <row r="6985" spans="1:1" s="427" customFormat="1" ht="12" hidden="1" customHeight="1">
      <c r="A6985" s="426"/>
    </row>
    <row r="6986" spans="1:1" s="427" customFormat="1" ht="12" hidden="1" customHeight="1">
      <c r="A6986" s="426"/>
    </row>
    <row r="6987" spans="1:1" s="427" customFormat="1" ht="12" hidden="1" customHeight="1">
      <c r="A6987" s="426"/>
    </row>
    <row r="6988" spans="1:1" s="427" customFormat="1" ht="12" hidden="1" customHeight="1">
      <c r="A6988" s="426"/>
    </row>
    <row r="6989" spans="1:1" s="427" customFormat="1" ht="12" hidden="1" customHeight="1">
      <c r="A6989" s="426"/>
    </row>
    <row r="6990" spans="1:1" s="427" customFormat="1" ht="12" hidden="1" customHeight="1">
      <c r="A6990" s="426"/>
    </row>
    <row r="6991" spans="1:1" s="427" customFormat="1" ht="12" hidden="1" customHeight="1">
      <c r="A6991" s="426"/>
    </row>
    <row r="6992" spans="1:1" s="427" customFormat="1" ht="12" hidden="1" customHeight="1">
      <c r="A6992" s="426"/>
    </row>
    <row r="6993" spans="1:1" s="427" customFormat="1" ht="12" hidden="1" customHeight="1">
      <c r="A6993" s="426"/>
    </row>
    <row r="6994" spans="1:1" s="427" customFormat="1" ht="12" hidden="1" customHeight="1">
      <c r="A6994" s="426"/>
    </row>
    <row r="6995" spans="1:1" s="427" customFormat="1" ht="12" hidden="1" customHeight="1">
      <c r="A6995" s="426"/>
    </row>
    <row r="6996" spans="1:1" s="427" customFormat="1" ht="12" hidden="1" customHeight="1">
      <c r="A6996" s="426"/>
    </row>
    <row r="6997" spans="1:1" s="427" customFormat="1" ht="12" hidden="1" customHeight="1">
      <c r="A6997" s="426"/>
    </row>
    <row r="6998" spans="1:1" s="427" customFormat="1" ht="12" hidden="1" customHeight="1">
      <c r="A6998" s="426"/>
    </row>
    <row r="6999" spans="1:1" s="427" customFormat="1" ht="12" hidden="1" customHeight="1">
      <c r="A6999" s="426"/>
    </row>
    <row r="7000" spans="1:1" s="427" customFormat="1" ht="12" hidden="1" customHeight="1">
      <c r="A7000" s="426"/>
    </row>
    <row r="7001" spans="1:1" s="427" customFormat="1" ht="12" hidden="1" customHeight="1">
      <c r="A7001" s="426"/>
    </row>
    <row r="7002" spans="1:1" s="427" customFormat="1" ht="12" hidden="1" customHeight="1">
      <c r="A7002" s="426"/>
    </row>
    <row r="7003" spans="1:1" s="427" customFormat="1" ht="12" hidden="1" customHeight="1">
      <c r="A7003" s="426"/>
    </row>
    <row r="7004" spans="1:1" s="427" customFormat="1" ht="12" hidden="1" customHeight="1">
      <c r="A7004" s="426"/>
    </row>
    <row r="7005" spans="1:1" s="427" customFormat="1" ht="12" hidden="1" customHeight="1">
      <c r="A7005" s="426"/>
    </row>
    <row r="7006" spans="1:1" s="427" customFormat="1" ht="12" hidden="1" customHeight="1">
      <c r="A7006" s="426"/>
    </row>
    <row r="7007" spans="1:1" s="427" customFormat="1" ht="12" hidden="1" customHeight="1">
      <c r="A7007" s="426"/>
    </row>
    <row r="7008" spans="1:1" s="427" customFormat="1" ht="12" hidden="1" customHeight="1">
      <c r="A7008" s="426"/>
    </row>
    <row r="7009" spans="1:1" s="427" customFormat="1" ht="12" hidden="1" customHeight="1">
      <c r="A7009" s="426"/>
    </row>
    <row r="7010" spans="1:1" s="427" customFormat="1" ht="12" hidden="1" customHeight="1">
      <c r="A7010" s="426"/>
    </row>
    <row r="7011" spans="1:1" s="427" customFormat="1" ht="12" hidden="1" customHeight="1">
      <c r="A7011" s="426"/>
    </row>
    <row r="7012" spans="1:1" s="427" customFormat="1" ht="12" hidden="1" customHeight="1">
      <c r="A7012" s="426"/>
    </row>
    <row r="7013" spans="1:1" s="427" customFormat="1" ht="12" hidden="1" customHeight="1">
      <c r="A7013" s="426"/>
    </row>
    <row r="7014" spans="1:1" s="427" customFormat="1" ht="12" hidden="1" customHeight="1">
      <c r="A7014" s="426"/>
    </row>
    <row r="7015" spans="1:1" s="427" customFormat="1" ht="12" hidden="1" customHeight="1">
      <c r="A7015" s="426"/>
    </row>
    <row r="7016" spans="1:1" s="427" customFormat="1" ht="12" hidden="1" customHeight="1">
      <c r="A7016" s="426"/>
    </row>
    <row r="7017" spans="1:1" s="427" customFormat="1" ht="12" hidden="1" customHeight="1">
      <c r="A7017" s="426"/>
    </row>
    <row r="7018" spans="1:1" s="427" customFormat="1" ht="12" hidden="1" customHeight="1">
      <c r="A7018" s="426"/>
    </row>
    <row r="7019" spans="1:1" s="427" customFormat="1" ht="12" hidden="1" customHeight="1">
      <c r="A7019" s="426"/>
    </row>
    <row r="7020" spans="1:1" s="427" customFormat="1" ht="12" hidden="1" customHeight="1">
      <c r="A7020" s="426"/>
    </row>
    <row r="7021" spans="1:1" s="427" customFormat="1" ht="12" hidden="1" customHeight="1">
      <c r="A7021" s="426"/>
    </row>
    <row r="7022" spans="1:1" s="427" customFormat="1" ht="12" hidden="1" customHeight="1">
      <c r="A7022" s="426"/>
    </row>
    <row r="7023" spans="1:1" s="427" customFormat="1" ht="12" hidden="1" customHeight="1">
      <c r="A7023" s="426"/>
    </row>
    <row r="7024" spans="1:1" s="427" customFormat="1" ht="12" hidden="1" customHeight="1">
      <c r="A7024" s="426"/>
    </row>
    <row r="7025" spans="1:1" s="427" customFormat="1" ht="12" hidden="1" customHeight="1">
      <c r="A7025" s="426"/>
    </row>
    <row r="7026" spans="1:1" s="427" customFormat="1" ht="12" hidden="1" customHeight="1">
      <c r="A7026" s="426"/>
    </row>
    <row r="7027" spans="1:1" s="427" customFormat="1" ht="12" hidden="1" customHeight="1">
      <c r="A7027" s="426"/>
    </row>
    <row r="7028" spans="1:1" s="427" customFormat="1" ht="12" hidden="1" customHeight="1">
      <c r="A7028" s="426"/>
    </row>
    <row r="7029" spans="1:1" s="427" customFormat="1" ht="12" hidden="1" customHeight="1">
      <c r="A7029" s="426"/>
    </row>
    <row r="7030" spans="1:1" s="427" customFormat="1" ht="12" hidden="1" customHeight="1">
      <c r="A7030" s="426"/>
    </row>
    <row r="7031" spans="1:1" s="427" customFormat="1" ht="12" hidden="1" customHeight="1">
      <c r="A7031" s="426"/>
    </row>
    <row r="7032" spans="1:1" s="427" customFormat="1" ht="12" hidden="1" customHeight="1">
      <c r="A7032" s="426"/>
    </row>
    <row r="7033" spans="1:1" s="427" customFormat="1" ht="12" hidden="1" customHeight="1">
      <c r="A7033" s="426"/>
    </row>
    <row r="7034" spans="1:1" s="427" customFormat="1" ht="12" hidden="1" customHeight="1">
      <c r="A7034" s="426"/>
    </row>
    <row r="7035" spans="1:1" s="427" customFormat="1" ht="12" hidden="1" customHeight="1">
      <c r="A7035" s="426"/>
    </row>
    <row r="7036" spans="1:1" s="427" customFormat="1" ht="12" hidden="1" customHeight="1">
      <c r="A7036" s="426"/>
    </row>
    <row r="7037" spans="1:1" s="427" customFormat="1" ht="12" hidden="1" customHeight="1">
      <c r="A7037" s="426"/>
    </row>
    <row r="7038" spans="1:1" s="427" customFormat="1" ht="12" hidden="1" customHeight="1">
      <c r="A7038" s="426"/>
    </row>
    <row r="7039" spans="1:1" s="427" customFormat="1" ht="12" hidden="1" customHeight="1">
      <c r="A7039" s="426"/>
    </row>
    <row r="7040" spans="1:1" s="427" customFormat="1" ht="12" hidden="1" customHeight="1">
      <c r="A7040" s="426"/>
    </row>
    <row r="7041" spans="1:1" s="427" customFormat="1" ht="12" hidden="1" customHeight="1">
      <c r="A7041" s="426"/>
    </row>
    <row r="7042" spans="1:1" s="427" customFormat="1" ht="12" hidden="1" customHeight="1">
      <c r="A7042" s="426"/>
    </row>
    <row r="7043" spans="1:1" s="427" customFormat="1" ht="12" hidden="1" customHeight="1">
      <c r="A7043" s="426"/>
    </row>
    <row r="7044" spans="1:1" s="427" customFormat="1" ht="12" hidden="1" customHeight="1">
      <c r="A7044" s="426"/>
    </row>
    <row r="7045" spans="1:1" s="427" customFormat="1" ht="12" hidden="1" customHeight="1">
      <c r="A7045" s="426"/>
    </row>
    <row r="7046" spans="1:1" s="427" customFormat="1" ht="12" hidden="1" customHeight="1">
      <c r="A7046" s="426"/>
    </row>
    <row r="7047" spans="1:1" s="427" customFormat="1" ht="12" hidden="1" customHeight="1">
      <c r="A7047" s="426"/>
    </row>
    <row r="7048" spans="1:1" s="427" customFormat="1" ht="12" hidden="1" customHeight="1">
      <c r="A7048" s="426"/>
    </row>
    <row r="7049" spans="1:1" s="427" customFormat="1" ht="12" hidden="1" customHeight="1">
      <c r="A7049" s="426"/>
    </row>
    <row r="7050" spans="1:1" s="427" customFormat="1" ht="12" hidden="1" customHeight="1">
      <c r="A7050" s="426"/>
    </row>
    <row r="7051" spans="1:1" s="427" customFormat="1" ht="12" hidden="1" customHeight="1">
      <c r="A7051" s="426"/>
    </row>
    <row r="7052" spans="1:1" s="427" customFormat="1" ht="12" hidden="1" customHeight="1">
      <c r="A7052" s="426"/>
    </row>
    <row r="7053" spans="1:1" s="427" customFormat="1" ht="12" hidden="1" customHeight="1">
      <c r="A7053" s="426"/>
    </row>
    <row r="7054" spans="1:1" s="427" customFormat="1" ht="12" hidden="1" customHeight="1">
      <c r="A7054" s="426"/>
    </row>
    <row r="7055" spans="1:1" s="427" customFormat="1" ht="12" hidden="1" customHeight="1">
      <c r="A7055" s="426"/>
    </row>
    <row r="7056" spans="1:1" s="427" customFormat="1" ht="12" hidden="1" customHeight="1">
      <c r="A7056" s="426"/>
    </row>
    <row r="7057" spans="1:1" s="427" customFormat="1" ht="12" hidden="1" customHeight="1">
      <c r="A7057" s="426"/>
    </row>
    <row r="7058" spans="1:1" s="427" customFormat="1" ht="12" hidden="1" customHeight="1">
      <c r="A7058" s="426"/>
    </row>
    <row r="7059" spans="1:1" s="427" customFormat="1" ht="12" hidden="1" customHeight="1">
      <c r="A7059" s="426"/>
    </row>
    <row r="7060" spans="1:1" s="427" customFormat="1" ht="12" hidden="1" customHeight="1">
      <c r="A7060" s="426"/>
    </row>
    <row r="7061" spans="1:1" s="427" customFormat="1" ht="12" hidden="1" customHeight="1">
      <c r="A7061" s="426"/>
    </row>
    <row r="7062" spans="1:1" s="427" customFormat="1" ht="12" hidden="1" customHeight="1">
      <c r="A7062" s="426"/>
    </row>
    <row r="7063" spans="1:1" s="427" customFormat="1" ht="12" hidden="1" customHeight="1">
      <c r="A7063" s="426"/>
    </row>
    <row r="7064" spans="1:1" s="427" customFormat="1" ht="12" hidden="1" customHeight="1">
      <c r="A7064" s="426"/>
    </row>
    <row r="7065" spans="1:1" s="427" customFormat="1" ht="12" hidden="1" customHeight="1">
      <c r="A7065" s="426"/>
    </row>
    <row r="7066" spans="1:1" s="427" customFormat="1" ht="12" hidden="1" customHeight="1">
      <c r="A7066" s="426"/>
    </row>
    <row r="7067" spans="1:1" s="427" customFormat="1" ht="12" hidden="1" customHeight="1">
      <c r="A7067" s="426"/>
    </row>
    <row r="7068" spans="1:1" s="427" customFormat="1" ht="12" hidden="1" customHeight="1">
      <c r="A7068" s="426"/>
    </row>
    <row r="7069" spans="1:1" s="427" customFormat="1" ht="12" hidden="1" customHeight="1">
      <c r="A7069" s="426"/>
    </row>
    <row r="7070" spans="1:1" s="427" customFormat="1" ht="12" hidden="1" customHeight="1">
      <c r="A7070" s="426"/>
    </row>
    <row r="7071" spans="1:1" s="427" customFormat="1" ht="12" hidden="1" customHeight="1">
      <c r="A7071" s="426"/>
    </row>
    <row r="7072" spans="1:1" s="427" customFormat="1" ht="12" hidden="1" customHeight="1">
      <c r="A7072" s="426"/>
    </row>
    <row r="7073" spans="1:1" s="427" customFormat="1" ht="12" hidden="1" customHeight="1">
      <c r="A7073" s="426"/>
    </row>
    <row r="7074" spans="1:1" s="427" customFormat="1" ht="12" hidden="1" customHeight="1">
      <c r="A7074" s="426"/>
    </row>
    <row r="7075" spans="1:1" s="427" customFormat="1" ht="12" hidden="1" customHeight="1">
      <c r="A7075" s="426"/>
    </row>
    <row r="7076" spans="1:1" s="427" customFormat="1" ht="12" hidden="1" customHeight="1">
      <c r="A7076" s="426"/>
    </row>
    <row r="7077" spans="1:1" s="427" customFormat="1" ht="12" hidden="1" customHeight="1">
      <c r="A7077" s="426"/>
    </row>
    <row r="7078" spans="1:1" s="427" customFormat="1" ht="12" hidden="1" customHeight="1">
      <c r="A7078" s="426"/>
    </row>
    <row r="7079" spans="1:1" s="427" customFormat="1" ht="12" hidden="1" customHeight="1">
      <c r="A7079" s="426"/>
    </row>
    <row r="7080" spans="1:1" s="427" customFormat="1" ht="12" hidden="1" customHeight="1">
      <c r="A7080" s="426"/>
    </row>
    <row r="7081" spans="1:1" s="427" customFormat="1" ht="12" hidden="1" customHeight="1">
      <c r="A7081" s="426"/>
    </row>
    <row r="7082" spans="1:1" s="427" customFormat="1" ht="12" hidden="1" customHeight="1">
      <c r="A7082" s="426"/>
    </row>
    <row r="7083" spans="1:1" s="427" customFormat="1" ht="12" hidden="1" customHeight="1">
      <c r="A7083" s="426"/>
    </row>
    <row r="7084" spans="1:1" s="427" customFormat="1" ht="12" hidden="1" customHeight="1">
      <c r="A7084" s="426"/>
    </row>
    <row r="7085" spans="1:1" s="427" customFormat="1" ht="12" hidden="1" customHeight="1">
      <c r="A7085" s="426"/>
    </row>
    <row r="7086" spans="1:1" s="427" customFormat="1" ht="12" hidden="1" customHeight="1">
      <c r="A7086" s="426"/>
    </row>
    <row r="7087" spans="1:1" s="427" customFormat="1" ht="12" hidden="1" customHeight="1">
      <c r="A7087" s="426"/>
    </row>
    <row r="7088" spans="1:1" s="427" customFormat="1" ht="12" hidden="1" customHeight="1">
      <c r="A7088" s="426"/>
    </row>
    <row r="7089" spans="1:1" s="427" customFormat="1" ht="12" hidden="1" customHeight="1">
      <c r="A7089" s="426"/>
    </row>
    <row r="7090" spans="1:1" s="427" customFormat="1" ht="12" hidden="1" customHeight="1">
      <c r="A7090" s="426"/>
    </row>
    <row r="7091" spans="1:1" s="427" customFormat="1" ht="12" hidden="1" customHeight="1">
      <c r="A7091" s="426"/>
    </row>
    <row r="7092" spans="1:1" s="427" customFormat="1" ht="12" hidden="1" customHeight="1">
      <c r="A7092" s="426"/>
    </row>
    <row r="7093" spans="1:1" s="427" customFormat="1" ht="12" hidden="1" customHeight="1">
      <c r="A7093" s="426"/>
    </row>
    <row r="7094" spans="1:1" s="427" customFormat="1" ht="12" hidden="1" customHeight="1">
      <c r="A7094" s="426"/>
    </row>
    <row r="7095" spans="1:1" s="427" customFormat="1" ht="12" hidden="1" customHeight="1">
      <c r="A7095" s="426"/>
    </row>
    <row r="7096" spans="1:1" s="427" customFormat="1" ht="12" hidden="1" customHeight="1">
      <c r="A7096" s="426"/>
    </row>
    <row r="7097" spans="1:1" s="427" customFormat="1" ht="12" hidden="1" customHeight="1">
      <c r="A7097" s="426"/>
    </row>
    <row r="7098" spans="1:1" s="427" customFormat="1" ht="12" hidden="1" customHeight="1">
      <c r="A7098" s="426"/>
    </row>
    <row r="7099" spans="1:1" s="427" customFormat="1" ht="12" hidden="1" customHeight="1">
      <c r="A7099" s="426"/>
    </row>
    <row r="7100" spans="1:1" s="427" customFormat="1" ht="12" hidden="1" customHeight="1">
      <c r="A7100" s="426"/>
    </row>
    <row r="7101" spans="1:1" s="427" customFormat="1" ht="12" hidden="1" customHeight="1">
      <c r="A7101" s="426"/>
    </row>
    <row r="7102" spans="1:1" s="427" customFormat="1" ht="12" hidden="1" customHeight="1">
      <c r="A7102" s="426"/>
    </row>
    <row r="7103" spans="1:1" s="427" customFormat="1" ht="12" hidden="1" customHeight="1">
      <c r="A7103" s="426"/>
    </row>
    <row r="7104" spans="1:1" s="427" customFormat="1" ht="12" hidden="1" customHeight="1">
      <c r="A7104" s="426"/>
    </row>
    <row r="7105" spans="1:1" s="427" customFormat="1" ht="12" hidden="1" customHeight="1">
      <c r="A7105" s="426"/>
    </row>
    <row r="7106" spans="1:1" s="427" customFormat="1" ht="12" hidden="1" customHeight="1">
      <c r="A7106" s="426"/>
    </row>
    <row r="7107" spans="1:1" s="427" customFormat="1" ht="12" hidden="1" customHeight="1">
      <c r="A7107" s="426"/>
    </row>
    <row r="7108" spans="1:1" s="427" customFormat="1" ht="12" hidden="1" customHeight="1">
      <c r="A7108" s="426"/>
    </row>
    <row r="7109" spans="1:1" s="427" customFormat="1" ht="12" hidden="1" customHeight="1">
      <c r="A7109" s="426"/>
    </row>
    <row r="7110" spans="1:1" s="427" customFormat="1" ht="12" hidden="1" customHeight="1">
      <c r="A7110" s="426"/>
    </row>
    <row r="7111" spans="1:1" s="427" customFormat="1" ht="12" hidden="1" customHeight="1">
      <c r="A7111" s="426"/>
    </row>
    <row r="7112" spans="1:1" s="427" customFormat="1" ht="12" hidden="1" customHeight="1">
      <c r="A7112" s="426"/>
    </row>
    <row r="7113" spans="1:1" s="427" customFormat="1" ht="12" hidden="1" customHeight="1">
      <c r="A7113" s="426"/>
    </row>
    <row r="7114" spans="1:1" s="427" customFormat="1" ht="12" hidden="1" customHeight="1">
      <c r="A7114" s="426"/>
    </row>
    <row r="7115" spans="1:1" s="427" customFormat="1" ht="12" hidden="1" customHeight="1">
      <c r="A7115" s="426"/>
    </row>
    <row r="7116" spans="1:1" s="427" customFormat="1" ht="12" hidden="1" customHeight="1">
      <c r="A7116" s="426"/>
    </row>
    <row r="7117" spans="1:1" s="427" customFormat="1" ht="12" hidden="1" customHeight="1">
      <c r="A7117" s="426"/>
    </row>
    <row r="7118" spans="1:1" s="427" customFormat="1" ht="12" hidden="1" customHeight="1">
      <c r="A7118" s="426"/>
    </row>
    <row r="7119" spans="1:1" s="427" customFormat="1" ht="12" hidden="1" customHeight="1">
      <c r="A7119" s="426"/>
    </row>
    <row r="7120" spans="1:1" s="427" customFormat="1" ht="12" hidden="1" customHeight="1">
      <c r="A7120" s="426"/>
    </row>
    <row r="7121" spans="1:1" s="427" customFormat="1" ht="12" hidden="1" customHeight="1">
      <c r="A7121" s="426"/>
    </row>
    <row r="7122" spans="1:1" s="427" customFormat="1" ht="12" hidden="1" customHeight="1">
      <c r="A7122" s="426"/>
    </row>
    <row r="7123" spans="1:1" s="427" customFormat="1" ht="12" hidden="1" customHeight="1">
      <c r="A7123" s="426"/>
    </row>
    <row r="7124" spans="1:1" s="427" customFormat="1" ht="12" hidden="1" customHeight="1">
      <c r="A7124" s="426"/>
    </row>
    <row r="7125" spans="1:1" s="427" customFormat="1" ht="12" hidden="1" customHeight="1">
      <c r="A7125" s="426"/>
    </row>
    <row r="7126" spans="1:1" s="427" customFormat="1" ht="12" hidden="1" customHeight="1">
      <c r="A7126" s="426"/>
    </row>
    <row r="7127" spans="1:1" s="427" customFormat="1" ht="12" hidden="1" customHeight="1">
      <c r="A7127" s="426"/>
    </row>
    <row r="7128" spans="1:1" s="427" customFormat="1" ht="12" hidden="1" customHeight="1">
      <c r="A7128" s="426"/>
    </row>
    <row r="7129" spans="1:1" s="427" customFormat="1" ht="12" hidden="1" customHeight="1">
      <c r="A7129" s="426"/>
    </row>
    <row r="7130" spans="1:1" s="427" customFormat="1" ht="12" hidden="1" customHeight="1">
      <c r="A7130" s="426"/>
    </row>
    <row r="7131" spans="1:1" s="427" customFormat="1" ht="12" hidden="1" customHeight="1">
      <c r="A7131" s="426"/>
    </row>
    <row r="7132" spans="1:1" s="427" customFormat="1" ht="12" hidden="1" customHeight="1">
      <c r="A7132" s="426"/>
    </row>
    <row r="7133" spans="1:1" s="427" customFormat="1" ht="12" hidden="1" customHeight="1">
      <c r="A7133" s="426"/>
    </row>
    <row r="7134" spans="1:1" s="427" customFormat="1" ht="12" hidden="1" customHeight="1">
      <c r="A7134" s="426"/>
    </row>
    <row r="7135" spans="1:1" s="427" customFormat="1" ht="12" hidden="1" customHeight="1">
      <c r="A7135" s="426"/>
    </row>
    <row r="7136" spans="1:1" s="427" customFormat="1" ht="12" hidden="1" customHeight="1">
      <c r="A7136" s="426"/>
    </row>
    <row r="7137" spans="1:1" s="427" customFormat="1" ht="12" hidden="1" customHeight="1">
      <c r="A7137" s="426"/>
    </row>
    <row r="7138" spans="1:1" s="427" customFormat="1" ht="12" hidden="1" customHeight="1">
      <c r="A7138" s="426"/>
    </row>
    <row r="7139" spans="1:1" s="427" customFormat="1" ht="12" hidden="1" customHeight="1">
      <c r="A7139" s="426"/>
    </row>
    <row r="7140" spans="1:1" s="427" customFormat="1" ht="12" hidden="1" customHeight="1">
      <c r="A7140" s="426"/>
    </row>
    <row r="7141" spans="1:1" s="427" customFormat="1" ht="12" hidden="1" customHeight="1">
      <c r="A7141" s="426"/>
    </row>
    <row r="7142" spans="1:1" s="427" customFormat="1" ht="12" hidden="1" customHeight="1">
      <c r="A7142" s="426"/>
    </row>
    <row r="7143" spans="1:1" s="427" customFormat="1" ht="12" hidden="1" customHeight="1">
      <c r="A7143" s="426"/>
    </row>
    <row r="7144" spans="1:1" s="427" customFormat="1" ht="12" hidden="1" customHeight="1">
      <c r="A7144" s="426"/>
    </row>
    <row r="7145" spans="1:1" s="427" customFormat="1" ht="12" hidden="1" customHeight="1">
      <c r="A7145" s="426"/>
    </row>
    <row r="7146" spans="1:1" s="427" customFormat="1" ht="12" hidden="1" customHeight="1">
      <c r="A7146" s="426"/>
    </row>
    <row r="7147" spans="1:1" s="427" customFormat="1" ht="12" hidden="1" customHeight="1">
      <c r="A7147" s="426"/>
    </row>
    <row r="7148" spans="1:1" s="427" customFormat="1" ht="12" hidden="1" customHeight="1">
      <c r="A7148" s="426"/>
    </row>
    <row r="7149" spans="1:1" s="427" customFormat="1" ht="12" hidden="1" customHeight="1">
      <c r="A7149" s="426"/>
    </row>
    <row r="7150" spans="1:1" s="427" customFormat="1" ht="12" hidden="1" customHeight="1">
      <c r="A7150" s="426"/>
    </row>
    <row r="7151" spans="1:1" s="427" customFormat="1" ht="12" hidden="1" customHeight="1">
      <c r="A7151" s="426"/>
    </row>
    <row r="7152" spans="1:1" s="427" customFormat="1" ht="12" hidden="1" customHeight="1">
      <c r="A7152" s="426"/>
    </row>
    <row r="7153" spans="1:1" s="427" customFormat="1" ht="12" hidden="1" customHeight="1">
      <c r="A7153" s="426"/>
    </row>
    <row r="7154" spans="1:1" s="427" customFormat="1" ht="12" hidden="1" customHeight="1">
      <c r="A7154" s="426"/>
    </row>
    <row r="7155" spans="1:1" s="427" customFormat="1" ht="12" hidden="1" customHeight="1">
      <c r="A7155" s="426"/>
    </row>
    <row r="7156" spans="1:1" s="427" customFormat="1" ht="12" hidden="1" customHeight="1">
      <c r="A7156" s="426"/>
    </row>
    <row r="7157" spans="1:1" s="427" customFormat="1" ht="12" hidden="1" customHeight="1">
      <c r="A7157" s="426"/>
    </row>
    <row r="7158" spans="1:1" s="427" customFormat="1" ht="12" hidden="1" customHeight="1">
      <c r="A7158" s="426"/>
    </row>
    <row r="7159" spans="1:1" s="427" customFormat="1" ht="12" hidden="1" customHeight="1">
      <c r="A7159" s="426"/>
    </row>
    <row r="7160" spans="1:1" s="427" customFormat="1" ht="12" hidden="1" customHeight="1">
      <c r="A7160" s="426"/>
    </row>
    <row r="7161" spans="1:1" s="427" customFormat="1" ht="12" hidden="1" customHeight="1">
      <c r="A7161" s="426"/>
    </row>
    <row r="7162" spans="1:1" s="427" customFormat="1" ht="12" hidden="1" customHeight="1">
      <c r="A7162" s="426"/>
    </row>
    <row r="7163" spans="1:1" s="427" customFormat="1" ht="12" hidden="1" customHeight="1">
      <c r="A7163" s="426"/>
    </row>
    <row r="7164" spans="1:1" s="427" customFormat="1" ht="12" hidden="1" customHeight="1">
      <c r="A7164" s="426"/>
    </row>
    <row r="7165" spans="1:1" s="427" customFormat="1" ht="12" hidden="1" customHeight="1">
      <c r="A7165" s="426"/>
    </row>
    <row r="7166" spans="1:1" s="427" customFormat="1" ht="12" hidden="1" customHeight="1">
      <c r="A7166" s="426"/>
    </row>
    <row r="7167" spans="1:1" s="427" customFormat="1" ht="12" hidden="1" customHeight="1">
      <c r="A7167" s="426"/>
    </row>
    <row r="7168" spans="1:1" s="427" customFormat="1" ht="12" hidden="1" customHeight="1">
      <c r="A7168" s="426"/>
    </row>
    <row r="7169" spans="1:1" s="427" customFormat="1" ht="12" hidden="1" customHeight="1">
      <c r="A7169" s="426"/>
    </row>
    <row r="7170" spans="1:1" s="427" customFormat="1" ht="12" hidden="1" customHeight="1">
      <c r="A7170" s="426"/>
    </row>
    <row r="7171" spans="1:1" s="427" customFormat="1" ht="12" hidden="1" customHeight="1">
      <c r="A7171" s="426"/>
    </row>
    <row r="7172" spans="1:1" s="427" customFormat="1" ht="12" hidden="1" customHeight="1">
      <c r="A7172" s="426"/>
    </row>
    <row r="7173" spans="1:1" s="427" customFormat="1" ht="12" hidden="1" customHeight="1">
      <c r="A7173" s="426"/>
    </row>
    <row r="7174" spans="1:1" s="427" customFormat="1" ht="12" hidden="1" customHeight="1">
      <c r="A7174" s="426"/>
    </row>
    <row r="7175" spans="1:1" s="427" customFormat="1" ht="12" hidden="1" customHeight="1">
      <c r="A7175" s="426"/>
    </row>
    <row r="7176" spans="1:1" s="427" customFormat="1" ht="12" hidden="1" customHeight="1">
      <c r="A7176" s="426"/>
    </row>
    <row r="7177" spans="1:1" s="427" customFormat="1" ht="12" hidden="1" customHeight="1">
      <c r="A7177" s="426"/>
    </row>
    <row r="7178" spans="1:1" s="427" customFormat="1" ht="12" hidden="1" customHeight="1">
      <c r="A7178" s="426"/>
    </row>
    <row r="7179" spans="1:1" s="427" customFormat="1" ht="12" hidden="1" customHeight="1">
      <c r="A7179" s="426"/>
    </row>
    <row r="7180" spans="1:1" s="427" customFormat="1" ht="12" hidden="1" customHeight="1">
      <c r="A7180" s="426"/>
    </row>
    <row r="7181" spans="1:1" s="427" customFormat="1" ht="12" hidden="1" customHeight="1">
      <c r="A7181" s="426"/>
    </row>
    <row r="7182" spans="1:1" s="427" customFormat="1" ht="12" hidden="1" customHeight="1">
      <c r="A7182" s="426"/>
    </row>
    <row r="7183" spans="1:1" s="427" customFormat="1" ht="12" hidden="1" customHeight="1">
      <c r="A7183" s="426"/>
    </row>
    <row r="7184" spans="1:1" s="427" customFormat="1" ht="12" hidden="1" customHeight="1">
      <c r="A7184" s="426"/>
    </row>
    <row r="7185" spans="1:1" s="427" customFormat="1" ht="12" hidden="1" customHeight="1">
      <c r="A7185" s="426"/>
    </row>
    <row r="7186" spans="1:1" s="427" customFormat="1" ht="12" hidden="1" customHeight="1">
      <c r="A7186" s="426"/>
    </row>
    <row r="7187" spans="1:1" s="427" customFormat="1" ht="12" hidden="1" customHeight="1">
      <c r="A7187" s="426"/>
    </row>
    <row r="7188" spans="1:1" s="427" customFormat="1" ht="12" hidden="1" customHeight="1">
      <c r="A7188" s="426"/>
    </row>
    <row r="7189" spans="1:1" s="427" customFormat="1" ht="12" hidden="1" customHeight="1">
      <c r="A7189" s="426"/>
    </row>
    <row r="7190" spans="1:1" s="427" customFormat="1" ht="12" hidden="1" customHeight="1">
      <c r="A7190" s="426"/>
    </row>
    <row r="7191" spans="1:1" s="427" customFormat="1" ht="12" hidden="1" customHeight="1">
      <c r="A7191" s="426"/>
    </row>
    <row r="7192" spans="1:1" s="427" customFormat="1" ht="12" hidden="1" customHeight="1">
      <c r="A7192" s="426"/>
    </row>
    <row r="7193" spans="1:1" s="427" customFormat="1" ht="12" hidden="1" customHeight="1">
      <c r="A7193" s="426"/>
    </row>
    <row r="7194" spans="1:1" s="427" customFormat="1" ht="12" hidden="1" customHeight="1">
      <c r="A7194" s="426"/>
    </row>
    <row r="7195" spans="1:1" s="427" customFormat="1" ht="12" hidden="1" customHeight="1">
      <c r="A7195" s="426"/>
    </row>
    <row r="7196" spans="1:1" s="427" customFormat="1" ht="12" hidden="1" customHeight="1">
      <c r="A7196" s="426"/>
    </row>
    <row r="7197" spans="1:1" s="427" customFormat="1" ht="12" hidden="1" customHeight="1">
      <c r="A7197" s="426"/>
    </row>
    <row r="7198" spans="1:1" s="427" customFormat="1" ht="12" hidden="1" customHeight="1">
      <c r="A7198" s="426"/>
    </row>
    <row r="7199" spans="1:1" s="427" customFormat="1" ht="12" hidden="1" customHeight="1">
      <c r="A7199" s="426"/>
    </row>
    <row r="7200" spans="1:1" s="427" customFormat="1" ht="12" hidden="1" customHeight="1">
      <c r="A7200" s="426"/>
    </row>
    <row r="7201" spans="1:1" s="427" customFormat="1" ht="12" hidden="1" customHeight="1">
      <c r="A7201" s="426"/>
    </row>
    <row r="7202" spans="1:1" s="427" customFormat="1" ht="12" hidden="1" customHeight="1">
      <c r="A7202" s="426"/>
    </row>
    <row r="7203" spans="1:1" s="427" customFormat="1" ht="12" hidden="1" customHeight="1">
      <c r="A7203" s="426"/>
    </row>
    <row r="7204" spans="1:1" s="427" customFormat="1" ht="12" hidden="1" customHeight="1">
      <c r="A7204" s="426"/>
    </row>
    <row r="7205" spans="1:1" s="427" customFormat="1" ht="12" hidden="1" customHeight="1">
      <c r="A7205" s="426"/>
    </row>
    <row r="7206" spans="1:1" s="427" customFormat="1" ht="12" hidden="1" customHeight="1">
      <c r="A7206" s="426"/>
    </row>
    <row r="7207" spans="1:1" s="427" customFormat="1" ht="12" hidden="1" customHeight="1">
      <c r="A7207" s="426"/>
    </row>
    <row r="7208" spans="1:1" s="427" customFormat="1" ht="12" hidden="1" customHeight="1">
      <c r="A7208" s="426"/>
    </row>
    <row r="7209" spans="1:1" s="427" customFormat="1" ht="12" hidden="1" customHeight="1">
      <c r="A7209" s="426"/>
    </row>
    <row r="7210" spans="1:1" s="427" customFormat="1" ht="12" hidden="1" customHeight="1">
      <c r="A7210" s="426"/>
    </row>
    <row r="7211" spans="1:1" s="427" customFormat="1" ht="12" hidden="1" customHeight="1">
      <c r="A7211" s="426"/>
    </row>
    <row r="7212" spans="1:1" s="427" customFormat="1" ht="12" hidden="1" customHeight="1">
      <c r="A7212" s="426"/>
    </row>
    <row r="7213" spans="1:1" s="427" customFormat="1" ht="12" hidden="1" customHeight="1">
      <c r="A7213" s="426"/>
    </row>
    <row r="7214" spans="1:1" s="427" customFormat="1" ht="12" hidden="1" customHeight="1">
      <c r="A7214" s="426"/>
    </row>
    <row r="7215" spans="1:1" s="427" customFormat="1" ht="12" hidden="1" customHeight="1">
      <c r="A7215" s="426"/>
    </row>
    <row r="7216" spans="1:1" s="427" customFormat="1" ht="12" hidden="1" customHeight="1">
      <c r="A7216" s="426"/>
    </row>
    <row r="7217" spans="1:1" s="427" customFormat="1" ht="12" hidden="1" customHeight="1">
      <c r="A7217" s="426"/>
    </row>
    <row r="7218" spans="1:1" s="427" customFormat="1" ht="12" hidden="1" customHeight="1">
      <c r="A7218" s="426"/>
    </row>
    <row r="7219" spans="1:1" s="427" customFormat="1" ht="12" hidden="1" customHeight="1">
      <c r="A7219" s="426"/>
    </row>
    <row r="7220" spans="1:1" s="427" customFormat="1" ht="12" hidden="1" customHeight="1">
      <c r="A7220" s="426"/>
    </row>
    <row r="7221" spans="1:1" s="427" customFormat="1" ht="12" hidden="1" customHeight="1">
      <c r="A7221" s="426"/>
    </row>
    <row r="7222" spans="1:1" s="427" customFormat="1" ht="12" hidden="1" customHeight="1">
      <c r="A7222" s="426"/>
    </row>
    <row r="7223" spans="1:1" s="427" customFormat="1" ht="12" hidden="1" customHeight="1">
      <c r="A7223" s="426"/>
    </row>
    <row r="7224" spans="1:1" s="427" customFormat="1" ht="12" hidden="1" customHeight="1">
      <c r="A7224" s="426"/>
    </row>
    <row r="7225" spans="1:1" s="427" customFormat="1" ht="12" hidden="1" customHeight="1">
      <c r="A7225" s="426"/>
    </row>
    <row r="7226" spans="1:1" s="427" customFormat="1" ht="12" hidden="1" customHeight="1">
      <c r="A7226" s="426"/>
    </row>
    <row r="7227" spans="1:1" s="427" customFormat="1" ht="12" hidden="1" customHeight="1">
      <c r="A7227" s="426"/>
    </row>
    <row r="7228" spans="1:1" s="427" customFormat="1" ht="12" hidden="1" customHeight="1">
      <c r="A7228" s="426"/>
    </row>
    <row r="7229" spans="1:1" s="427" customFormat="1" ht="12" hidden="1" customHeight="1">
      <c r="A7229" s="426"/>
    </row>
    <row r="7230" spans="1:1" s="427" customFormat="1" ht="12" hidden="1" customHeight="1">
      <c r="A7230" s="426"/>
    </row>
    <row r="7231" spans="1:1" s="427" customFormat="1" ht="12" hidden="1" customHeight="1">
      <c r="A7231" s="426"/>
    </row>
    <row r="7232" spans="1:1" s="427" customFormat="1" ht="12" hidden="1" customHeight="1">
      <c r="A7232" s="426"/>
    </row>
    <row r="7233" spans="1:1" s="427" customFormat="1" ht="12" hidden="1" customHeight="1">
      <c r="A7233" s="426"/>
    </row>
    <row r="7234" spans="1:1" s="427" customFormat="1" ht="12" hidden="1" customHeight="1">
      <c r="A7234" s="426"/>
    </row>
    <row r="7235" spans="1:1" s="427" customFormat="1" ht="12" hidden="1" customHeight="1">
      <c r="A7235" s="426"/>
    </row>
    <row r="7236" spans="1:1" s="427" customFormat="1" ht="12" hidden="1" customHeight="1">
      <c r="A7236" s="426"/>
    </row>
    <row r="7237" spans="1:1" s="427" customFormat="1" ht="12" hidden="1" customHeight="1">
      <c r="A7237" s="426"/>
    </row>
    <row r="7238" spans="1:1" s="427" customFormat="1" ht="12" hidden="1" customHeight="1">
      <c r="A7238" s="426"/>
    </row>
    <row r="7239" spans="1:1" s="427" customFormat="1" ht="12" hidden="1" customHeight="1">
      <c r="A7239" s="426"/>
    </row>
    <row r="7240" spans="1:1" s="427" customFormat="1" ht="12" hidden="1" customHeight="1">
      <c r="A7240" s="426"/>
    </row>
    <row r="7241" spans="1:1" s="427" customFormat="1" ht="12" hidden="1" customHeight="1">
      <c r="A7241" s="426"/>
    </row>
    <row r="7242" spans="1:1" s="427" customFormat="1" ht="12" hidden="1" customHeight="1">
      <c r="A7242" s="426"/>
    </row>
    <row r="7243" spans="1:1" s="427" customFormat="1" ht="12" hidden="1" customHeight="1">
      <c r="A7243" s="426"/>
    </row>
    <row r="7244" spans="1:1" s="427" customFormat="1" ht="12" hidden="1" customHeight="1">
      <c r="A7244" s="426"/>
    </row>
    <row r="7245" spans="1:1" s="427" customFormat="1" ht="12" hidden="1" customHeight="1">
      <c r="A7245" s="426"/>
    </row>
    <row r="7246" spans="1:1" s="427" customFormat="1" ht="12" hidden="1" customHeight="1">
      <c r="A7246" s="426"/>
    </row>
    <row r="7247" spans="1:1" s="427" customFormat="1" ht="12" hidden="1" customHeight="1">
      <c r="A7247" s="426"/>
    </row>
    <row r="7248" spans="1:1" s="427" customFormat="1" ht="12" hidden="1" customHeight="1">
      <c r="A7248" s="426"/>
    </row>
    <row r="7249" spans="1:1" s="427" customFormat="1" ht="12" hidden="1" customHeight="1">
      <c r="A7249" s="426"/>
    </row>
    <row r="7250" spans="1:1" s="427" customFormat="1" ht="12" hidden="1" customHeight="1">
      <c r="A7250" s="426"/>
    </row>
    <row r="7251" spans="1:1" s="427" customFormat="1" ht="12" hidden="1" customHeight="1">
      <c r="A7251" s="426"/>
    </row>
    <row r="7252" spans="1:1" s="427" customFormat="1" ht="12" hidden="1" customHeight="1">
      <c r="A7252" s="426"/>
    </row>
    <row r="7253" spans="1:1" s="427" customFormat="1" ht="12" hidden="1" customHeight="1">
      <c r="A7253" s="426"/>
    </row>
    <row r="7254" spans="1:1" s="427" customFormat="1" ht="12" hidden="1" customHeight="1">
      <c r="A7254" s="426"/>
    </row>
    <row r="7255" spans="1:1" s="427" customFormat="1" ht="12" hidden="1" customHeight="1">
      <c r="A7255" s="426"/>
    </row>
    <row r="7256" spans="1:1" s="427" customFormat="1" ht="12" hidden="1" customHeight="1">
      <c r="A7256" s="426"/>
    </row>
    <row r="7257" spans="1:1" s="427" customFormat="1" ht="12" hidden="1" customHeight="1">
      <c r="A7257" s="426"/>
    </row>
    <row r="7258" spans="1:1" s="427" customFormat="1" ht="12" hidden="1" customHeight="1">
      <c r="A7258" s="426"/>
    </row>
    <row r="7259" spans="1:1" s="427" customFormat="1" ht="12" hidden="1" customHeight="1">
      <c r="A7259" s="426"/>
    </row>
    <row r="7260" spans="1:1" s="427" customFormat="1" ht="12" hidden="1" customHeight="1">
      <c r="A7260" s="426"/>
    </row>
    <row r="7261" spans="1:1" s="427" customFormat="1" ht="12" hidden="1" customHeight="1">
      <c r="A7261" s="426"/>
    </row>
    <row r="7262" spans="1:1" s="427" customFormat="1" ht="12" hidden="1" customHeight="1">
      <c r="A7262" s="426"/>
    </row>
    <row r="7263" spans="1:1" s="427" customFormat="1" ht="12" hidden="1" customHeight="1">
      <c r="A7263" s="426"/>
    </row>
    <row r="7264" spans="1:1" s="427" customFormat="1" ht="12" hidden="1" customHeight="1">
      <c r="A7264" s="426"/>
    </row>
    <row r="7265" spans="1:1" s="427" customFormat="1" ht="12" hidden="1" customHeight="1">
      <c r="A7265" s="426"/>
    </row>
    <row r="7266" spans="1:1" s="427" customFormat="1" ht="12" hidden="1" customHeight="1">
      <c r="A7266" s="426"/>
    </row>
    <row r="7267" spans="1:1" s="427" customFormat="1" ht="12" hidden="1" customHeight="1">
      <c r="A7267" s="426"/>
    </row>
    <row r="7268" spans="1:1" s="427" customFormat="1" ht="12" hidden="1" customHeight="1">
      <c r="A7268" s="426"/>
    </row>
    <row r="7269" spans="1:1" s="427" customFormat="1" ht="12" hidden="1" customHeight="1">
      <c r="A7269" s="426"/>
    </row>
    <row r="7270" spans="1:1" s="427" customFormat="1" ht="12" hidden="1" customHeight="1">
      <c r="A7270" s="426"/>
    </row>
    <row r="7271" spans="1:1" s="427" customFormat="1" ht="12" hidden="1" customHeight="1">
      <c r="A7271" s="426"/>
    </row>
    <row r="7272" spans="1:1" s="427" customFormat="1" ht="12" hidden="1" customHeight="1">
      <c r="A7272" s="426"/>
    </row>
    <row r="7273" spans="1:1" s="427" customFormat="1" ht="12" hidden="1" customHeight="1">
      <c r="A7273" s="426"/>
    </row>
    <row r="7274" spans="1:1" s="427" customFormat="1" ht="12" hidden="1" customHeight="1">
      <c r="A7274" s="426"/>
    </row>
    <row r="7275" spans="1:1" s="427" customFormat="1" ht="12" hidden="1" customHeight="1">
      <c r="A7275" s="426"/>
    </row>
    <row r="7276" spans="1:1" s="427" customFormat="1" ht="12" hidden="1" customHeight="1">
      <c r="A7276" s="426"/>
    </row>
    <row r="7277" spans="1:1" s="427" customFormat="1" ht="12" hidden="1" customHeight="1">
      <c r="A7277" s="426"/>
    </row>
    <row r="7278" spans="1:1" s="427" customFormat="1" ht="12" hidden="1" customHeight="1">
      <c r="A7278" s="426"/>
    </row>
    <row r="7279" spans="1:1" s="427" customFormat="1" ht="12" hidden="1" customHeight="1">
      <c r="A7279" s="426"/>
    </row>
    <row r="7280" spans="1:1" s="427" customFormat="1" ht="12" hidden="1" customHeight="1">
      <c r="A7280" s="426"/>
    </row>
    <row r="7281" spans="1:1" s="427" customFormat="1" ht="12" hidden="1" customHeight="1">
      <c r="A7281" s="426"/>
    </row>
    <row r="7282" spans="1:1" s="427" customFormat="1" ht="12" hidden="1" customHeight="1">
      <c r="A7282" s="426"/>
    </row>
    <row r="7283" spans="1:1" s="427" customFormat="1" ht="12" hidden="1" customHeight="1">
      <c r="A7283" s="426"/>
    </row>
    <row r="7284" spans="1:1" s="427" customFormat="1" ht="12" hidden="1" customHeight="1">
      <c r="A7284" s="426"/>
    </row>
    <row r="7285" spans="1:1" s="427" customFormat="1" ht="12" hidden="1" customHeight="1">
      <c r="A7285" s="426"/>
    </row>
    <row r="7286" spans="1:1" s="427" customFormat="1" ht="12" hidden="1" customHeight="1">
      <c r="A7286" s="426"/>
    </row>
    <row r="7287" spans="1:1" s="427" customFormat="1" ht="12" hidden="1" customHeight="1">
      <c r="A7287" s="426"/>
    </row>
    <row r="7288" spans="1:1" s="427" customFormat="1" ht="12" hidden="1" customHeight="1">
      <c r="A7288" s="426"/>
    </row>
    <row r="7289" spans="1:1" s="427" customFormat="1" ht="12" hidden="1" customHeight="1">
      <c r="A7289" s="426"/>
    </row>
    <row r="7290" spans="1:1" s="427" customFormat="1" ht="12" hidden="1" customHeight="1">
      <c r="A7290" s="426"/>
    </row>
    <row r="7291" spans="1:1" s="427" customFormat="1" ht="12" hidden="1" customHeight="1">
      <c r="A7291" s="426"/>
    </row>
    <row r="7292" spans="1:1" s="427" customFormat="1" ht="12" hidden="1" customHeight="1">
      <c r="A7292" s="426"/>
    </row>
    <row r="7293" spans="1:1" s="427" customFormat="1" ht="12" hidden="1" customHeight="1">
      <c r="A7293" s="426"/>
    </row>
    <row r="7294" spans="1:1" s="427" customFormat="1" ht="12" hidden="1" customHeight="1">
      <c r="A7294" s="426"/>
    </row>
    <row r="7295" spans="1:1" s="427" customFormat="1" ht="12" hidden="1" customHeight="1">
      <c r="A7295" s="426"/>
    </row>
    <row r="7296" spans="1:1" s="427" customFormat="1" ht="12" hidden="1" customHeight="1">
      <c r="A7296" s="426"/>
    </row>
    <row r="7297" spans="1:1" s="427" customFormat="1" ht="12" hidden="1" customHeight="1">
      <c r="A7297" s="426"/>
    </row>
    <row r="7298" spans="1:1" s="427" customFormat="1" ht="12" hidden="1" customHeight="1">
      <c r="A7298" s="426"/>
    </row>
    <row r="7299" spans="1:1" s="427" customFormat="1" ht="12" hidden="1" customHeight="1">
      <c r="A7299" s="426"/>
    </row>
    <row r="7300" spans="1:1" s="427" customFormat="1" ht="12" hidden="1" customHeight="1">
      <c r="A7300" s="426"/>
    </row>
    <row r="7301" spans="1:1" s="427" customFormat="1" ht="12" hidden="1" customHeight="1">
      <c r="A7301" s="426"/>
    </row>
    <row r="7302" spans="1:1" s="427" customFormat="1" ht="12" hidden="1" customHeight="1">
      <c r="A7302" s="426"/>
    </row>
    <row r="7303" spans="1:1" s="427" customFormat="1" ht="12" hidden="1" customHeight="1">
      <c r="A7303" s="426"/>
    </row>
    <row r="7304" spans="1:1" s="427" customFormat="1" ht="12" hidden="1" customHeight="1">
      <c r="A7304" s="426"/>
    </row>
    <row r="7305" spans="1:1" s="427" customFormat="1" ht="12" hidden="1" customHeight="1">
      <c r="A7305" s="426"/>
    </row>
    <row r="7306" spans="1:1" s="427" customFormat="1" ht="12" hidden="1" customHeight="1">
      <c r="A7306" s="426"/>
    </row>
    <row r="7307" spans="1:1" s="427" customFormat="1" ht="12" hidden="1" customHeight="1">
      <c r="A7307" s="426"/>
    </row>
    <row r="7308" spans="1:1" s="427" customFormat="1" ht="12" hidden="1" customHeight="1">
      <c r="A7308" s="426"/>
    </row>
    <row r="7309" spans="1:1" s="427" customFormat="1" ht="12" hidden="1" customHeight="1">
      <c r="A7309" s="426"/>
    </row>
    <row r="7310" spans="1:1" s="427" customFormat="1" ht="12" hidden="1" customHeight="1">
      <c r="A7310" s="426"/>
    </row>
    <row r="7311" spans="1:1" s="427" customFormat="1" ht="12" hidden="1" customHeight="1">
      <c r="A7311" s="426"/>
    </row>
    <row r="7312" spans="1:1" s="427" customFormat="1" ht="12" hidden="1" customHeight="1">
      <c r="A7312" s="426"/>
    </row>
    <row r="7313" spans="1:1" s="427" customFormat="1" ht="12" hidden="1" customHeight="1">
      <c r="A7313" s="426"/>
    </row>
    <row r="7314" spans="1:1" s="427" customFormat="1" ht="12" hidden="1" customHeight="1">
      <c r="A7314" s="426"/>
    </row>
    <row r="7315" spans="1:1" s="427" customFormat="1" ht="12" hidden="1" customHeight="1">
      <c r="A7315" s="426"/>
    </row>
    <row r="7316" spans="1:1" s="427" customFormat="1" ht="12" hidden="1" customHeight="1">
      <c r="A7316" s="426"/>
    </row>
    <row r="7317" spans="1:1" s="427" customFormat="1" ht="12" hidden="1" customHeight="1">
      <c r="A7317" s="426"/>
    </row>
    <row r="7318" spans="1:1" s="427" customFormat="1" ht="12" hidden="1" customHeight="1">
      <c r="A7318" s="426"/>
    </row>
    <row r="7319" spans="1:1" s="427" customFormat="1" ht="12" hidden="1" customHeight="1">
      <c r="A7319" s="426"/>
    </row>
    <row r="7320" spans="1:1" s="427" customFormat="1" ht="12" hidden="1" customHeight="1">
      <c r="A7320" s="426"/>
    </row>
    <row r="7321" spans="1:1" s="427" customFormat="1" ht="12" hidden="1" customHeight="1">
      <c r="A7321" s="426"/>
    </row>
    <row r="7322" spans="1:1" s="427" customFormat="1" ht="12" hidden="1" customHeight="1">
      <c r="A7322" s="426"/>
    </row>
    <row r="7323" spans="1:1" s="427" customFormat="1" ht="12" hidden="1" customHeight="1">
      <c r="A7323" s="426"/>
    </row>
    <row r="7324" spans="1:1" s="427" customFormat="1" ht="12" hidden="1" customHeight="1">
      <c r="A7324" s="426"/>
    </row>
    <row r="7325" spans="1:1" s="427" customFormat="1" ht="12" hidden="1" customHeight="1">
      <c r="A7325" s="426"/>
    </row>
    <row r="7326" spans="1:1" s="427" customFormat="1" ht="12" hidden="1" customHeight="1">
      <c r="A7326" s="426"/>
    </row>
    <row r="7327" spans="1:1" s="427" customFormat="1" ht="12" hidden="1" customHeight="1">
      <c r="A7327" s="426"/>
    </row>
    <row r="7328" spans="1:1" s="427" customFormat="1" ht="12" hidden="1" customHeight="1">
      <c r="A7328" s="426"/>
    </row>
    <row r="7329" spans="1:1" s="427" customFormat="1" ht="12" hidden="1" customHeight="1">
      <c r="A7329" s="426"/>
    </row>
    <row r="7330" spans="1:1" s="427" customFormat="1" ht="12" hidden="1" customHeight="1">
      <c r="A7330" s="426"/>
    </row>
    <row r="7331" spans="1:1" s="427" customFormat="1" ht="12" hidden="1" customHeight="1">
      <c r="A7331" s="426"/>
    </row>
    <row r="7332" spans="1:1" s="427" customFormat="1" ht="12" hidden="1" customHeight="1">
      <c r="A7332" s="426"/>
    </row>
    <row r="7333" spans="1:1" s="427" customFormat="1" ht="12" hidden="1" customHeight="1">
      <c r="A7333" s="426"/>
    </row>
    <row r="7334" spans="1:1" s="427" customFormat="1" ht="12" hidden="1" customHeight="1">
      <c r="A7334" s="426"/>
    </row>
    <row r="7335" spans="1:1" s="427" customFormat="1" ht="12" hidden="1" customHeight="1">
      <c r="A7335" s="426"/>
    </row>
    <row r="7336" spans="1:1" s="427" customFormat="1" ht="12" hidden="1" customHeight="1">
      <c r="A7336" s="426"/>
    </row>
    <row r="7337" spans="1:1" s="427" customFormat="1" ht="12" hidden="1" customHeight="1">
      <c r="A7337" s="426"/>
    </row>
    <row r="7338" spans="1:1" s="427" customFormat="1" ht="12" hidden="1" customHeight="1">
      <c r="A7338" s="426"/>
    </row>
    <row r="7339" spans="1:1" s="427" customFormat="1" ht="12" hidden="1" customHeight="1">
      <c r="A7339" s="426"/>
    </row>
    <row r="7340" spans="1:1" s="427" customFormat="1" ht="12" hidden="1" customHeight="1">
      <c r="A7340" s="426"/>
    </row>
    <row r="7341" spans="1:1" s="427" customFormat="1" ht="12" hidden="1" customHeight="1">
      <c r="A7341" s="426"/>
    </row>
    <row r="7342" spans="1:1" s="427" customFormat="1" ht="12" hidden="1" customHeight="1">
      <c r="A7342" s="426"/>
    </row>
    <row r="7343" spans="1:1" s="427" customFormat="1" ht="12" hidden="1" customHeight="1">
      <c r="A7343" s="426"/>
    </row>
    <row r="7344" spans="1:1" s="427" customFormat="1" ht="12" hidden="1" customHeight="1">
      <c r="A7344" s="426"/>
    </row>
    <row r="7345" spans="1:1" s="427" customFormat="1" ht="12" hidden="1" customHeight="1">
      <c r="A7345" s="426"/>
    </row>
    <row r="7346" spans="1:1" s="427" customFormat="1" ht="12" hidden="1" customHeight="1">
      <c r="A7346" s="426"/>
    </row>
    <row r="7347" spans="1:1" s="427" customFormat="1" ht="12" hidden="1" customHeight="1">
      <c r="A7347" s="426"/>
    </row>
    <row r="7348" spans="1:1" s="427" customFormat="1" ht="12" hidden="1" customHeight="1">
      <c r="A7348" s="426"/>
    </row>
    <row r="7349" spans="1:1" s="427" customFormat="1" ht="12" hidden="1" customHeight="1">
      <c r="A7349" s="426"/>
    </row>
    <row r="7350" spans="1:1" s="427" customFormat="1" ht="12" hidden="1" customHeight="1">
      <c r="A7350" s="426"/>
    </row>
    <row r="7351" spans="1:1" s="427" customFormat="1" ht="12" hidden="1" customHeight="1">
      <c r="A7351" s="426"/>
    </row>
    <row r="7352" spans="1:1" s="427" customFormat="1" ht="12" hidden="1" customHeight="1">
      <c r="A7352" s="426"/>
    </row>
    <row r="7353" spans="1:1" s="427" customFormat="1" ht="12" hidden="1" customHeight="1">
      <c r="A7353" s="426"/>
    </row>
    <row r="7354" spans="1:1" s="427" customFormat="1" ht="12" hidden="1" customHeight="1">
      <c r="A7354" s="426"/>
    </row>
    <row r="7355" spans="1:1" s="427" customFormat="1" ht="12" hidden="1" customHeight="1">
      <c r="A7355" s="426"/>
    </row>
    <row r="7356" spans="1:1" s="427" customFormat="1" ht="12" hidden="1" customHeight="1">
      <c r="A7356" s="426"/>
    </row>
    <row r="7357" spans="1:1" s="427" customFormat="1" ht="12" hidden="1" customHeight="1">
      <c r="A7357" s="426"/>
    </row>
    <row r="7358" spans="1:1" s="427" customFormat="1" ht="12" hidden="1" customHeight="1">
      <c r="A7358" s="426"/>
    </row>
    <row r="7359" spans="1:1" s="427" customFormat="1" ht="12" hidden="1" customHeight="1">
      <c r="A7359" s="426"/>
    </row>
    <row r="7360" spans="1:1" s="427" customFormat="1" ht="12" hidden="1" customHeight="1">
      <c r="A7360" s="426"/>
    </row>
    <row r="7361" spans="1:1" s="427" customFormat="1" ht="12" hidden="1" customHeight="1">
      <c r="A7361" s="426"/>
    </row>
    <row r="7362" spans="1:1" s="427" customFormat="1" ht="12" hidden="1" customHeight="1">
      <c r="A7362" s="426"/>
    </row>
    <row r="7363" spans="1:1" s="427" customFormat="1" ht="12" hidden="1" customHeight="1">
      <c r="A7363" s="426"/>
    </row>
    <row r="7364" spans="1:1" s="427" customFormat="1" ht="12" hidden="1" customHeight="1">
      <c r="A7364" s="426"/>
    </row>
    <row r="7365" spans="1:1" s="427" customFormat="1" ht="12" hidden="1" customHeight="1">
      <c r="A7365" s="426"/>
    </row>
    <row r="7366" spans="1:1" s="427" customFormat="1" ht="12" hidden="1" customHeight="1">
      <c r="A7366" s="426"/>
    </row>
    <row r="7367" spans="1:1" s="427" customFormat="1" ht="12" hidden="1" customHeight="1">
      <c r="A7367" s="426"/>
    </row>
    <row r="7368" spans="1:1" s="427" customFormat="1" ht="12" hidden="1" customHeight="1">
      <c r="A7368" s="426"/>
    </row>
    <row r="7369" spans="1:1" s="427" customFormat="1" ht="12" hidden="1" customHeight="1">
      <c r="A7369" s="426"/>
    </row>
    <row r="7370" spans="1:1" s="427" customFormat="1" ht="12" hidden="1" customHeight="1">
      <c r="A7370" s="426"/>
    </row>
    <row r="7371" spans="1:1" s="427" customFormat="1" ht="12" hidden="1" customHeight="1">
      <c r="A7371" s="426"/>
    </row>
    <row r="7372" spans="1:1" s="427" customFormat="1" ht="12" hidden="1" customHeight="1">
      <c r="A7372" s="426"/>
    </row>
    <row r="7373" spans="1:1" s="427" customFormat="1" ht="12" hidden="1" customHeight="1">
      <c r="A7373" s="426"/>
    </row>
    <row r="7374" spans="1:1" s="427" customFormat="1" ht="12" hidden="1" customHeight="1">
      <c r="A7374" s="426"/>
    </row>
    <row r="7375" spans="1:1" s="427" customFormat="1" ht="12" hidden="1" customHeight="1">
      <c r="A7375" s="426"/>
    </row>
    <row r="7376" spans="1:1" s="427" customFormat="1" ht="12" hidden="1" customHeight="1">
      <c r="A7376" s="426"/>
    </row>
    <row r="7377" spans="1:1" s="427" customFormat="1" ht="12" hidden="1" customHeight="1">
      <c r="A7377" s="426"/>
    </row>
    <row r="7378" spans="1:1" s="427" customFormat="1" ht="12" hidden="1" customHeight="1">
      <c r="A7378" s="426"/>
    </row>
    <row r="7379" spans="1:1" s="427" customFormat="1" ht="12" hidden="1" customHeight="1">
      <c r="A7379" s="426"/>
    </row>
    <row r="7380" spans="1:1" s="427" customFormat="1" ht="12" hidden="1" customHeight="1">
      <c r="A7380" s="426"/>
    </row>
    <row r="7381" spans="1:1" s="427" customFormat="1" ht="12" hidden="1" customHeight="1">
      <c r="A7381" s="426"/>
    </row>
    <row r="7382" spans="1:1" s="427" customFormat="1" ht="12" hidden="1" customHeight="1">
      <c r="A7382" s="426"/>
    </row>
    <row r="7383" spans="1:1" s="427" customFormat="1" ht="12" hidden="1" customHeight="1">
      <c r="A7383" s="426"/>
    </row>
    <row r="7384" spans="1:1" s="427" customFormat="1" ht="12" hidden="1" customHeight="1">
      <c r="A7384" s="426"/>
    </row>
    <row r="7385" spans="1:1" s="427" customFormat="1" ht="12" hidden="1" customHeight="1">
      <c r="A7385" s="426"/>
    </row>
    <row r="7386" spans="1:1" s="427" customFormat="1" ht="12" hidden="1" customHeight="1">
      <c r="A7386" s="426"/>
    </row>
    <row r="7387" spans="1:1" s="427" customFormat="1" ht="12" hidden="1" customHeight="1">
      <c r="A7387" s="426"/>
    </row>
    <row r="7388" spans="1:1" s="427" customFormat="1" ht="12" hidden="1" customHeight="1">
      <c r="A7388" s="426"/>
    </row>
    <row r="7389" spans="1:1" s="427" customFormat="1" ht="12" hidden="1" customHeight="1">
      <c r="A7389" s="426"/>
    </row>
    <row r="7390" spans="1:1" s="427" customFormat="1" ht="12" hidden="1" customHeight="1">
      <c r="A7390" s="426"/>
    </row>
    <row r="7391" spans="1:1" s="427" customFormat="1" ht="12" hidden="1" customHeight="1">
      <c r="A7391" s="426"/>
    </row>
    <row r="7392" spans="1:1" s="427" customFormat="1" ht="12" hidden="1" customHeight="1">
      <c r="A7392" s="426"/>
    </row>
    <row r="7393" spans="1:1" s="427" customFormat="1" ht="12" hidden="1" customHeight="1">
      <c r="A7393" s="426"/>
    </row>
    <row r="7394" spans="1:1" s="427" customFormat="1" ht="12" hidden="1" customHeight="1">
      <c r="A7394" s="426"/>
    </row>
    <row r="7395" spans="1:1" s="427" customFormat="1" ht="12" hidden="1" customHeight="1">
      <c r="A7395" s="426"/>
    </row>
    <row r="7396" spans="1:1" s="427" customFormat="1" ht="12" hidden="1" customHeight="1">
      <c r="A7396" s="426"/>
    </row>
    <row r="7397" spans="1:1" s="427" customFormat="1" ht="12" hidden="1" customHeight="1">
      <c r="A7397" s="426"/>
    </row>
    <row r="7398" spans="1:1" s="427" customFormat="1" ht="12" hidden="1" customHeight="1">
      <c r="A7398" s="426"/>
    </row>
    <row r="7399" spans="1:1" s="427" customFormat="1" ht="12" hidden="1" customHeight="1">
      <c r="A7399" s="426"/>
    </row>
    <row r="7400" spans="1:1" s="427" customFormat="1" ht="12" hidden="1" customHeight="1">
      <c r="A7400" s="426"/>
    </row>
    <row r="7401" spans="1:1" s="427" customFormat="1" ht="12" hidden="1" customHeight="1">
      <c r="A7401" s="426"/>
    </row>
    <row r="7402" spans="1:1" s="427" customFormat="1" ht="12" hidden="1" customHeight="1">
      <c r="A7402" s="426"/>
    </row>
    <row r="7403" spans="1:1" s="427" customFormat="1" ht="12" hidden="1" customHeight="1">
      <c r="A7403" s="426"/>
    </row>
    <row r="7404" spans="1:1" s="427" customFormat="1" ht="12" hidden="1" customHeight="1">
      <c r="A7404" s="426"/>
    </row>
    <row r="7405" spans="1:1" s="427" customFormat="1" ht="12" hidden="1" customHeight="1">
      <c r="A7405" s="426"/>
    </row>
    <row r="7406" spans="1:1" s="427" customFormat="1" ht="12" hidden="1" customHeight="1">
      <c r="A7406" s="426"/>
    </row>
    <row r="7407" spans="1:1" s="427" customFormat="1" ht="12" hidden="1" customHeight="1">
      <c r="A7407" s="426"/>
    </row>
    <row r="7408" spans="1:1" s="427" customFormat="1" ht="12" hidden="1" customHeight="1">
      <c r="A7408" s="426"/>
    </row>
    <row r="7409" spans="1:1" s="427" customFormat="1" ht="12" hidden="1" customHeight="1">
      <c r="A7409" s="426"/>
    </row>
    <row r="7410" spans="1:1" s="427" customFormat="1" ht="12" hidden="1" customHeight="1">
      <c r="A7410" s="426"/>
    </row>
    <row r="7411" spans="1:1" s="427" customFormat="1" ht="12" hidden="1" customHeight="1">
      <c r="A7411" s="426"/>
    </row>
    <row r="7412" spans="1:1" s="427" customFormat="1" ht="12" hidden="1" customHeight="1">
      <c r="A7412" s="426"/>
    </row>
    <row r="7413" spans="1:1" s="427" customFormat="1" ht="12" hidden="1" customHeight="1">
      <c r="A7413" s="426"/>
    </row>
    <row r="7414" spans="1:1" s="427" customFormat="1" ht="12" hidden="1" customHeight="1">
      <c r="A7414" s="426"/>
    </row>
    <row r="7415" spans="1:1" s="427" customFormat="1" ht="12" hidden="1" customHeight="1">
      <c r="A7415" s="426"/>
    </row>
    <row r="7416" spans="1:1" s="427" customFormat="1" ht="12" hidden="1" customHeight="1">
      <c r="A7416" s="426"/>
    </row>
    <row r="7417" spans="1:1" s="427" customFormat="1" ht="12" hidden="1" customHeight="1">
      <c r="A7417" s="426"/>
    </row>
    <row r="7418" spans="1:1" s="427" customFormat="1" ht="12" hidden="1" customHeight="1">
      <c r="A7418" s="426"/>
    </row>
    <row r="7419" spans="1:1" s="427" customFormat="1" ht="12" hidden="1" customHeight="1">
      <c r="A7419" s="426"/>
    </row>
    <row r="7420" spans="1:1" s="427" customFormat="1" ht="12" hidden="1" customHeight="1">
      <c r="A7420" s="426"/>
    </row>
    <row r="7421" spans="1:1" s="427" customFormat="1" ht="12" hidden="1" customHeight="1">
      <c r="A7421" s="426"/>
    </row>
    <row r="7422" spans="1:1" s="427" customFormat="1" ht="12" hidden="1" customHeight="1">
      <c r="A7422" s="426"/>
    </row>
    <row r="7423" spans="1:1" s="427" customFormat="1" ht="12" hidden="1" customHeight="1">
      <c r="A7423" s="426"/>
    </row>
    <row r="7424" spans="1:1" s="427" customFormat="1" ht="12" hidden="1" customHeight="1">
      <c r="A7424" s="426"/>
    </row>
    <row r="7425" spans="1:1" s="427" customFormat="1" ht="12" hidden="1" customHeight="1">
      <c r="A7425" s="426"/>
    </row>
    <row r="7426" spans="1:1" s="427" customFormat="1" ht="12" hidden="1" customHeight="1">
      <c r="A7426" s="426"/>
    </row>
    <row r="7427" spans="1:1" s="427" customFormat="1" ht="12" hidden="1" customHeight="1">
      <c r="A7427" s="426"/>
    </row>
    <row r="7428" spans="1:1" s="427" customFormat="1" ht="12" hidden="1" customHeight="1">
      <c r="A7428" s="426"/>
    </row>
    <row r="7429" spans="1:1" s="427" customFormat="1" ht="12" hidden="1" customHeight="1">
      <c r="A7429" s="426"/>
    </row>
    <row r="7430" spans="1:1" s="427" customFormat="1" ht="12" hidden="1" customHeight="1">
      <c r="A7430" s="426"/>
    </row>
    <row r="7431" spans="1:1" s="427" customFormat="1" ht="12" hidden="1" customHeight="1">
      <c r="A7431" s="426"/>
    </row>
    <row r="7432" spans="1:1" s="427" customFormat="1" ht="12" hidden="1" customHeight="1">
      <c r="A7432" s="426"/>
    </row>
    <row r="7433" spans="1:1" s="427" customFormat="1" ht="12" hidden="1" customHeight="1">
      <c r="A7433" s="426"/>
    </row>
    <row r="7434" spans="1:1" s="427" customFormat="1" ht="12" hidden="1" customHeight="1">
      <c r="A7434" s="426"/>
    </row>
    <row r="7435" spans="1:1" s="427" customFormat="1" ht="12" hidden="1" customHeight="1">
      <c r="A7435" s="426"/>
    </row>
    <row r="7436" spans="1:1" s="427" customFormat="1" ht="12" hidden="1" customHeight="1">
      <c r="A7436" s="426"/>
    </row>
    <row r="7437" spans="1:1" s="427" customFormat="1" ht="12" hidden="1" customHeight="1">
      <c r="A7437" s="426"/>
    </row>
    <row r="7438" spans="1:1" s="427" customFormat="1" ht="12" hidden="1" customHeight="1">
      <c r="A7438" s="426"/>
    </row>
    <row r="7439" spans="1:1" s="427" customFormat="1" ht="12" hidden="1" customHeight="1">
      <c r="A7439" s="426"/>
    </row>
    <row r="7440" spans="1:1" s="427" customFormat="1" ht="12" hidden="1" customHeight="1">
      <c r="A7440" s="426"/>
    </row>
    <row r="7441" spans="1:1" s="427" customFormat="1" ht="12" hidden="1" customHeight="1">
      <c r="A7441" s="426"/>
    </row>
    <row r="7442" spans="1:1" s="427" customFormat="1" ht="12" hidden="1" customHeight="1">
      <c r="A7442" s="426"/>
    </row>
    <row r="7443" spans="1:1" s="427" customFormat="1" ht="12" hidden="1" customHeight="1">
      <c r="A7443" s="426"/>
    </row>
    <row r="7444" spans="1:1" s="427" customFormat="1" ht="12" hidden="1" customHeight="1">
      <c r="A7444" s="426"/>
    </row>
    <row r="7445" spans="1:1" s="427" customFormat="1" ht="12" hidden="1" customHeight="1">
      <c r="A7445" s="426"/>
    </row>
    <row r="7446" spans="1:1" s="427" customFormat="1" ht="12" hidden="1" customHeight="1">
      <c r="A7446" s="426"/>
    </row>
    <row r="7447" spans="1:1" s="427" customFormat="1" ht="12" hidden="1" customHeight="1">
      <c r="A7447" s="426"/>
    </row>
    <row r="7448" spans="1:1" s="427" customFormat="1" ht="12" hidden="1" customHeight="1">
      <c r="A7448" s="426"/>
    </row>
    <row r="7449" spans="1:1" s="427" customFormat="1" ht="12" hidden="1" customHeight="1">
      <c r="A7449" s="426"/>
    </row>
    <row r="7450" spans="1:1" s="427" customFormat="1" ht="12" hidden="1" customHeight="1">
      <c r="A7450" s="426"/>
    </row>
    <row r="7451" spans="1:1" s="427" customFormat="1" ht="12" hidden="1" customHeight="1">
      <c r="A7451" s="426"/>
    </row>
    <row r="7452" spans="1:1" s="427" customFormat="1" ht="12" hidden="1" customHeight="1">
      <c r="A7452" s="426"/>
    </row>
    <row r="7453" spans="1:1" s="427" customFormat="1" ht="12" hidden="1" customHeight="1">
      <c r="A7453" s="426"/>
    </row>
    <row r="7454" spans="1:1" s="427" customFormat="1" ht="12" hidden="1" customHeight="1">
      <c r="A7454" s="426"/>
    </row>
    <row r="7455" spans="1:1" s="427" customFormat="1" ht="12" hidden="1" customHeight="1">
      <c r="A7455" s="426"/>
    </row>
    <row r="7456" spans="1:1" s="427" customFormat="1" ht="12" hidden="1" customHeight="1">
      <c r="A7456" s="426"/>
    </row>
    <row r="7457" spans="1:1" s="427" customFormat="1" ht="12" hidden="1" customHeight="1">
      <c r="A7457" s="426"/>
    </row>
    <row r="7458" spans="1:1" s="427" customFormat="1" ht="12" hidden="1" customHeight="1">
      <c r="A7458" s="426"/>
    </row>
    <row r="7459" spans="1:1" s="427" customFormat="1" ht="12" hidden="1" customHeight="1">
      <c r="A7459" s="426"/>
    </row>
    <row r="7460" spans="1:1" s="427" customFormat="1" ht="12" hidden="1" customHeight="1">
      <c r="A7460" s="426"/>
    </row>
    <row r="7461" spans="1:1" s="427" customFormat="1" ht="12" hidden="1" customHeight="1">
      <c r="A7461" s="426"/>
    </row>
    <row r="7462" spans="1:1" s="427" customFormat="1" ht="12" hidden="1" customHeight="1">
      <c r="A7462" s="426"/>
    </row>
    <row r="7463" spans="1:1" s="427" customFormat="1" ht="12" hidden="1" customHeight="1">
      <c r="A7463" s="426"/>
    </row>
    <row r="7464" spans="1:1" s="427" customFormat="1" ht="12" hidden="1" customHeight="1">
      <c r="A7464" s="426"/>
    </row>
    <row r="7465" spans="1:1" s="427" customFormat="1" ht="12" hidden="1" customHeight="1">
      <c r="A7465" s="426"/>
    </row>
    <row r="7466" spans="1:1" s="427" customFormat="1" ht="12" hidden="1" customHeight="1">
      <c r="A7466" s="426"/>
    </row>
    <row r="7467" spans="1:1" s="427" customFormat="1" ht="12" hidden="1" customHeight="1">
      <c r="A7467" s="426"/>
    </row>
    <row r="7468" spans="1:1" s="427" customFormat="1" ht="12" hidden="1" customHeight="1">
      <c r="A7468" s="426"/>
    </row>
    <row r="7469" spans="1:1" s="427" customFormat="1" ht="12" hidden="1" customHeight="1">
      <c r="A7469" s="426"/>
    </row>
    <row r="7470" spans="1:1" s="427" customFormat="1" ht="12" hidden="1" customHeight="1">
      <c r="A7470" s="426"/>
    </row>
    <row r="7471" spans="1:1" s="427" customFormat="1" ht="12" hidden="1" customHeight="1">
      <c r="A7471" s="426"/>
    </row>
    <row r="7472" spans="1:1" s="427" customFormat="1" ht="12" hidden="1" customHeight="1">
      <c r="A7472" s="426"/>
    </row>
    <row r="7473" spans="1:1" s="427" customFormat="1" ht="12" hidden="1" customHeight="1">
      <c r="A7473" s="426"/>
    </row>
    <row r="7474" spans="1:1" s="427" customFormat="1" ht="12" hidden="1" customHeight="1">
      <c r="A7474" s="426"/>
    </row>
    <row r="7475" spans="1:1" s="427" customFormat="1" ht="12" hidden="1" customHeight="1">
      <c r="A7475" s="426"/>
    </row>
    <row r="7476" spans="1:1" s="427" customFormat="1" ht="12" hidden="1" customHeight="1">
      <c r="A7476" s="426"/>
    </row>
    <row r="7477" spans="1:1" s="427" customFormat="1" ht="12" hidden="1" customHeight="1">
      <c r="A7477" s="426"/>
    </row>
    <row r="7478" spans="1:1" s="427" customFormat="1" ht="12" hidden="1" customHeight="1">
      <c r="A7478" s="426"/>
    </row>
    <row r="7479" spans="1:1" s="427" customFormat="1" ht="12" hidden="1" customHeight="1">
      <c r="A7479" s="426"/>
    </row>
    <row r="7480" spans="1:1" s="427" customFormat="1" ht="12" hidden="1" customHeight="1">
      <c r="A7480" s="426"/>
    </row>
    <row r="7481" spans="1:1" s="427" customFormat="1" ht="12" hidden="1" customHeight="1">
      <c r="A7481" s="426"/>
    </row>
    <row r="7482" spans="1:1" s="427" customFormat="1" ht="12" hidden="1" customHeight="1">
      <c r="A7482" s="426"/>
    </row>
    <row r="7483" spans="1:1" s="427" customFormat="1" ht="12" hidden="1" customHeight="1">
      <c r="A7483" s="426"/>
    </row>
    <row r="7484" spans="1:1" s="427" customFormat="1" ht="12" hidden="1" customHeight="1">
      <c r="A7484" s="426"/>
    </row>
    <row r="7485" spans="1:1" s="427" customFormat="1" ht="12" hidden="1" customHeight="1">
      <c r="A7485" s="426"/>
    </row>
    <row r="7486" spans="1:1" s="427" customFormat="1" ht="12" hidden="1" customHeight="1">
      <c r="A7486" s="426"/>
    </row>
    <row r="7487" spans="1:1" s="427" customFormat="1" ht="12" hidden="1" customHeight="1">
      <c r="A7487" s="426"/>
    </row>
    <row r="7488" spans="1:1" s="427" customFormat="1" ht="12" hidden="1" customHeight="1">
      <c r="A7488" s="426"/>
    </row>
    <row r="7489" spans="1:1" s="427" customFormat="1" ht="12" hidden="1" customHeight="1">
      <c r="A7489" s="426"/>
    </row>
    <row r="7490" spans="1:1" s="427" customFormat="1" ht="12" hidden="1" customHeight="1">
      <c r="A7490" s="426"/>
    </row>
    <row r="7491" spans="1:1" s="427" customFormat="1" ht="12" hidden="1" customHeight="1">
      <c r="A7491" s="426"/>
    </row>
    <row r="7492" spans="1:1" s="427" customFormat="1" ht="12" hidden="1" customHeight="1">
      <c r="A7492" s="426"/>
    </row>
    <row r="7493" spans="1:1" s="427" customFormat="1" ht="12" hidden="1" customHeight="1">
      <c r="A7493" s="426"/>
    </row>
    <row r="7494" spans="1:1" s="427" customFormat="1" ht="12" hidden="1" customHeight="1">
      <c r="A7494" s="426"/>
    </row>
    <row r="7495" spans="1:1" s="427" customFormat="1" ht="12" hidden="1" customHeight="1">
      <c r="A7495" s="426"/>
    </row>
    <row r="7496" spans="1:1" s="427" customFormat="1" ht="12" hidden="1" customHeight="1">
      <c r="A7496" s="426"/>
    </row>
    <row r="7497" spans="1:1" s="427" customFormat="1" ht="12" hidden="1" customHeight="1">
      <c r="A7497" s="426"/>
    </row>
    <row r="7498" spans="1:1" s="427" customFormat="1" ht="12" hidden="1" customHeight="1">
      <c r="A7498" s="426"/>
    </row>
    <row r="7499" spans="1:1" s="427" customFormat="1" ht="12" hidden="1" customHeight="1">
      <c r="A7499" s="426"/>
    </row>
    <row r="7500" spans="1:1" s="427" customFormat="1" ht="12" hidden="1" customHeight="1">
      <c r="A7500" s="426"/>
    </row>
    <row r="7501" spans="1:1" s="427" customFormat="1" ht="12" hidden="1" customHeight="1">
      <c r="A7501" s="426"/>
    </row>
    <row r="7502" spans="1:1" s="427" customFormat="1" ht="12" hidden="1" customHeight="1">
      <c r="A7502" s="426"/>
    </row>
    <row r="7503" spans="1:1" s="427" customFormat="1" ht="12" hidden="1" customHeight="1">
      <c r="A7503" s="426"/>
    </row>
    <row r="7504" spans="1:1" s="427" customFormat="1" ht="12" hidden="1" customHeight="1">
      <c r="A7504" s="426"/>
    </row>
    <row r="7505" spans="1:1" s="427" customFormat="1" ht="12" hidden="1" customHeight="1">
      <c r="A7505" s="426"/>
    </row>
    <row r="7506" spans="1:1" s="427" customFormat="1" ht="12" hidden="1" customHeight="1">
      <c r="A7506" s="426"/>
    </row>
    <row r="7507" spans="1:1" s="427" customFormat="1" ht="12" hidden="1" customHeight="1">
      <c r="A7507" s="426"/>
    </row>
    <row r="7508" spans="1:1" s="427" customFormat="1" ht="12" hidden="1" customHeight="1">
      <c r="A7508" s="426"/>
    </row>
    <row r="7509" spans="1:1" s="427" customFormat="1" ht="12" hidden="1" customHeight="1">
      <c r="A7509" s="426"/>
    </row>
    <row r="7510" spans="1:1" s="427" customFormat="1" ht="12" hidden="1" customHeight="1">
      <c r="A7510" s="426"/>
    </row>
    <row r="7511" spans="1:1" s="427" customFormat="1" ht="12" hidden="1" customHeight="1">
      <c r="A7511" s="426"/>
    </row>
    <row r="7512" spans="1:1" s="427" customFormat="1" ht="12" hidden="1" customHeight="1">
      <c r="A7512" s="426"/>
    </row>
    <row r="7513" spans="1:1" s="427" customFormat="1" ht="12" hidden="1" customHeight="1">
      <c r="A7513" s="426"/>
    </row>
    <row r="7514" spans="1:1" s="427" customFormat="1" ht="12" hidden="1" customHeight="1">
      <c r="A7514" s="426"/>
    </row>
    <row r="7515" spans="1:1" s="427" customFormat="1" ht="12" hidden="1" customHeight="1">
      <c r="A7515" s="426"/>
    </row>
    <row r="7516" spans="1:1" s="427" customFormat="1" ht="12" hidden="1" customHeight="1">
      <c r="A7516" s="426"/>
    </row>
    <row r="7517" spans="1:1" s="427" customFormat="1" ht="12" hidden="1" customHeight="1">
      <c r="A7517" s="426"/>
    </row>
    <row r="7518" spans="1:1" s="427" customFormat="1" ht="12" hidden="1" customHeight="1">
      <c r="A7518" s="426"/>
    </row>
    <row r="7519" spans="1:1" s="427" customFormat="1" ht="12" hidden="1" customHeight="1">
      <c r="A7519" s="426"/>
    </row>
    <row r="7520" spans="1:1" s="427" customFormat="1" ht="12" hidden="1" customHeight="1">
      <c r="A7520" s="426"/>
    </row>
    <row r="7521" spans="1:1" s="427" customFormat="1" ht="12" hidden="1" customHeight="1">
      <c r="A7521" s="426"/>
    </row>
    <row r="7522" spans="1:1" s="427" customFormat="1" ht="12" hidden="1" customHeight="1">
      <c r="A7522" s="426"/>
    </row>
    <row r="7523" spans="1:1" s="427" customFormat="1" ht="12" hidden="1" customHeight="1">
      <c r="A7523" s="426"/>
    </row>
    <row r="7524" spans="1:1" s="427" customFormat="1" ht="12" hidden="1" customHeight="1">
      <c r="A7524" s="426"/>
    </row>
    <row r="7525" spans="1:1" s="427" customFormat="1" ht="12" hidden="1" customHeight="1">
      <c r="A7525" s="426"/>
    </row>
    <row r="7526" spans="1:1" s="427" customFormat="1" ht="12" hidden="1" customHeight="1">
      <c r="A7526" s="426"/>
    </row>
    <row r="7527" spans="1:1" s="427" customFormat="1" ht="12" hidden="1" customHeight="1">
      <c r="A7527" s="426"/>
    </row>
    <row r="7528" spans="1:1" s="427" customFormat="1" ht="12" hidden="1" customHeight="1">
      <c r="A7528" s="426"/>
    </row>
    <row r="7529" spans="1:1" s="427" customFormat="1" ht="12" hidden="1" customHeight="1">
      <c r="A7529" s="426"/>
    </row>
    <row r="7530" spans="1:1" s="427" customFormat="1" ht="12" hidden="1" customHeight="1">
      <c r="A7530" s="426"/>
    </row>
    <row r="7531" spans="1:1" s="427" customFormat="1" ht="12" hidden="1" customHeight="1">
      <c r="A7531" s="426"/>
    </row>
    <row r="7532" spans="1:1" s="427" customFormat="1" ht="12" hidden="1" customHeight="1">
      <c r="A7532" s="426"/>
    </row>
    <row r="7533" spans="1:1" s="427" customFormat="1" ht="12" hidden="1" customHeight="1">
      <c r="A7533" s="426"/>
    </row>
    <row r="7534" spans="1:1" s="427" customFormat="1" ht="12" hidden="1" customHeight="1">
      <c r="A7534" s="426"/>
    </row>
    <row r="7535" spans="1:1" s="427" customFormat="1" ht="12" hidden="1" customHeight="1">
      <c r="A7535" s="426"/>
    </row>
    <row r="7536" spans="1:1" s="427" customFormat="1" ht="12" hidden="1" customHeight="1">
      <c r="A7536" s="426"/>
    </row>
    <row r="7537" spans="1:1" s="427" customFormat="1" ht="12" hidden="1" customHeight="1">
      <c r="A7537" s="426"/>
    </row>
    <row r="7538" spans="1:1" s="427" customFormat="1" ht="12" hidden="1" customHeight="1">
      <c r="A7538" s="426"/>
    </row>
    <row r="7539" spans="1:1" s="427" customFormat="1" ht="12" hidden="1" customHeight="1">
      <c r="A7539" s="426"/>
    </row>
    <row r="7540" spans="1:1" s="427" customFormat="1" ht="12" hidden="1" customHeight="1">
      <c r="A7540" s="426"/>
    </row>
    <row r="7541" spans="1:1" s="427" customFormat="1" ht="12" hidden="1" customHeight="1">
      <c r="A7541" s="426"/>
    </row>
    <row r="7542" spans="1:1" s="427" customFormat="1" ht="12" hidden="1" customHeight="1">
      <c r="A7542" s="426"/>
    </row>
    <row r="7543" spans="1:1" s="427" customFormat="1" ht="12" hidden="1" customHeight="1">
      <c r="A7543" s="426"/>
    </row>
    <row r="7544" spans="1:1" s="427" customFormat="1" ht="12" hidden="1" customHeight="1">
      <c r="A7544" s="426"/>
    </row>
    <row r="7545" spans="1:1" s="427" customFormat="1" ht="12" hidden="1" customHeight="1">
      <c r="A7545" s="426"/>
    </row>
    <row r="7546" spans="1:1" s="427" customFormat="1" ht="12" hidden="1" customHeight="1">
      <c r="A7546" s="426"/>
    </row>
    <row r="7547" spans="1:1" s="427" customFormat="1" ht="12" hidden="1" customHeight="1">
      <c r="A7547" s="426"/>
    </row>
    <row r="7548" spans="1:1" s="427" customFormat="1" ht="12" hidden="1" customHeight="1">
      <c r="A7548" s="426"/>
    </row>
    <row r="7549" spans="1:1" s="427" customFormat="1" ht="12" hidden="1" customHeight="1">
      <c r="A7549" s="426"/>
    </row>
    <row r="7550" spans="1:1" s="427" customFormat="1" ht="12" hidden="1" customHeight="1">
      <c r="A7550" s="426"/>
    </row>
    <row r="7551" spans="1:1" s="427" customFormat="1" ht="12" hidden="1" customHeight="1">
      <c r="A7551" s="426"/>
    </row>
    <row r="7552" spans="1:1" s="427" customFormat="1" ht="12" hidden="1" customHeight="1">
      <c r="A7552" s="426"/>
    </row>
    <row r="7553" spans="1:1" s="427" customFormat="1" ht="12" hidden="1" customHeight="1">
      <c r="A7553" s="426"/>
    </row>
    <row r="7554" spans="1:1" s="427" customFormat="1" ht="12" hidden="1" customHeight="1">
      <c r="A7554" s="426"/>
    </row>
    <row r="7555" spans="1:1" s="427" customFormat="1" ht="12" hidden="1" customHeight="1">
      <c r="A7555" s="426"/>
    </row>
    <row r="7556" spans="1:1" s="427" customFormat="1" ht="12" hidden="1" customHeight="1">
      <c r="A7556" s="426"/>
    </row>
    <row r="7557" spans="1:1" s="427" customFormat="1" ht="12" hidden="1" customHeight="1">
      <c r="A7557" s="426"/>
    </row>
    <row r="7558" spans="1:1" s="427" customFormat="1" ht="12" hidden="1" customHeight="1">
      <c r="A7558" s="426"/>
    </row>
    <row r="7559" spans="1:1" s="427" customFormat="1" ht="12" hidden="1" customHeight="1">
      <c r="A7559" s="426"/>
    </row>
    <row r="7560" spans="1:1" s="427" customFormat="1" ht="12" hidden="1" customHeight="1">
      <c r="A7560" s="426"/>
    </row>
    <row r="7561" spans="1:1" s="427" customFormat="1" ht="12" hidden="1" customHeight="1">
      <c r="A7561" s="426"/>
    </row>
    <row r="7562" spans="1:1" s="427" customFormat="1" ht="12" hidden="1" customHeight="1">
      <c r="A7562" s="426"/>
    </row>
    <row r="7563" spans="1:1" s="427" customFormat="1" ht="12" hidden="1" customHeight="1">
      <c r="A7563" s="426"/>
    </row>
    <row r="7564" spans="1:1" s="427" customFormat="1" ht="12" hidden="1" customHeight="1">
      <c r="A7564" s="426"/>
    </row>
    <row r="7565" spans="1:1" s="427" customFormat="1" ht="12" hidden="1" customHeight="1">
      <c r="A7565" s="426"/>
    </row>
    <row r="7566" spans="1:1" s="427" customFormat="1" ht="12" hidden="1" customHeight="1">
      <c r="A7566" s="426"/>
    </row>
    <row r="7567" spans="1:1" s="427" customFormat="1" ht="12" hidden="1" customHeight="1">
      <c r="A7567" s="426"/>
    </row>
    <row r="7568" spans="1:1" s="427" customFormat="1" ht="12" hidden="1" customHeight="1">
      <c r="A7568" s="426"/>
    </row>
    <row r="7569" spans="1:1" s="427" customFormat="1" ht="12" hidden="1" customHeight="1">
      <c r="A7569" s="426"/>
    </row>
    <row r="7570" spans="1:1" s="427" customFormat="1" ht="12" hidden="1" customHeight="1">
      <c r="A7570" s="426"/>
    </row>
    <row r="7571" spans="1:1" s="427" customFormat="1" ht="12" hidden="1" customHeight="1">
      <c r="A7571" s="426"/>
    </row>
    <row r="7572" spans="1:1" s="427" customFormat="1" ht="12" hidden="1" customHeight="1">
      <c r="A7572" s="426"/>
    </row>
    <row r="7573" spans="1:1" s="427" customFormat="1" ht="12" hidden="1" customHeight="1">
      <c r="A7573" s="426"/>
    </row>
    <row r="7574" spans="1:1" s="427" customFormat="1" ht="12" hidden="1" customHeight="1">
      <c r="A7574" s="426"/>
    </row>
    <row r="7575" spans="1:1" s="427" customFormat="1" ht="12" hidden="1" customHeight="1">
      <c r="A7575" s="426"/>
    </row>
    <row r="7576" spans="1:1" s="427" customFormat="1" ht="12" hidden="1" customHeight="1">
      <c r="A7576" s="426"/>
    </row>
    <row r="7577" spans="1:1" s="427" customFormat="1" ht="12" hidden="1" customHeight="1">
      <c r="A7577" s="426"/>
    </row>
    <row r="7578" spans="1:1" s="427" customFormat="1" ht="12" hidden="1" customHeight="1">
      <c r="A7578" s="426"/>
    </row>
    <row r="7579" spans="1:1" s="427" customFormat="1" ht="12" hidden="1" customHeight="1">
      <c r="A7579" s="426"/>
    </row>
    <row r="7580" spans="1:1" s="427" customFormat="1" ht="12" hidden="1" customHeight="1">
      <c r="A7580" s="426"/>
    </row>
    <row r="7581" spans="1:1" s="427" customFormat="1" ht="12" hidden="1" customHeight="1">
      <c r="A7581" s="426"/>
    </row>
    <row r="7582" spans="1:1" s="427" customFormat="1" ht="12" hidden="1" customHeight="1">
      <c r="A7582" s="426"/>
    </row>
    <row r="7583" spans="1:1" s="427" customFormat="1" ht="12" hidden="1" customHeight="1">
      <c r="A7583" s="426"/>
    </row>
    <row r="7584" spans="1:1" s="427" customFormat="1" ht="12" hidden="1" customHeight="1">
      <c r="A7584" s="426"/>
    </row>
    <row r="7585" spans="1:1" s="427" customFormat="1" ht="12" hidden="1" customHeight="1">
      <c r="A7585" s="426"/>
    </row>
    <row r="7586" spans="1:1" s="427" customFormat="1" ht="12" hidden="1" customHeight="1">
      <c r="A7586" s="426"/>
    </row>
    <row r="7587" spans="1:1" s="427" customFormat="1" ht="12" hidden="1" customHeight="1">
      <c r="A7587" s="426"/>
    </row>
    <row r="7588" spans="1:1" s="427" customFormat="1" ht="12" hidden="1" customHeight="1">
      <c r="A7588" s="426"/>
    </row>
    <row r="7589" spans="1:1" s="427" customFormat="1" ht="12" hidden="1" customHeight="1">
      <c r="A7589" s="426"/>
    </row>
    <row r="7590" spans="1:1" s="427" customFormat="1" ht="12" hidden="1" customHeight="1">
      <c r="A7590" s="426"/>
    </row>
    <row r="7591" spans="1:1" s="427" customFormat="1" ht="12" hidden="1" customHeight="1">
      <c r="A7591" s="426"/>
    </row>
    <row r="7592" spans="1:1" s="427" customFormat="1" ht="12" hidden="1" customHeight="1">
      <c r="A7592" s="426"/>
    </row>
    <row r="7593" spans="1:1" s="427" customFormat="1" ht="12" hidden="1" customHeight="1">
      <c r="A7593" s="426"/>
    </row>
    <row r="7594" spans="1:1" s="427" customFormat="1" ht="12" hidden="1" customHeight="1">
      <c r="A7594" s="426"/>
    </row>
    <row r="7595" spans="1:1" s="427" customFormat="1" ht="12" hidden="1" customHeight="1">
      <c r="A7595" s="426"/>
    </row>
    <row r="7596" spans="1:1" s="427" customFormat="1" ht="12" hidden="1" customHeight="1">
      <c r="A7596" s="426"/>
    </row>
    <row r="7597" spans="1:1" s="427" customFormat="1" ht="12" hidden="1" customHeight="1">
      <c r="A7597" s="426"/>
    </row>
    <row r="7598" spans="1:1" s="427" customFormat="1" ht="12" hidden="1" customHeight="1">
      <c r="A7598" s="426"/>
    </row>
    <row r="7599" spans="1:1" s="427" customFormat="1" ht="12" hidden="1" customHeight="1">
      <c r="A7599" s="426"/>
    </row>
    <row r="7600" spans="1:1" s="427" customFormat="1" ht="12" hidden="1" customHeight="1">
      <c r="A7600" s="426"/>
    </row>
    <row r="7601" spans="1:1" s="427" customFormat="1" ht="12" hidden="1" customHeight="1">
      <c r="A7601" s="426"/>
    </row>
    <row r="7602" spans="1:1" s="427" customFormat="1" ht="12" hidden="1" customHeight="1">
      <c r="A7602" s="426"/>
    </row>
    <row r="7603" spans="1:1" s="427" customFormat="1" ht="12" hidden="1" customHeight="1">
      <c r="A7603" s="426"/>
    </row>
    <row r="7604" spans="1:1" s="427" customFormat="1" ht="12" hidden="1" customHeight="1">
      <c r="A7604" s="426"/>
    </row>
    <row r="7605" spans="1:1" s="427" customFormat="1" ht="12" hidden="1" customHeight="1">
      <c r="A7605" s="426"/>
    </row>
    <row r="7606" spans="1:1" s="427" customFormat="1" ht="12" hidden="1" customHeight="1">
      <c r="A7606" s="426"/>
    </row>
    <row r="7607" spans="1:1" s="427" customFormat="1" ht="12" hidden="1" customHeight="1">
      <c r="A7607" s="426"/>
    </row>
    <row r="7608" spans="1:1" s="427" customFormat="1" ht="12" hidden="1" customHeight="1">
      <c r="A7608" s="426"/>
    </row>
    <row r="7609" spans="1:1" s="427" customFormat="1" ht="12" hidden="1" customHeight="1">
      <c r="A7609" s="426"/>
    </row>
    <row r="7610" spans="1:1" s="427" customFormat="1" ht="12" hidden="1" customHeight="1">
      <c r="A7610" s="426"/>
    </row>
    <row r="7611" spans="1:1" s="427" customFormat="1" ht="12" hidden="1" customHeight="1">
      <c r="A7611" s="426"/>
    </row>
    <row r="7612" spans="1:1" s="427" customFormat="1" ht="12" hidden="1" customHeight="1">
      <c r="A7612" s="426"/>
    </row>
    <row r="7613" spans="1:1" s="427" customFormat="1" ht="12" hidden="1" customHeight="1">
      <c r="A7613" s="426"/>
    </row>
    <row r="7614" spans="1:1" s="427" customFormat="1" ht="12" hidden="1" customHeight="1">
      <c r="A7614" s="426"/>
    </row>
    <row r="7615" spans="1:1" s="427" customFormat="1" ht="12" hidden="1" customHeight="1">
      <c r="A7615" s="426"/>
    </row>
    <row r="7616" spans="1:1" s="427" customFormat="1" ht="12" hidden="1" customHeight="1">
      <c r="A7616" s="426"/>
    </row>
    <row r="7617" spans="1:1" s="427" customFormat="1" ht="12" hidden="1" customHeight="1">
      <c r="A7617" s="426"/>
    </row>
    <row r="7618" spans="1:1" s="427" customFormat="1" ht="12" hidden="1" customHeight="1">
      <c r="A7618" s="426"/>
    </row>
    <row r="7619" spans="1:1" s="427" customFormat="1" ht="12" hidden="1" customHeight="1">
      <c r="A7619" s="426"/>
    </row>
    <row r="7620" spans="1:1" s="427" customFormat="1" ht="12" hidden="1" customHeight="1">
      <c r="A7620" s="426"/>
    </row>
    <row r="7621" spans="1:1" s="427" customFormat="1" ht="12" hidden="1" customHeight="1">
      <c r="A7621" s="426"/>
    </row>
    <row r="7622" spans="1:1" s="427" customFormat="1" ht="12" hidden="1" customHeight="1">
      <c r="A7622" s="426"/>
    </row>
    <row r="7623" spans="1:1" s="427" customFormat="1" ht="12" hidden="1" customHeight="1">
      <c r="A7623" s="426"/>
    </row>
    <row r="7624" spans="1:1" s="427" customFormat="1" ht="12" hidden="1" customHeight="1">
      <c r="A7624" s="426"/>
    </row>
    <row r="7625" spans="1:1" s="427" customFormat="1" ht="12" hidden="1" customHeight="1">
      <c r="A7625" s="426"/>
    </row>
    <row r="7626" spans="1:1" s="427" customFormat="1" ht="12" hidden="1" customHeight="1">
      <c r="A7626" s="426"/>
    </row>
    <row r="7627" spans="1:1" s="427" customFormat="1" ht="12" hidden="1" customHeight="1">
      <c r="A7627" s="426"/>
    </row>
    <row r="7628" spans="1:1" s="427" customFormat="1" ht="12" hidden="1" customHeight="1">
      <c r="A7628" s="426"/>
    </row>
    <row r="7629" spans="1:1" s="427" customFormat="1" ht="12" hidden="1" customHeight="1">
      <c r="A7629" s="426"/>
    </row>
    <row r="7630" spans="1:1" s="427" customFormat="1" ht="12" hidden="1" customHeight="1">
      <c r="A7630" s="426"/>
    </row>
    <row r="7631" spans="1:1" s="427" customFormat="1" ht="12" hidden="1" customHeight="1">
      <c r="A7631" s="426"/>
    </row>
    <row r="7632" spans="1:1" s="427" customFormat="1" ht="12" hidden="1" customHeight="1">
      <c r="A7632" s="426"/>
    </row>
    <row r="7633" spans="1:1" s="427" customFormat="1" ht="12" hidden="1" customHeight="1">
      <c r="A7633" s="426"/>
    </row>
    <row r="7634" spans="1:1" s="427" customFormat="1" ht="12" hidden="1" customHeight="1">
      <c r="A7634" s="426"/>
    </row>
    <row r="7635" spans="1:1" s="427" customFormat="1" ht="12" hidden="1" customHeight="1">
      <c r="A7635" s="426"/>
    </row>
    <row r="7636" spans="1:1" s="427" customFormat="1" ht="12" hidden="1" customHeight="1">
      <c r="A7636" s="426"/>
    </row>
    <row r="7637" spans="1:1" s="427" customFormat="1" ht="12" hidden="1" customHeight="1">
      <c r="A7637" s="426"/>
    </row>
    <row r="7638" spans="1:1" s="427" customFormat="1" ht="12" hidden="1" customHeight="1">
      <c r="A7638" s="426"/>
    </row>
    <row r="7639" spans="1:1" s="427" customFormat="1" ht="12" hidden="1" customHeight="1">
      <c r="A7639" s="426"/>
    </row>
    <row r="7640" spans="1:1" s="427" customFormat="1" ht="12" hidden="1" customHeight="1">
      <c r="A7640" s="426"/>
    </row>
    <row r="7641" spans="1:1" s="427" customFormat="1" ht="12" hidden="1" customHeight="1">
      <c r="A7641" s="426"/>
    </row>
    <row r="7642" spans="1:1" s="427" customFormat="1" ht="12" hidden="1" customHeight="1">
      <c r="A7642" s="426"/>
    </row>
    <row r="7643" spans="1:1" s="427" customFormat="1" ht="12" hidden="1" customHeight="1">
      <c r="A7643" s="426"/>
    </row>
    <row r="7644" spans="1:1" s="427" customFormat="1" ht="12" hidden="1" customHeight="1">
      <c r="A7644" s="426"/>
    </row>
    <row r="7645" spans="1:1" s="427" customFormat="1" ht="12" hidden="1" customHeight="1">
      <c r="A7645" s="426"/>
    </row>
    <row r="7646" spans="1:1" s="427" customFormat="1" ht="12" hidden="1" customHeight="1">
      <c r="A7646" s="426"/>
    </row>
    <row r="7647" spans="1:1" s="427" customFormat="1" ht="12" hidden="1" customHeight="1">
      <c r="A7647" s="426"/>
    </row>
    <row r="7648" spans="1:1" s="427" customFormat="1" ht="12" hidden="1" customHeight="1">
      <c r="A7648" s="426"/>
    </row>
    <row r="7649" spans="1:1" s="427" customFormat="1" ht="12" hidden="1" customHeight="1">
      <c r="A7649" s="426"/>
    </row>
    <row r="7650" spans="1:1" s="427" customFormat="1" ht="12" hidden="1" customHeight="1">
      <c r="A7650" s="426"/>
    </row>
    <row r="7651" spans="1:1" s="427" customFormat="1" ht="12" hidden="1" customHeight="1">
      <c r="A7651" s="426"/>
    </row>
    <row r="7652" spans="1:1" s="427" customFormat="1" ht="12" hidden="1" customHeight="1">
      <c r="A7652" s="426"/>
    </row>
    <row r="7653" spans="1:1" s="427" customFormat="1" ht="12" hidden="1" customHeight="1">
      <c r="A7653" s="426"/>
    </row>
    <row r="7654" spans="1:1" s="427" customFormat="1" ht="12" hidden="1" customHeight="1">
      <c r="A7654" s="426"/>
    </row>
    <row r="7655" spans="1:1" s="427" customFormat="1" ht="12" hidden="1" customHeight="1">
      <c r="A7655" s="426"/>
    </row>
    <row r="7656" spans="1:1" s="427" customFormat="1" ht="12" hidden="1" customHeight="1">
      <c r="A7656" s="426"/>
    </row>
    <row r="7657" spans="1:1" s="427" customFormat="1" ht="12" hidden="1" customHeight="1">
      <c r="A7657" s="426"/>
    </row>
    <row r="7658" spans="1:1" s="427" customFormat="1" ht="12" hidden="1" customHeight="1">
      <c r="A7658" s="426"/>
    </row>
    <row r="7659" spans="1:1" s="427" customFormat="1" ht="12" hidden="1" customHeight="1">
      <c r="A7659" s="426"/>
    </row>
    <row r="7660" spans="1:1" s="427" customFormat="1" ht="12" hidden="1" customHeight="1">
      <c r="A7660" s="426"/>
    </row>
    <row r="7661" spans="1:1" s="427" customFormat="1" ht="12" hidden="1" customHeight="1">
      <c r="A7661" s="426"/>
    </row>
    <row r="7662" spans="1:1" s="427" customFormat="1" ht="12" hidden="1" customHeight="1">
      <c r="A7662" s="426"/>
    </row>
    <row r="7663" spans="1:1" s="427" customFormat="1" ht="12" hidden="1" customHeight="1">
      <c r="A7663" s="426"/>
    </row>
    <row r="7664" spans="1:1" s="427" customFormat="1" ht="12" hidden="1" customHeight="1">
      <c r="A7664" s="426"/>
    </row>
    <row r="7665" spans="1:1" s="427" customFormat="1" ht="12" hidden="1" customHeight="1">
      <c r="A7665" s="426"/>
    </row>
    <row r="7666" spans="1:1" s="427" customFormat="1" ht="12" hidden="1" customHeight="1">
      <c r="A7666" s="426"/>
    </row>
    <row r="7667" spans="1:1" s="427" customFormat="1" ht="12" hidden="1" customHeight="1">
      <c r="A7667" s="426"/>
    </row>
    <row r="7668" spans="1:1" s="427" customFormat="1" ht="12" hidden="1" customHeight="1">
      <c r="A7668" s="426"/>
    </row>
    <row r="7669" spans="1:1" s="427" customFormat="1" ht="12" hidden="1" customHeight="1">
      <c r="A7669" s="426"/>
    </row>
    <row r="7670" spans="1:1" s="427" customFormat="1" ht="12" hidden="1" customHeight="1">
      <c r="A7670" s="426"/>
    </row>
    <row r="7671" spans="1:1" s="427" customFormat="1" ht="12" hidden="1" customHeight="1">
      <c r="A7671" s="426"/>
    </row>
    <row r="7672" spans="1:1" s="427" customFormat="1" ht="12" hidden="1" customHeight="1">
      <c r="A7672" s="426"/>
    </row>
    <row r="7673" spans="1:1" s="427" customFormat="1" ht="12" hidden="1" customHeight="1">
      <c r="A7673" s="426"/>
    </row>
    <row r="7674" spans="1:1" s="427" customFormat="1" ht="12" hidden="1" customHeight="1">
      <c r="A7674" s="426"/>
    </row>
    <row r="7675" spans="1:1" s="427" customFormat="1" ht="12" hidden="1" customHeight="1">
      <c r="A7675" s="426"/>
    </row>
    <row r="7676" spans="1:1" s="427" customFormat="1" ht="12" hidden="1" customHeight="1">
      <c r="A7676" s="426"/>
    </row>
    <row r="7677" spans="1:1" s="427" customFormat="1" ht="12" hidden="1" customHeight="1">
      <c r="A7677" s="426"/>
    </row>
    <row r="7678" spans="1:1" s="427" customFormat="1" ht="12" hidden="1" customHeight="1">
      <c r="A7678" s="426"/>
    </row>
    <row r="7679" spans="1:1" s="427" customFormat="1" ht="12" hidden="1" customHeight="1">
      <c r="A7679" s="426"/>
    </row>
    <row r="7680" spans="1:1" s="427" customFormat="1" ht="12" hidden="1" customHeight="1">
      <c r="A7680" s="426"/>
    </row>
    <row r="7681" spans="1:1" s="427" customFormat="1" ht="12" hidden="1" customHeight="1">
      <c r="A7681" s="426"/>
    </row>
    <row r="7682" spans="1:1" s="427" customFormat="1" ht="12" hidden="1" customHeight="1">
      <c r="A7682" s="426"/>
    </row>
    <row r="7683" spans="1:1" s="427" customFormat="1" ht="12" hidden="1" customHeight="1">
      <c r="A7683" s="426"/>
    </row>
    <row r="7684" spans="1:1" s="427" customFormat="1" ht="12" hidden="1" customHeight="1">
      <c r="A7684" s="426"/>
    </row>
    <row r="7685" spans="1:1" s="427" customFormat="1" ht="12" hidden="1" customHeight="1">
      <c r="A7685" s="426"/>
    </row>
    <row r="7686" spans="1:1" s="427" customFormat="1" ht="12" hidden="1" customHeight="1">
      <c r="A7686" s="426"/>
    </row>
    <row r="7687" spans="1:1" s="427" customFormat="1" ht="12" hidden="1" customHeight="1">
      <c r="A7687" s="426"/>
    </row>
    <row r="7688" spans="1:1" s="427" customFormat="1" ht="12" hidden="1" customHeight="1">
      <c r="A7688" s="426"/>
    </row>
    <row r="7689" spans="1:1" s="427" customFormat="1" ht="12" hidden="1" customHeight="1">
      <c r="A7689" s="426"/>
    </row>
    <row r="7690" spans="1:1" s="427" customFormat="1" ht="12" hidden="1" customHeight="1">
      <c r="A7690" s="426"/>
    </row>
    <row r="7691" spans="1:1" s="427" customFormat="1" ht="12" hidden="1" customHeight="1">
      <c r="A7691" s="426"/>
    </row>
    <row r="7692" spans="1:1" s="427" customFormat="1" ht="12" hidden="1" customHeight="1">
      <c r="A7692" s="426"/>
    </row>
    <row r="7693" spans="1:1" s="427" customFormat="1" ht="12" hidden="1" customHeight="1">
      <c r="A7693" s="426"/>
    </row>
    <row r="7694" spans="1:1" s="427" customFormat="1" ht="12" hidden="1" customHeight="1">
      <c r="A7694" s="426"/>
    </row>
    <row r="7695" spans="1:1" s="427" customFormat="1" ht="12" hidden="1" customHeight="1">
      <c r="A7695" s="426"/>
    </row>
    <row r="7696" spans="1:1" s="427" customFormat="1" ht="12" hidden="1" customHeight="1">
      <c r="A7696" s="426"/>
    </row>
    <row r="7697" spans="1:1" s="427" customFormat="1" ht="12" hidden="1" customHeight="1">
      <c r="A7697" s="426"/>
    </row>
    <row r="7698" spans="1:1" s="427" customFormat="1" ht="12" hidden="1" customHeight="1">
      <c r="A7698" s="426"/>
    </row>
    <row r="7699" spans="1:1" s="427" customFormat="1" ht="12" hidden="1" customHeight="1">
      <c r="A7699" s="426"/>
    </row>
    <row r="7700" spans="1:1" s="427" customFormat="1" ht="12" hidden="1" customHeight="1">
      <c r="A7700" s="426"/>
    </row>
    <row r="7701" spans="1:1" s="427" customFormat="1" ht="12" hidden="1" customHeight="1">
      <c r="A7701" s="426"/>
    </row>
    <row r="7702" spans="1:1" s="427" customFormat="1" ht="12" hidden="1" customHeight="1">
      <c r="A7702" s="426"/>
    </row>
    <row r="7703" spans="1:1" s="427" customFormat="1" ht="12" hidden="1" customHeight="1">
      <c r="A7703" s="426"/>
    </row>
    <row r="7704" spans="1:1" s="427" customFormat="1" ht="12" hidden="1" customHeight="1">
      <c r="A7704" s="426"/>
    </row>
    <row r="7705" spans="1:1" s="427" customFormat="1" ht="12" hidden="1" customHeight="1">
      <c r="A7705" s="426"/>
    </row>
    <row r="7706" spans="1:1" s="427" customFormat="1" ht="12" hidden="1" customHeight="1">
      <c r="A7706" s="426"/>
    </row>
    <row r="7707" spans="1:1" s="427" customFormat="1" ht="12" hidden="1" customHeight="1">
      <c r="A7707" s="426"/>
    </row>
    <row r="7708" spans="1:1" s="427" customFormat="1" ht="12" hidden="1" customHeight="1">
      <c r="A7708" s="426"/>
    </row>
    <row r="7709" spans="1:1" s="427" customFormat="1" ht="12" hidden="1" customHeight="1">
      <c r="A7709" s="426"/>
    </row>
    <row r="7710" spans="1:1" s="427" customFormat="1" ht="12" hidden="1" customHeight="1">
      <c r="A7710" s="426"/>
    </row>
    <row r="7711" spans="1:1" s="427" customFormat="1" ht="12" hidden="1" customHeight="1">
      <c r="A7711" s="426"/>
    </row>
    <row r="7712" spans="1:1" s="427" customFormat="1" ht="12" hidden="1" customHeight="1">
      <c r="A7712" s="426"/>
    </row>
    <row r="7713" spans="1:1" s="427" customFormat="1" ht="12" hidden="1" customHeight="1">
      <c r="A7713" s="426"/>
    </row>
    <row r="7714" spans="1:1" s="427" customFormat="1" ht="12" hidden="1" customHeight="1">
      <c r="A7714" s="426"/>
    </row>
    <row r="7715" spans="1:1" s="427" customFormat="1" ht="12" hidden="1" customHeight="1">
      <c r="A7715" s="426"/>
    </row>
    <row r="7716" spans="1:1" s="427" customFormat="1" ht="12" hidden="1" customHeight="1">
      <c r="A7716" s="426"/>
    </row>
    <row r="7717" spans="1:1" s="427" customFormat="1" ht="12" hidden="1" customHeight="1">
      <c r="A7717" s="426"/>
    </row>
    <row r="7718" spans="1:1" s="427" customFormat="1" ht="12" hidden="1" customHeight="1">
      <c r="A7718" s="426"/>
    </row>
    <row r="7719" spans="1:1" s="427" customFormat="1" ht="12" hidden="1" customHeight="1">
      <c r="A7719" s="426"/>
    </row>
    <row r="7720" spans="1:1" s="427" customFormat="1" ht="12" hidden="1" customHeight="1">
      <c r="A7720" s="426"/>
    </row>
    <row r="7721" spans="1:1" s="427" customFormat="1" ht="12" hidden="1" customHeight="1">
      <c r="A7721" s="426"/>
    </row>
    <row r="7722" spans="1:1" s="427" customFormat="1" ht="12" hidden="1" customHeight="1">
      <c r="A7722" s="426"/>
    </row>
    <row r="7723" spans="1:1" s="427" customFormat="1" ht="12" hidden="1" customHeight="1">
      <c r="A7723" s="426"/>
    </row>
    <row r="7724" spans="1:1" s="427" customFormat="1" ht="12" hidden="1" customHeight="1">
      <c r="A7724" s="426"/>
    </row>
    <row r="7725" spans="1:1" s="427" customFormat="1" ht="12" hidden="1" customHeight="1">
      <c r="A7725" s="426"/>
    </row>
    <row r="7726" spans="1:1" s="427" customFormat="1" ht="12" hidden="1" customHeight="1">
      <c r="A7726" s="426"/>
    </row>
    <row r="7727" spans="1:1" s="427" customFormat="1" ht="12" hidden="1" customHeight="1">
      <c r="A7727" s="426"/>
    </row>
    <row r="7728" spans="1:1" s="427" customFormat="1" ht="12" hidden="1" customHeight="1">
      <c r="A7728" s="426"/>
    </row>
    <row r="7729" spans="1:1" s="427" customFormat="1" ht="12" hidden="1" customHeight="1">
      <c r="A7729" s="426"/>
    </row>
    <row r="7730" spans="1:1" s="427" customFormat="1" ht="12" hidden="1" customHeight="1">
      <c r="A7730" s="426"/>
    </row>
    <row r="7731" spans="1:1" s="427" customFormat="1" ht="12" hidden="1" customHeight="1">
      <c r="A7731" s="426"/>
    </row>
    <row r="7732" spans="1:1" s="427" customFormat="1" ht="12" hidden="1" customHeight="1">
      <c r="A7732" s="426"/>
    </row>
    <row r="7733" spans="1:1" s="427" customFormat="1" ht="12" hidden="1" customHeight="1">
      <c r="A7733" s="426"/>
    </row>
    <row r="7734" spans="1:1" s="427" customFormat="1" ht="12" hidden="1" customHeight="1">
      <c r="A7734" s="426"/>
    </row>
    <row r="7735" spans="1:1" s="427" customFormat="1" ht="12" hidden="1" customHeight="1">
      <c r="A7735" s="426"/>
    </row>
    <row r="7736" spans="1:1" s="427" customFormat="1" ht="12" hidden="1" customHeight="1">
      <c r="A7736" s="426"/>
    </row>
    <row r="7737" spans="1:1" s="427" customFormat="1" ht="12" hidden="1" customHeight="1">
      <c r="A7737" s="426"/>
    </row>
    <row r="7738" spans="1:1" s="427" customFormat="1" ht="12" hidden="1" customHeight="1">
      <c r="A7738" s="426"/>
    </row>
    <row r="7739" spans="1:1" s="427" customFormat="1" ht="12" hidden="1" customHeight="1">
      <c r="A7739" s="426"/>
    </row>
    <row r="7740" spans="1:1" s="427" customFormat="1" ht="12" hidden="1" customHeight="1">
      <c r="A7740" s="426"/>
    </row>
    <row r="7741" spans="1:1" s="427" customFormat="1" ht="12" hidden="1" customHeight="1">
      <c r="A7741" s="426"/>
    </row>
    <row r="7742" spans="1:1" s="427" customFormat="1" ht="12" hidden="1" customHeight="1">
      <c r="A7742" s="426"/>
    </row>
    <row r="7743" spans="1:1" s="427" customFormat="1" ht="12" hidden="1" customHeight="1">
      <c r="A7743" s="426"/>
    </row>
    <row r="7744" spans="1:1" s="427" customFormat="1" ht="12" hidden="1" customHeight="1">
      <c r="A7744" s="426"/>
    </row>
    <row r="7745" spans="1:1" s="427" customFormat="1" ht="12" hidden="1" customHeight="1">
      <c r="A7745" s="426"/>
    </row>
    <row r="7746" spans="1:1" s="427" customFormat="1" ht="12" hidden="1" customHeight="1">
      <c r="A7746" s="426"/>
    </row>
    <row r="7747" spans="1:1" s="427" customFormat="1" ht="12" hidden="1" customHeight="1">
      <c r="A7747" s="426"/>
    </row>
    <row r="7748" spans="1:1" s="427" customFormat="1" ht="12" hidden="1" customHeight="1">
      <c r="A7748" s="426"/>
    </row>
    <row r="7749" spans="1:1" s="427" customFormat="1" ht="12" hidden="1" customHeight="1">
      <c r="A7749" s="426"/>
    </row>
    <row r="7750" spans="1:1" s="427" customFormat="1" ht="12" hidden="1" customHeight="1">
      <c r="A7750" s="426"/>
    </row>
    <row r="7751" spans="1:1" s="427" customFormat="1" ht="12" hidden="1" customHeight="1">
      <c r="A7751" s="426"/>
    </row>
    <row r="7752" spans="1:1" s="427" customFormat="1" ht="12" hidden="1" customHeight="1">
      <c r="A7752" s="426"/>
    </row>
    <row r="7753" spans="1:1" s="427" customFormat="1" ht="12" hidden="1" customHeight="1">
      <c r="A7753" s="426"/>
    </row>
    <row r="7754" spans="1:1" s="427" customFormat="1" ht="12" hidden="1" customHeight="1">
      <c r="A7754" s="426"/>
    </row>
    <row r="7755" spans="1:1" s="427" customFormat="1" ht="12" hidden="1" customHeight="1">
      <c r="A7755" s="426"/>
    </row>
    <row r="7756" spans="1:1" s="427" customFormat="1" ht="12" hidden="1" customHeight="1">
      <c r="A7756" s="426"/>
    </row>
    <row r="7757" spans="1:1" s="427" customFormat="1" ht="12" hidden="1" customHeight="1">
      <c r="A7757" s="426"/>
    </row>
    <row r="7758" spans="1:1" s="427" customFormat="1" ht="12" hidden="1" customHeight="1">
      <c r="A7758" s="426"/>
    </row>
    <row r="7759" spans="1:1" s="427" customFormat="1" ht="12" hidden="1" customHeight="1">
      <c r="A7759" s="426"/>
    </row>
    <row r="7760" spans="1:1" s="427" customFormat="1" ht="12" hidden="1" customHeight="1">
      <c r="A7760" s="426"/>
    </row>
    <row r="7761" spans="1:1" s="427" customFormat="1" ht="12" hidden="1" customHeight="1">
      <c r="A7761" s="426"/>
    </row>
    <row r="7762" spans="1:1" s="427" customFormat="1" ht="12" hidden="1" customHeight="1">
      <c r="A7762" s="426"/>
    </row>
    <row r="7763" spans="1:1" s="427" customFormat="1" ht="12" hidden="1" customHeight="1">
      <c r="A7763" s="426"/>
    </row>
    <row r="7764" spans="1:1" s="427" customFormat="1" ht="12" hidden="1" customHeight="1">
      <c r="A7764" s="426"/>
    </row>
    <row r="7765" spans="1:1" s="427" customFormat="1" ht="12" hidden="1" customHeight="1">
      <c r="A7765" s="426"/>
    </row>
    <row r="7766" spans="1:1" s="427" customFormat="1" ht="12" hidden="1" customHeight="1">
      <c r="A7766" s="426"/>
    </row>
    <row r="7767" spans="1:1" s="427" customFormat="1" ht="12" hidden="1" customHeight="1">
      <c r="A7767" s="426"/>
    </row>
    <row r="7768" spans="1:1" s="427" customFormat="1" ht="12" hidden="1" customHeight="1">
      <c r="A7768" s="426"/>
    </row>
    <row r="7769" spans="1:1" s="427" customFormat="1" ht="12" hidden="1" customHeight="1">
      <c r="A7769" s="426"/>
    </row>
    <row r="7770" spans="1:1" s="427" customFormat="1" ht="12" hidden="1" customHeight="1">
      <c r="A7770" s="426"/>
    </row>
    <row r="7771" spans="1:1" s="427" customFormat="1" ht="12" hidden="1" customHeight="1">
      <c r="A7771" s="426"/>
    </row>
    <row r="7772" spans="1:1" s="427" customFormat="1" ht="12" hidden="1" customHeight="1">
      <c r="A7772" s="426"/>
    </row>
    <row r="7773" spans="1:1" s="427" customFormat="1" ht="12" hidden="1" customHeight="1">
      <c r="A7773" s="426"/>
    </row>
    <row r="7774" spans="1:1" s="427" customFormat="1" ht="12" hidden="1" customHeight="1">
      <c r="A7774" s="426"/>
    </row>
    <row r="7775" spans="1:1" s="427" customFormat="1" ht="12" hidden="1" customHeight="1">
      <c r="A7775" s="426"/>
    </row>
    <row r="7776" spans="1:1" s="427" customFormat="1" ht="12" hidden="1" customHeight="1">
      <c r="A7776" s="426"/>
    </row>
    <row r="7777" spans="1:1" s="427" customFormat="1" ht="12" hidden="1" customHeight="1">
      <c r="A7777" s="426"/>
    </row>
    <row r="7778" spans="1:1" s="427" customFormat="1" ht="12" hidden="1" customHeight="1">
      <c r="A7778" s="426"/>
    </row>
    <row r="7779" spans="1:1" s="427" customFormat="1" ht="12" hidden="1" customHeight="1">
      <c r="A7779" s="426"/>
    </row>
    <row r="7780" spans="1:1" s="427" customFormat="1" ht="12" hidden="1" customHeight="1">
      <c r="A7780" s="426"/>
    </row>
    <row r="7781" spans="1:1" s="427" customFormat="1" ht="12" hidden="1" customHeight="1">
      <c r="A7781" s="426"/>
    </row>
    <row r="7782" spans="1:1" s="427" customFormat="1" ht="12" hidden="1" customHeight="1">
      <c r="A7782" s="426"/>
    </row>
    <row r="7783" spans="1:1" s="427" customFormat="1" ht="12" hidden="1" customHeight="1">
      <c r="A7783" s="426"/>
    </row>
    <row r="7784" spans="1:1" s="427" customFormat="1" ht="12" hidden="1" customHeight="1">
      <c r="A7784" s="426"/>
    </row>
    <row r="7785" spans="1:1" s="427" customFormat="1" ht="12" hidden="1" customHeight="1">
      <c r="A7785" s="426"/>
    </row>
    <row r="7786" spans="1:1" s="427" customFormat="1" ht="12" hidden="1" customHeight="1">
      <c r="A7786" s="426"/>
    </row>
    <row r="7787" spans="1:1" s="427" customFormat="1" ht="12" hidden="1" customHeight="1">
      <c r="A7787" s="426"/>
    </row>
    <row r="7788" spans="1:1" s="427" customFormat="1" ht="12" hidden="1" customHeight="1">
      <c r="A7788" s="426"/>
    </row>
    <row r="7789" spans="1:1" s="427" customFormat="1" ht="12" hidden="1" customHeight="1">
      <c r="A7789" s="426"/>
    </row>
    <row r="7790" spans="1:1" s="427" customFormat="1" ht="12" hidden="1" customHeight="1">
      <c r="A7790" s="426"/>
    </row>
    <row r="7791" spans="1:1" s="427" customFormat="1" ht="12" hidden="1" customHeight="1">
      <c r="A7791" s="426"/>
    </row>
    <row r="7792" spans="1:1" s="427" customFormat="1" ht="12" hidden="1" customHeight="1">
      <c r="A7792" s="426"/>
    </row>
    <row r="7793" spans="1:1" s="427" customFormat="1" ht="12" hidden="1" customHeight="1">
      <c r="A7793" s="426"/>
    </row>
    <row r="7794" spans="1:1" s="427" customFormat="1" ht="12" hidden="1" customHeight="1">
      <c r="A7794" s="426"/>
    </row>
    <row r="7795" spans="1:1" s="427" customFormat="1" ht="12" hidden="1" customHeight="1">
      <c r="A7795" s="426"/>
    </row>
    <row r="7796" spans="1:1" s="427" customFormat="1" ht="12" hidden="1" customHeight="1">
      <c r="A7796" s="426"/>
    </row>
    <row r="7797" spans="1:1" s="427" customFormat="1" ht="12" hidden="1" customHeight="1">
      <c r="A7797" s="426"/>
    </row>
    <row r="7798" spans="1:1" s="427" customFormat="1" ht="12" hidden="1" customHeight="1">
      <c r="A7798" s="426"/>
    </row>
    <row r="7799" spans="1:1" s="427" customFormat="1" ht="12" hidden="1" customHeight="1">
      <c r="A7799" s="426"/>
    </row>
    <row r="7800" spans="1:1" s="427" customFormat="1" ht="12" hidden="1" customHeight="1">
      <c r="A7800" s="426"/>
    </row>
    <row r="7801" spans="1:1" s="427" customFormat="1" ht="12" hidden="1" customHeight="1">
      <c r="A7801" s="426"/>
    </row>
    <row r="7802" spans="1:1" s="427" customFormat="1" ht="12" hidden="1" customHeight="1">
      <c r="A7802" s="426"/>
    </row>
    <row r="7803" spans="1:1" s="427" customFormat="1" ht="12" hidden="1" customHeight="1">
      <c r="A7803" s="426"/>
    </row>
    <row r="7804" spans="1:1" s="427" customFormat="1" ht="12" hidden="1" customHeight="1">
      <c r="A7804" s="426"/>
    </row>
    <row r="7805" spans="1:1" s="427" customFormat="1" ht="12" hidden="1" customHeight="1">
      <c r="A7805" s="426"/>
    </row>
    <row r="7806" spans="1:1" s="427" customFormat="1" ht="12" hidden="1" customHeight="1">
      <c r="A7806" s="426"/>
    </row>
    <row r="7807" spans="1:1" s="427" customFormat="1" ht="12" hidden="1" customHeight="1">
      <c r="A7807" s="426"/>
    </row>
    <row r="7808" spans="1:1" s="427" customFormat="1" ht="12" hidden="1" customHeight="1">
      <c r="A7808" s="426"/>
    </row>
    <row r="7809" spans="1:1" s="427" customFormat="1" ht="12" hidden="1" customHeight="1">
      <c r="A7809" s="426"/>
    </row>
    <row r="7810" spans="1:1" s="427" customFormat="1" ht="12" hidden="1" customHeight="1">
      <c r="A7810" s="426"/>
    </row>
    <row r="7811" spans="1:1" s="427" customFormat="1" ht="12" hidden="1" customHeight="1">
      <c r="A7811" s="426"/>
    </row>
    <row r="7812" spans="1:1" s="427" customFormat="1" ht="12" hidden="1" customHeight="1">
      <c r="A7812" s="426"/>
    </row>
    <row r="7813" spans="1:1" s="427" customFormat="1" ht="12" hidden="1" customHeight="1">
      <c r="A7813" s="426"/>
    </row>
    <row r="7814" spans="1:1" s="427" customFormat="1" ht="12" hidden="1" customHeight="1">
      <c r="A7814" s="426"/>
    </row>
    <row r="7815" spans="1:1" s="427" customFormat="1" ht="12" hidden="1" customHeight="1">
      <c r="A7815" s="426"/>
    </row>
    <row r="7816" spans="1:1" s="427" customFormat="1" ht="12" hidden="1" customHeight="1">
      <c r="A7816" s="426"/>
    </row>
    <row r="7817" spans="1:1" s="427" customFormat="1" ht="12" hidden="1" customHeight="1">
      <c r="A7817" s="426"/>
    </row>
    <row r="7818" spans="1:1" s="427" customFormat="1" ht="12" hidden="1" customHeight="1">
      <c r="A7818" s="426"/>
    </row>
    <row r="7819" spans="1:1" s="427" customFormat="1" ht="12" hidden="1" customHeight="1">
      <c r="A7819" s="426"/>
    </row>
    <row r="7820" spans="1:1" s="427" customFormat="1" ht="12" hidden="1" customHeight="1">
      <c r="A7820" s="426"/>
    </row>
    <row r="7821" spans="1:1" s="427" customFormat="1" ht="12" hidden="1" customHeight="1">
      <c r="A7821" s="426"/>
    </row>
    <row r="7822" spans="1:1" s="427" customFormat="1" ht="12" hidden="1" customHeight="1">
      <c r="A7822" s="426"/>
    </row>
    <row r="7823" spans="1:1" s="427" customFormat="1" ht="12" hidden="1" customHeight="1">
      <c r="A7823" s="426"/>
    </row>
    <row r="7824" spans="1:1" s="427" customFormat="1" ht="12" hidden="1" customHeight="1">
      <c r="A7824" s="426"/>
    </row>
    <row r="7825" spans="1:1" s="427" customFormat="1" ht="12" hidden="1" customHeight="1">
      <c r="A7825" s="426"/>
    </row>
    <row r="7826" spans="1:1" s="427" customFormat="1" ht="12" hidden="1" customHeight="1">
      <c r="A7826" s="426"/>
    </row>
    <row r="7827" spans="1:1" s="427" customFormat="1" ht="12" hidden="1" customHeight="1">
      <c r="A7827" s="426"/>
    </row>
    <row r="7828" spans="1:1" s="427" customFormat="1" ht="12" hidden="1" customHeight="1">
      <c r="A7828" s="426"/>
    </row>
    <row r="7829" spans="1:1" s="427" customFormat="1" ht="12" hidden="1" customHeight="1">
      <c r="A7829" s="426"/>
    </row>
    <row r="7830" spans="1:1" s="427" customFormat="1" ht="12" hidden="1" customHeight="1">
      <c r="A7830" s="426"/>
    </row>
    <row r="7831" spans="1:1" s="427" customFormat="1" ht="12" hidden="1" customHeight="1">
      <c r="A7831" s="426"/>
    </row>
    <row r="7832" spans="1:1" s="427" customFormat="1" ht="12" hidden="1" customHeight="1">
      <c r="A7832" s="426"/>
    </row>
    <row r="7833" spans="1:1" s="427" customFormat="1" ht="12" hidden="1" customHeight="1">
      <c r="A7833" s="426"/>
    </row>
    <row r="7834" spans="1:1" s="427" customFormat="1" ht="12" hidden="1" customHeight="1">
      <c r="A7834" s="426"/>
    </row>
    <row r="7835" spans="1:1" s="427" customFormat="1" ht="12" hidden="1" customHeight="1">
      <c r="A7835" s="426"/>
    </row>
    <row r="7836" spans="1:1" s="427" customFormat="1" ht="12" hidden="1" customHeight="1">
      <c r="A7836" s="426"/>
    </row>
    <row r="7837" spans="1:1" s="427" customFormat="1" ht="12" hidden="1" customHeight="1">
      <c r="A7837" s="426"/>
    </row>
    <row r="7838" spans="1:1" s="427" customFormat="1" ht="12" hidden="1" customHeight="1">
      <c r="A7838" s="426"/>
    </row>
    <row r="7839" spans="1:1" s="427" customFormat="1" ht="12" hidden="1" customHeight="1">
      <c r="A7839" s="426"/>
    </row>
    <row r="7840" spans="1:1" s="427" customFormat="1" ht="12" hidden="1" customHeight="1">
      <c r="A7840" s="426"/>
    </row>
    <row r="7841" spans="1:1" s="427" customFormat="1" ht="12" hidden="1" customHeight="1">
      <c r="A7841" s="426"/>
    </row>
    <row r="7842" spans="1:1" s="427" customFormat="1" ht="12" hidden="1" customHeight="1">
      <c r="A7842" s="426"/>
    </row>
    <row r="7843" spans="1:1" s="427" customFormat="1" ht="12" hidden="1" customHeight="1">
      <c r="A7843" s="426"/>
    </row>
    <row r="7844" spans="1:1" s="427" customFormat="1" ht="12" hidden="1" customHeight="1">
      <c r="A7844" s="426"/>
    </row>
    <row r="7845" spans="1:1" s="427" customFormat="1" ht="12" hidden="1" customHeight="1">
      <c r="A7845" s="426"/>
    </row>
    <row r="7846" spans="1:1" s="427" customFormat="1" ht="12" hidden="1" customHeight="1">
      <c r="A7846" s="426"/>
    </row>
    <row r="7847" spans="1:1" s="427" customFormat="1" ht="12" hidden="1" customHeight="1">
      <c r="A7847" s="426"/>
    </row>
    <row r="7848" spans="1:1" s="427" customFormat="1" ht="12" hidden="1" customHeight="1">
      <c r="A7848" s="426"/>
    </row>
    <row r="7849" spans="1:1" s="427" customFormat="1" ht="12" hidden="1" customHeight="1">
      <c r="A7849" s="426"/>
    </row>
    <row r="7850" spans="1:1" s="427" customFormat="1" ht="12" hidden="1" customHeight="1">
      <c r="A7850" s="426"/>
    </row>
    <row r="7851" spans="1:1" s="427" customFormat="1" ht="12" hidden="1" customHeight="1">
      <c r="A7851" s="426"/>
    </row>
    <row r="7852" spans="1:1" s="427" customFormat="1" ht="12" hidden="1" customHeight="1">
      <c r="A7852" s="426"/>
    </row>
    <row r="7853" spans="1:1" s="427" customFormat="1" ht="12" hidden="1" customHeight="1">
      <c r="A7853" s="426"/>
    </row>
    <row r="7854" spans="1:1" s="427" customFormat="1" ht="12" hidden="1" customHeight="1">
      <c r="A7854" s="426"/>
    </row>
    <row r="7855" spans="1:1" s="427" customFormat="1" ht="12" hidden="1" customHeight="1">
      <c r="A7855" s="426"/>
    </row>
    <row r="7856" spans="1:1" s="427" customFormat="1" ht="12" hidden="1" customHeight="1">
      <c r="A7856" s="426"/>
    </row>
    <row r="7857" spans="1:1" s="427" customFormat="1" ht="12" hidden="1" customHeight="1">
      <c r="A7857" s="426"/>
    </row>
    <row r="7858" spans="1:1" s="427" customFormat="1" ht="12" hidden="1" customHeight="1">
      <c r="A7858" s="426"/>
    </row>
    <row r="7859" spans="1:1" s="427" customFormat="1" ht="12" hidden="1" customHeight="1">
      <c r="A7859" s="426"/>
    </row>
    <row r="7860" spans="1:1" s="427" customFormat="1" ht="12" hidden="1" customHeight="1">
      <c r="A7860" s="426"/>
    </row>
    <row r="7861" spans="1:1" s="427" customFormat="1" ht="12" hidden="1" customHeight="1">
      <c r="A7861" s="426"/>
    </row>
    <row r="7862" spans="1:1" s="427" customFormat="1" ht="12" hidden="1" customHeight="1">
      <c r="A7862" s="426"/>
    </row>
    <row r="7863" spans="1:1" s="427" customFormat="1" ht="12" hidden="1" customHeight="1">
      <c r="A7863" s="426"/>
    </row>
    <row r="7864" spans="1:1" s="427" customFormat="1" ht="12" hidden="1" customHeight="1">
      <c r="A7864" s="426"/>
    </row>
    <row r="7865" spans="1:1" s="427" customFormat="1" ht="12" hidden="1" customHeight="1">
      <c r="A7865" s="426"/>
    </row>
    <row r="7866" spans="1:1" s="427" customFormat="1" ht="12" hidden="1" customHeight="1">
      <c r="A7866" s="426"/>
    </row>
    <row r="7867" spans="1:1" s="427" customFormat="1" ht="12" hidden="1" customHeight="1">
      <c r="A7867" s="426"/>
    </row>
    <row r="7868" spans="1:1" s="427" customFormat="1" ht="12" hidden="1" customHeight="1">
      <c r="A7868" s="426"/>
    </row>
    <row r="7869" spans="1:1" s="427" customFormat="1" ht="12" hidden="1" customHeight="1">
      <c r="A7869" s="426"/>
    </row>
    <row r="7870" spans="1:1" s="427" customFormat="1" ht="12" hidden="1" customHeight="1">
      <c r="A7870" s="426"/>
    </row>
    <row r="7871" spans="1:1" s="427" customFormat="1" ht="12" hidden="1" customHeight="1">
      <c r="A7871" s="426"/>
    </row>
    <row r="7872" spans="1:1" s="427" customFormat="1" ht="12" hidden="1" customHeight="1">
      <c r="A7872" s="426"/>
    </row>
    <row r="7873" spans="1:1" s="427" customFormat="1" ht="12" hidden="1" customHeight="1">
      <c r="A7873" s="426"/>
    </row>
    <row r="7874" spans="1:1" s="427" customFormat="1" ht="12" hidden="1" customHeight="1">
      <c r="A7874" s="426"/>
    </row>
    <row r="7875" spans="1:1" s="427" customFormat="1" ht="12" hidden="1" customHeight="1">
      <c r="A7875" s="426"/>
    </row>
    <row r="7876" spans="1:1" s="427" customFormat="1" ht="12" hidden="1" customHeight="1">
      <c r="A7876" s="426"/>
    </row>
    <row r="7877" spans="1:1" s="427" customFormat="1" ht="12" hidden="1" customHeight="1">
      <c r="A7877" s="426"/>
    </row>
    <row r="7878" spans="1:1" s="427" customFormat="1" ht="12" hidden="1" customHeight="1">
      <c r="A7878" s="426"/>
    </row>
    <row r="7879" spans="1:1" s="427" customFormat="1" ht="12" hidden="1" customHeight="1">
      <c r="A7879" s="426"/>
    </row>
    <row r="7880" spans="1:1" s="427" customFormat="1" ht="12" hidden="1" customHeight="1">
      <c r="A7880" s="426"/>
    </row>
    <row r="7881" spans="1:1" s="427" customFormat="1" ht="12" hidden="1" customHeight="1">
      <c r="A7881" s="426"/>
    </row>
    <row r="7882" spans="1:1" s="427" customFormat="1" ht="12" hidden="1" customHeight="1">
      <c r="A7882" s="426"/>
    </row>
    <row r="7883" spans="1:1" s="427" customFormat="1" ht="12" hidden="1" customHeight="1">
      <c r="A7883" s="426"/>
    </row>
    <row r="7884" spans="1:1" s="427" customFormat="1" ht="12" hidden="1" customHeight="1">
      <c r="A7884" s="426"/>
    </row>
    <row r="7885" spans="1:1" s="427" customFormat="1" ht="12" hidden="1" customHeight="1">
      <c r="A7885" s="426"/>
    </row>
    <row r="7886" spans="1:1" s="427" customFormat="1" ht="12" hidden="1" customHeight="1">
      <c r="A7886" s="426"/>
    </row>
    <row r="7887" spans="1:1" s="427" customFormat="1" ht="12" hidden="1" customHeight="1">
      <c r="A7887" s="426"/>
    </row>
    <row r="7888" spans="1:1" s="427" customFormat="1" ht="12" hidden="1" customHeight="1">
      <c r="A7888" s="426"/>
    </row>
    <row r="7889" spans="1:1" s="427" customFormat="1" ht="12" hidden="1" customHeight="1">
      <c r="A7889" s="426"/>
    </row>
    <row r="7890" spans="1:1" s="427" customFormat="1" ht="12" hidden="1" customHeight="1">
      <c r="A7890" s="426"/>
    </row>
    <row r="7891" spans="1:1" s="427" customFormat="1" ht="12" hidden="1" customHeight="1">
      <c r="A7891" s="426"/>
    </row>
    <row r="7892" spans="1:1" s="427" customFormat="1" ht="12" hidden="1" customHeight="1">
      <c r="A7892" s="426"/>
    </row>
    <row r="7893" spans="1:1" s="427" customFormat="1" ht="12" hidden="1" customHeight="1">
      <c r="A7893" s="426"/>
    </row>
    <row r="7894" spans="1:1" s="427" customFormat="1" ht="12" hidden="1" customHeight="1">
      <c r="A7894" s="426"/>
    </row>
    <row r="7895" spans="1:1" s="427" customFormat="1" ht="12" hidden="1" customHeight="1">
      <c r="A7895" s="426"/>
    </row>
    <row r="7896" spans="1:1" s="427" customFormat="1" ht="12" hidden="1" customHeight="1">
      <c r="A7896" s="426"/>
    </row>
    <row r="7897" spans="1:1" s="427" customFormat="1" ht="12" hidden="1" customHeight="1">
      <c r="A7897" s="426"/>
    </row>
    <row r="7898" spans="1:1" s="427" customFormat="1" ht="12" hidden="1" customHeight="1">
      <c r="A7898" s="426"/>
    </row>
    <row r="7899" spans="1:1" s="427" customFormat="1" ht="12" hidden="1" customHeight="1">
      <c r="A7899" s="426"/>
    </row>
    <row r="7900" spans="1:1" s="427" customFormat="1" ht="12" hidden="1" customHeight="1">
      <c r="A7900" s="426"/>
    </row>
    <row r="7901" spans="1:1" s="427" customFormat="1" ht="12" hidden="1" customHeight="1">
      <c r="A7901" s="426"/>
    </row>
    <row r="7902" spans="1:1" s="427" customFormat="1" ht="12" hidden="1" customHeight="1">
      <c r="A7902" s="426"/>
    </row>
    <row r="7903" spans="1:1" s="427" customFormat="1" ht="12" hidden="1" customHeight="1">
      <c r="A7903" s="426"/>
    </row>
    <row r="7904" spans="1:1" s="427" customFormat="1" ht="12" hidden="1" customHeight="1">
      <c r="A7904" s="426"/>
    </row>
    <row r="7905" spans="1:1" s="427" customFormat="1" ht="12" hidden="1" customHeight="1">
      <c r="A7905" s="426"/>
    </row>
    <row r="7906" spans="1:1" s="427" customFormat="1" ht="12" hidden="1" customHeight="1">
      <c r="A7906" s="426"/>
    </row>
    <row r="7907" spans="1:1" s="427" customFormat="1" ht="12" hidden="1" customHeight="1">
      <c r="A7907" s="426"/>
    </row>
    <row r="7908" spans="1:1" s="427" customFormat="1" ht="12" hidden="1" customHeight="1">
      <c r="A7908" s="426"/>
    </row>
    <row r="7909" spans="1:1" s="427" customFormat="1" ht="12" hidden="1" customHeight="1">
      <c r="A7909" s="426"/>
    </row>
    <row r="7910" spans="1:1" s="427" customFormat="1" ht="12" hidden="1" customHeight="1">
      <c r="A7910" s="426"/>
    </row>
    <row r="7911" spans="1:1" s="427" customFormat="1" ht="12" hidden="1" customHeight="1">
      <c r="A7911" s="426"/>
    </row>
    <row r="7912" spans="1:1" s="427" customFormat="1" ht="12" hidden="1" customHeight="1">
      <c r="A7912" s="426"/>
    </row>
    <row r="7913" spans="1:1" s="427" customFormat="1" ht="12" hidden="1" customHeight="1">
      <c r="A7913" s="426"/>
    </row>
    <row r="7914" spans="1:1" s="427" customFormat="1" ht="12" hidden="1" customHeight="1">
      <c r="A7914" s="426"/>
    </row>
    <row r="7915" spans="1:1" s="427" customFormat="1" ht="12" hidden="1" customHeight="1">
      <c r="A7915" s="426"/>
    </row>
    <row r="7916" spans="1:1" s="427" customFormat="1" ht="12" hidden="1" customHeight="1">
      <c r="A7916" s="426"/>
    </row>
    <row r="7917" spans="1:1" s="427" customFormat="1" ht="12" hidden="1" customHeight="1">
      <c r="A7917" s="426"/>
    </row>
    <row r="7918" spans="1:1" s="427" customFormat="1" ht="12" hidden="1" customHeight="1">
      <c r="A7918" s="426"/>
    </row>
    <row r="7919" spans="1:1" s="427" customFormat="1" ht="12" hidden="1" customHeight="1">
      <c r="A7919" s="426"/>
    </row>
    <row r="7920" spans="1:1" s="427" customFormat="1" ht="12" hidden="1" customHeight="1">
      <c r="A7920" s="426"/>
    </row>
    <row r="7921" spans="1:1" s="427" customFormat="1" ht="12" hidden="1" customHeight="1">
      <c r="A7921" s="426"/>
    </row>
    <row r="7922" spans="1:1" s="427" customFormat="1" ht="12" hidden="1" customHeight="1">
      <c r="A7922" s="426"/>
    </row>
    <row r="7923" spans="1:1" s="427" customFormat="1" ht="12" hidden="1" customHeight="1">
      <c r="A7923" s="426"/>
    </row>
    <row r="7924" spans="1:1" s="427" customFormat="1" ht="12" hidden="1" customHeight="1">
      <c r="A7924" s="426"/>
    </row>
    <row r="7925" spans="1:1" s="427" customFormat="1" ht="12" hidden="1" customHeight="1">
      <c r="A7925" s="426"/>
    </row>
    <row r="7926" spans="1:1" s="427" customFormat="1" ht="12" hidden="1" customHeight="1">
      <c r="A7926" s="426"/>
    </row>
    <row r="7927" spans="1:1" s="427" customFormat="1" ht="12" hidden="1" customHeight="1">
      <c r="A7927" s="426"/>
    </row>
    <row r="7928" spans="1:1" s="427" customFormat="1" ht="12" hidden="1" customHeight="1">
      <c r="A7928" s="426"/>
    </row>
    <row r="7929" spans="1:1" s="427" customFormat="1" ht="12" hidden="1" customHeight="1">
      <c r="A7929" s="426"/>
    </row>
    <row r="7930" spans="1:1" s="427" customFormat="1" ht="12" hidden="1" customHeight="1">
      <c r="A7930" s="426"/>
    </row>
    <row r="7931" spans="1:1" s="427" customFormat="1" ht="12" hidden="1" customHeight="1">
      <c r="A7931" s="426"/>
    </row>
    <row r="7932" spans="1:1" s="427" customFormat="1" ht="12" hidden="1" customHeight="1">
      <c r="A7932" s="426"/>
    </row>
    <row r="7933" spans="1:1" s="427" customFormat="1" ht="12" hidden="1" customHeight="1">
      <c r="A7933" s="426"/>
    </row>
    <row r="7934" spans="1:1" s="427" customFormat="1" ht="12" hidden="1" customHeight="1">
      <c r="A7934" s="426"/>
    </row>
    <row r="7935" spans="1:1" s="427" customFormat="1" ht="12" hidden="1" customHeight="1">
      <c r="A7935" s="426"/>
    </row>
    <row r="7936" spans="1:1" s="427" customFormat="1" ht="12" hidden="1" customHeight="1">
      <c r="A7936" s="426"/>
    </row>
    <row r="7937" spans="1:1" s="427" customFormat="1" ht="12" hidden="1" customHeight="1">
      <c r="A7937" s="426"/>
    </row>
    <row r="7938" spans="1:1" s="427" customFormat="1" ht="12" hidden="1" customHeight="1">
      <c r="A7938" s="426"/>
    </row>
    <row r="7939" spans="1:1" s="427" customFormat="1" ht="12" hidden="1" customHeight="1">
      <c r="A7939" s="426"/>
    </row>
    <row r="7940" spans="1:1" s="427" customFormat="1" ht="12" hidden="1" customHeight="1">
      <c r="A7940" s="426"/>
    </row>
    <row r="7941" spans="1:1" s="427" customFormat="1" ht="12" hidden="1" customHeight="1">
      <c r="A7941" s="426"/>
    </row>
    <row r="7942" spans="1:1" s="427" customFormat="1" ht="12" hidden="1" customHeight="1">
      <c r="A7942" s="426"/>
    </row>
    <row r="7943" spans="1:1" s="427" customFormat="1" ht="12" hidden="1" customHeight="1">
      <c r="A7943" s="426"/>
    </row>
    <row r="7944" spans="1:1" s="427" customFormat="1" ht="12" hidden="1" customHeight="1">
      <c r="A7944" s="426"/>
    </row>
    <row r="7945" spans="1:1" s="427" customFormat="1" ht="12" hidden="1" customHeight="1">
      <c r="A7945" s="426"/>
    </row>
    <row r="7946" spans="1:1" s="427" customFormat="1" ht="12" hidden="1" customHeight="1">
      <c r="A7946" s="426"/>
    </row>
    <row r="7947" spans="1:1" s="427" customFormat="1" ht="12" hidden="1" customHeight="1">
      <c r="A7947" s="426"/>
    </row>
    <row r="7948" spans="1:1" s="427" customFormat="1" ht="12" hidden="1" customHeight="1">
      <c r="A7948" s="426"/>
    </row>
    <row r="7949" spans="1:1" s="427" customFormat="1" ht="12" hidden="1" customHeight="1">
      <c r="A7949" s="426"/>
    </row>
    <row r="7950" spans="1:1" s="427" customFormat="1" ht="12" hidden="1" customHeight="1">
      <c r="A7950" s="426"/>
    </row>
    <row r="7951" spans="1:1" s="427" customFormat="1" ht="12" hidden="1" customHeight="1">
      <c r="A7951" s="426"/>
    </row>
    <row r="7952" spans="1:1" s="427" customFormat="1" ht="12" hidden="1" customHeight="1">
      <c r="A7952" s="426"/>
    </row>
    <row r="7953" spans="1:1" s="427" customFormat="1" ht="12" hidden="1" customHeight="1">
      <c r="A7953" s="426"/>
    </row>
    <row r="7954" spans="1:1" s="427" customFormat="1" ht="12" hidden="1" customHeight="1">
      <c r="A7954" s="426"/>
    </row>
    <row r="7955" spans="1:1" s="427" customFormat="1" ht="12" hidden="1" customHeight="1">
      <c r="A7955" s="426"/>
    </row>
    <row r="7956" spans="1:1" s="427" customFormat="1" ht="12" hidden="1" customHeight="1">
      <c r="A7956" s="426"/>
    </row>
    <row r="7957" spans="1:1" s="427" customFormat="1" ht="12" hidden="1" customHeight="1">
      <c r="A7957" s="426"/>
    </row>
    <row r="7958" spans="1:1" s="427" customFormat="1" ht="12" hidden="1" customHeight="1">
      <c r="A7958" s="426"/>
    </row>
    <row r="7959" spans="1:1" s="427" customFormat="1" ht="12" hidden="1" customHeight="1">
      <c r="A7959" s="426"/>
    </row>
    <row r="7960" spans="1:1" s="427" customFormat="1" ht="12" hidden="1" customHeight="1">
      <c r="A7960" s="426"/>
    </row>
    <row r="7961" spans="1:1" s="427" customFormat="1" ht="12" hidden="1" customHeight="1">
      <c r="A7961" s="426"/>
    </row>
    <row r="7962" spans="1:1" s="427" customFormat="1" ht="12" hidden="1" customHeight="1">
      <c r="A7962" s="426"/>
    </row>
    <row r="7963" spans="1:1" s="427" customFormat="1" ht="12" hidden="1" customHeight="1">
      <c r="A7963" s="426"/>
    </row>
    <row r="7964" spans="1:1" s="427" customFormat="1" ht="12" hidden="1" customHeight="1">
      <c r="A7964" s="426"/>
    </row>
    <row r="7965" spans="1:1" s="427" customFormat="1" ht="12" hidden="1" customHeight="1">
      <c r="A7965" s="426"/>
    </row>
    <row r="7966" spans="1:1" s="427" customFormat="1" ht="12" hidden="1" customHeight="1">
      <c r="A7966" s="426"/>
    </row>
    <row r="7967" spans="1:1" s="427" customFormat="1" ht="12" hidden="1" customHeight="1">
      <c r="A7967" s="426"/>
    </row>
    <row r="7968" spans="1:1" s="427" customFormat="1" ht="12" hidden="1" customHeight="1">
      <c r="A7968" s="426"/>
    </row>
    <row r="7969" spans="1:1" s="427" customFormat="1" ht="12" hidden="1" customHeight="1">
      <c r="A7969" s="426"/>
    </row>
    <row r="7970" spans="1:1" s="427" customFormat="1" ht="12" hidden="1" customHeight="1">
      <c r="A7970" s="426"/>
    </row>
    <row r="7971" spans="1:1" s="427" customFormat="1" ht="12" hidden="1" customHeight="1">
      <c r="A7971" s="426"/>
    </row>
    <row r="7972" spans="1:1" s="427" customFormat="1" ht="12" hidden="1" customHeight="1">
      <c r="A7972" s="426"/>
    </row>
    <row r="7973" spans="1:1" s="427" customFormat="1" ht="12" hidden="1" customHeight="1">
      <c r="A7973" s="426"/>
    </row>
    <row r="7974" spans="1:1" s="427" customFormat="1" ht="12" hidden="1" customHeight="1">
      <c r="A7974" s="426"/>
    </row>
    <row r="7975" spans="1:1" s="427" customFormat="1" ht="12" hidden="1" customHeight="1">
      <c r="A7975" s="426"/>
    </row>
    <row r="7976" spans="1:1" s="427" customFormat="1" ht="12" hidden="1" customHeight="1">
      <c r="A7976" s="426"/>
    </row>
    <row r="7977" spans="1:1" s="427" customFormat="1" ht="12" hidden="1" customHeight="1">
      <c r="A7977" s="426"/>
    </row>
    <row r="7978" spans="1:1" s="427" customFormat="1" ht="12" hidden="1" customHeight="1">
      <c r="A7978" s="426"/>
    </row>
    <row r="7979" spans="1:1" s="427" customFormat="1" ht="12" hidden="1" customHeight="1">
      <c r="A7979" s="426"/>
    </row>
    <row r="7980" spans="1:1" s="427" customFormat="1" ht="12" hidden="1" customHeight="1">
      <c r="A7980" s="426"/>
    </row>
    <row r="7981" spans="1:1" s="427" customFormat="1" ht="12" hidden="1" customHeight="1">
      <c r="A7981" s="426"/>
    </row>
    <row r="7982" spans="1:1" s="427" customFormat="1" ht="12" hidden="1" customHeight="1">
      <c r="A7982" s="426"/>
    </row>
    <row r="7983" spans="1:1" s="427" customFormat="1" ht="12" hidden="1" customHeight="1">
      <c r="A7983" s="426"/>
    </row>
    <row r="7984" spans="1:1" s="427" customFormat="1" ht="12" hidden="1" customHeight="1">
      <c r="A7984" s="426"/>
    </row>
    <row r="7985" spans="1:1" s="427" customFormat="1" ht="12" hidden="1" customHeight="1">
      <c r="A7985" s="426"/>
    </row>
    <row r="7986" spans="1:1" s="427" customFormat="1" ht="12" hidden="1" customHeight="1">
      <c r="A7986" s="426"/>
    </row>
    <row r="7987" spans="1:1" s="427" customFormat="1" ht="12" hidden="1" customHeight="1">
      <c r="A7987" s="426"/>
    </row>
    <row r="7988" spans="1:1" s="427" customFormat="1" ht="12" hidden="1" customHeight="1">
      <c r="A7988" s="426"/>
    </row>
    <row r="7989" spans="1:1" s="427" customFormat="1" ht="12" hidden="1" customHeight="1">
      <c r="A7989" s="426"/>
    </row>
    <row r="7990" spans="1:1" s="427" customFormat="1" ht="12" hidden="1" customHeight="1">
      <c r="A7990" s="426"/>
    </row>
    <row r="7991" spans="1:1" s="427" customFormat="1" ht="12" hidden="1" customHeight="1">
      <c r="A7991" s="426"/>
    </row>
    <row r="7992" spans="1:1" s="427" customFormat="1" ht="12" hidden="1" customHeight="1">
      <c r="A7992" s="426"/>
    </row>
    <row r="7993" spans="1:1" s="427" customFormat="1" ht="12" hidden="1" customHeight="1">
      <c r="A7993" s="426"/>
    </row>
    <row r="7994" spans="1:1" s="427" customFormat="1" ht="12" hidden="1" customHeight="1">
      <c r="A7994" s="426"/>
    </row>
    <row r="7995" spans="1:1" s="427" customFormat="1" ht="12" hidden="1" customHeight="1">
      <c r="A7995" s="426"/>
    </row>
    <row r="7996" spans="1:1" s="427" customFormat="1" ht="12" hidden="1" customHeight="1">
      <c r="A7996" s="426"/>
    </row>
    <row r="7997" spans="1:1" s="427" customFormat="1" ht="12" hidden="1" customHeight="1">
      <c r="A7997" s="426"/>
    </row>
    <row r="7998" spans="1:1" s="427" customFormat="1" ht="12" hidden="1" customHeight="1">
      <c r="A7998" s="426"/>
    </row>
    <row r="7999" spans="1:1" s="427" customFormat="1" ht="12" hidden="1" customHeight="1">
      <c r="A7999" s="426"/>
    </row>
    <row r="8000" spans="1:1" s="427" customFormat="1" ht="12" hidden="1" customHeight="1">
      <c r="A8000" s="426"/>
    </row>
    <row r="8001" spans="1:1" s="427" customFormat="1" ht="12" hidden="1" customHeight="1">
      <c r="A8001" s="426"/>
    </row>
    <row r="8002" spans="1:1" s="427" customFormat="1" ht="12" hidden="1" customHeight="1">
      <c r="A8002" s="426"/>
    </row>
    <row r="8003" spans="1:1" s="427" customFormat="1" ht="12" hidden="1" customHeight="1">
      <c r="A8003" s="426"/>
    </row>
    <row r="8004" spans="1:1" s="427" customFormat="1" ht="12" hidden="1" customHeight="1">
      <c r="A8004" s="426"/>
    </row>
    <row r="8005" spans="1:1" s="427" customFormat="1" ht="12" hidden="1" customHeight="1">
      <c r="A8005" s="426"/>
    </row>
    <row r="8006" spans="1:1" s="427" customFormat="1" ht="12" hidden="1" customHeight="1">
      <c r="A8006" s="426"/>
    </row>
    <row r="8007" spans="1:1" s="427" customFormat="1" ht="12" hidden="1" customHeight="1">
      <c r="A8007" s="426"/>
    </row>
    <row r="8008" spans="1:1" s="427" customFormat="1" ht="12" hidden="1" customHeight="1">
      <c r="A8008" s="426"/>
    </row>
    <row r="8009" spans="1:1" s="427" customFormat="1" ht="12" hidden="1" customHeight="1">
      <c r="A8009" s="426"/>
    </row>
    <row r="8010" spans="1:1" s="427" customFormat="1" ht="12" hidden="1" customHeight="1">
      <c r="A8010" s="426"/>
    </row>
    <row r="8011" spans="1:1" s="427" customFormat="1" ht="12" hidden="1" customHeight="1">
      <c r="A8011" s="426"/>
    </row>
    <row r="8012" spans="1:1" s="427" customFormat="1" ht="12" hidden="1" customHeight="1">
      <c r="A8012" s="426"/>
    </row>
    <row r="8013" spans="1:1" s="427" customFormat="1" ht="12" hidden="1" customHeight="1">
      <c r="A8013" s="426"/>
    </row>
    <row r="8014" spans="1:1" s="427" customFormat="1" ht="12" hidden="1" customHeight="1">
      <c r="A8014" s="426"/>
    </row>
    <row r="8015" spans="1:1" s="427" customFormat="1" ht="12" hidden="1" customHeight="1">
      <c r="A8015" s="426"/>
    </row>
    <row r="8016" spans="1:1" s="427" customFormat="1" ht="12" hidden="1" customHeight="1">
      <c r="A8016" s="426"/>
    </row>
    <row r="8017" spans="1:1" s="427" customFormat="1" ht="12" hidden="1" customHeight="1">
      <c r="A8017" s="426"/>
    </row>
    <row r="8018" spans="1:1" s="427" customFormat="1" ht="12" hidden="1" customHeight="1">
      <c r="A8018" s="426"/>
    </row>
    <row r="8019" spans="1:1" s="427" customFormat="1" ht="12" hidden="1" customHeight="1">
      <c r="A8019" s="426"/>
    </row>
    <row r="8020" spans="1:1" s="427" customFormat="1" ht="12" hidden="1" customHeight="1">
      <c r="A8020" s="426"/>
    </row>
    <row r="8021" spans="1:1" s="427" customFormat="1" ht="12" hidden="1" customHeight="1">
      <c r="A8021" s="426"/>
    </row>
    <row r="8022" spans="1:1" s="427" customFormat="1" ht="12" hidden="1" customHeight="1">
      <c r="A8022" s="426"/>
    </row>
    <row r="8023" spans="1:1" s="427" customFormat="1" ht="12" hidden="1" customHeight="1">
      <c r="A8023" s="426"/>
    </row>
    <row r="8024" spans="1:1" s="427" customFormat="1" ht="12" hidden="1" customHeight="1">
      <c r="A8024" s="426"/>
    </row>
    <row r="8025" spans="1:1" s="427" customFormat="1" ht="12" hidden="1" customHeight="1">
      <c r="A8025" s="426"/>
    </row>
    <row r="8026" spans="1:1" s="427" customFormat="1" ht="12" hidden="1" customHeight="1">
      <c r="A8026" s="426"/>
    </row>
    <row r="8027" spans="1:1" s="427" customFormat="1" ht="12" hidden="1" customHeight="1">
      <c r="A8027" s="426"/>
    </row>
    <row r="8028" spans="1:1" s="427" customFormat="1" ht="12" hidden="1" customHeight="1">
      <c r="A8028" s="426"/>
    </row>
    <row r="8029" spans="1:1" s="427" customFormat="1" ht="12" hidden="1" customHeight="1">
      <c r="A8029" s="426"/>
    </row>
    <row r="8030" spans="1:1" s="427" customFormat="1" ht="12" hidden="1" customHeight="1">
      <c r="A8030" s="426"/>
    </row>
    <row r="8031" spans="1:1" s="427" customFormat="1" ht="12" hidden="1" customHeight="1">
      <c r="A8031" s="426"/>
    </row>
    <row r="8032" spans="1:1" s="427" customFormat="1" ht="12" hidden="1" customHeight="1">
      <c r="A8032" s="426"/>
    </row>
    <row r="8033" spans="1:1" s="427" customFormat="1" ht="12" hidden="1" customHeight="1">
      <c r="A8033" s="426"/>
    </row>
    <row r="8034" spans="1:1" s="427" customFormat="1" ht="12" hidden="1" customHeight="1">
      <c r="A8034" s="426"/>
    </row>
    <row r="8035" spans="1:1" s="427" customFormat="1" ht="12" hidden="1" customHeight="1">
      <c r="A8035" s="426"/>
    </row>
    <row r="8036" spans="1:1" s="427" customFormat="1" ht="12" hidden="1" customHeight="1">
      <c r="A8036" s="426"/>
    </row>
    <row r="8037" spans="1:1" s="427" customFormat="1" ht="12" hidden="1" customHeight="1">
      <c r="A8037" s="426"/>
    </row>
    <row r="8038" spans="1:1" s="427" customFormat="1" ht="12" hidden="1" customHeight="1">
      <c r="A8038" s="426"/>
    </row>
    <row r="8039" spans="1:1" s="427" customFormat="1" ht="12" hidden="1" customHeight="1">
      <c r="A8039" s="426"/>
    </row>
    <row r="8040" spans="1:1" s="427" customFormat="1" ht="12" hidden="1" customHeight="1">
      <c r="A8040" s="426"/>
    </row>
    <row r="8041" spans="1:1" s="427" customFormat="1" ht="12" hidden="1" customHeight="1">
      <c r="A8041" s="426"/>
    </row>
    <row r="8042" spans="1:1" s="427" customFormat="1" ht="12" hidden="1" customHeight="1">
      <c r="A8042" s="426"/>
    </row>
    <row r="8043" spans="1:1" s="427" customFormat="1" ht="12" hidden="1" customHeight="1">
      <c r="A8043" s="426"/>
    </row>
    <row r="8044" spans="1:1" s="427" customFormat="1" ht="12" hidden="1" customHeight="1">
      <c r="A8044" s="426"/>
    </row>
    <row r="8045" spans="1:1" s="427" customFormat="1" ht="12" hidden="1" customHeight="1">
      <c r="A8045" s="426"/>
    </row>
    <row r="8046" spans="1:1" s="427" customFormat="1" ht="12" hidden="1" customHeight="1">
      <c r="A8046" s="426"/>
    </row>
    <row r="8047" spans="1:1" s="427" customFormat="1" ht="12" hidden="1" customHeight="1">
      <c r="A8047" s="426"/>
    </row>
    <row r="8048" spans="1:1" s="427" customFormat="1" ht="12" hidden="1" customHeight="1">
      <c r="A8048" s="426"/>
    </row>
    <row r="8049" spans="1:1" s="427" customFormat="1" ht="12" hidden="1" customHeight="1">
      <c r="A8049" s="426"/>
    </row>
    <row r="8050" spans="1:1" s="427" customFormat="1" ht="12" hidden="1" customHeight="1">
      <c r="A8050" s="426"/>
    </row>
    <row r="8051" spans="1:1" s="427" customFormat="1" ht="12" hidden="1" customHeight="1">
      <c r="A8051" s="426"/>
    </row>
    <row r="8052" spans="1:1" s="427" customFormat="1" ht="12" hidden="1" customHeight="1">
      <c r="A8052" s="426"/>
    </row>
    <row r="8053" spans="1:1" s="427" customFormat="1" ht="12" hidden="1" customHeight="1">
      <c r="A8053" s="426"/>
    </row>
    <row r="8054" spans="1:1" s="427" customFormat="1" ht="12" hidden="1" customHeight="1">
      <c r="A8054" s="426"/>
    </row>
    <row r="8055" spans="1:1" s="427" customFormat="1" ht="12" hidden="1" customHeight="1">
      <c r="A8055" s="426"/>
    </row>
    <row r="8056" spans="1:1" s="427" customFormat="1" ht="12" hidden="1" customHeight="1">
      <c r="A8056" s="426"/>
    </row>
    <row r="8057" spans="1:1" s="427" customFormat="1" ht="12" hidden="1" customHeight="1">
      <c r="A8057" s="426"/>
    </row>
    <row r="8058" spans="1:1" s="427" customFormat="1" ht="12" hidden="1" customHeight="1">
      <c r="A8058" s="426"/>
    </row>
    <row r="8059" spans="1:1" s="427" customFormat="1" ht="12" hidden="1" customHeight="1">
      <c r="A8059" s="426"/>
    </row>
    <row r="8060" spans="1:1" s="427" customFormat="1" ht="12" hidden="1" customHeight="1">
      <c r="A8060" s="426"/>
    </row>
    <row r="8061" spans="1:1" s="427" customFormat="1" ht="12" hidden="1" customHeight="1">
      <c r="A8061" s="426"/>
    </row>
    <row r="8062" spans="1:1" s="427" customFormat="1" ht="12" hidden="1" customHeight="1">
      <c r="A8062" s="426"/>
    </row>
    <row r="8063" spans="1:1" s="427" customFormat="1" ht="12" hidden="1" customHeight="1">
      <c r="A8063" s="426"/>
    </row>
    <row r="8064" spans="1:1" s="427" customFormat="1" ht="12" hidden="1" customHeight="1">
      <c r="A8064" s="426"/>
    </row>
    <row r="8065" spans="1:1" s="427" customFormat="1" ht="12" hidden="1" customHeight="1">
      <c r="A8065" s="426"/>
    </row>
    <row r="8066" spans="1:1" s="427" customFormat="1" ht="12" hidden="1" customHeight="1">
      <c r="A8066" s="426"/>
    </row>
    <row r="8067" spans="1:1" s="427" customFormat="1" ht="12" hidden="1" customHeight="1">
      <c r="A8067" s="426"/>
    </row>
    <row r="8068" spans="1:1" s="427" customFormat="1" ht="12" hidden="1" customHeight="1">
      <c r="A8068" s="426"/>
    </row>
    <row r="8069" spans="1:1" s="427" customFormat="1" ht="12" hidden="1" customHeight="1">
      <c r="A8069" s="426"/>
    </row>
    <row r="8070" spans="1:1" s="427" customFormat="1" ht="12" hidden="1" customHeight="1">
      <c r="A8070" s="426"/>
    </row>
    <row r="8071" spans="1:1" s="427" customFormat="1" ht="12" hidden="1" customHeight="1">
      <c r="A8071" s="426"/>
    </row>
    <row r="8072" spans="1:1" s="427" customFormat="1" ht="12" hidden="1" customHeight="1">
      <c r="A8072" s="426"/>
    </row>
    <row r="8073" spans="1:1" s="427" customFormat="1" ht="12" hidden="1" customHeight="1">
      <c r="A8073" s="426"/>
    </row>
    <row r="8074" spans="1:1" s="427" customFormat="1" ht="12" hidden="1" customHeight="1">
      <c r="A8074" s="426"/>
    </row>
    <row r="8075" spans="1:1" s="427" customFormat="1" ht="12" hidden="1" customHeight="1">
      <c r="A8075" s="426"/>
    </row>
    <row r="8076" spans="1:1" s="427" customFormat="1" ht="12" hidden="1" customHeight="1">
      <c r="A8076" s="426"/>
    </row>
    <row r="8077" spans="1:1" s="427" customFormat="1" ht="12" hidden="1" customHeight="1">
      <c r="A8077" s="426"/>
    </row>
    <row r="8078" spans="1:1" s="427" customFormat="1" ht="12" hidden="1" customHeight="1">
      <c r="A8078" s="426"/>
    </row>
    <row r="8079" spans="1:1" s="427" customFormat="1" ht="12" hidden="1" customHeight="1">
      <c r="A8079" s="426"/>
    </row>
    <row r="8080" spans="1:1" s="427" customFormat="1" ht="12" hidden="1" customHeight="1">
      <c r="A8080" s="426"/>
    </row>
    <row r="8081" spans="1:1" s="427" customFormat="1" ht="12" hidden="1" customHeight="1">
      <c r="A8081" s="426"/>
    </row>
    <row r="8082" spans="1:1" s="427" customFormat="1" ht="12" hidden="1" customHeight="1">
      <c r="A8082" s="426"/>
    </row>
    <row r="8083" spans="1:1" s="427" customFormat="1" ht="12" hidden="1" customHeight="1">
      <c r="A8083" s="426"/>
    </row>
    <row r="8084" spans="1:1" s="427" customFormat="1" ht="12" hidden="1" customHeight="1">
      <c r="A8084" s="426"/>
    </row>
    <row r="8085" spans="1:1" s="427" customFormat="1" ht="12" hidden="1" customHeight="1">
      <c r="A8085" s="426"/>
    </row>
    <row r="8086" spans="1:1" s="427" customFormat="1" ht="12" hidden="1" customHeight="1">
      <c r="A8086" s="426"/>
    </row>
    <row r="8087" spans="1:1" s="427" customFormat="1" ht="12" hidden="1" customHeight="1">
      <c r="A8087" s="426"/>
    </row>
    <row r="8088" spans="1:1" s="427" customFormat="1" ht="12" hidden="1" customHeight="1">
      <c r="A8088" s="426"/>
    </row>
    <row r="8089" spans="1:1" s="427" customFormat="1" ht="12" hidden="1" customHeight="1">
      <c r="A8089" s="426"/>
    </row>
    <row r="8090" spans="1:1" s="427" customFormat="1" ht="12" hidden="1" customHeight="1">
      <c r="A8090" s="426"/>
    </row>
    <row r="8091" spans="1:1" s="427" customFormat="1" ht="12" hidden="1" customHeight="1">
      <c r="A8091" s="426"/>
    </row>
    <row r="8092" spans="1:1" s="427" customFormat="1" ht="12" hidden="1" customHeight="1">
      <c r="A8092" s="426"/>
    </row>
    <row r="8093" spans="1:1" s="427" customFormat="1" ht="12" hidden="1" customHeight="1">
      <c r="A8093" s="426"/>
    </row>
    <row r="8094" spans="1:1" s="427" customFormat="1" ht="12" hidden="1" customHeight="1">
      <c r="A8094" s="426"/>
    </row>
    <row r="8095" spans="1:1" s="427" customFormat="1" ht="12" hidden="1" customHeight="1">
      <c r="A8095" s="426"/>
    </row>
    <row r="8096" spans="1:1" s="427" customFormat="1" ht="12" hidden="1" customHeight="1">
      <c r="A8096" s="426"/>
    </row>
    <row r="8097" spans="1:1" s="427" customFormat="1" ht="12" hidden="1" customHeight="1">
      <c r="A8097" s="426"/>
    </row>
    <row r="8098" spans="1:1" s="427" customFormat="1" ht="12" hidden="1" customHeight="1">
      <c r="A8098" s="426"/>
    </row>
    <row r="8099" spans="1:1" s="427" customFormat="1" ht="12" hidden="1" customHeight="1">
      <c r="A8099" s="426"/>
    </row>
    <row r="8100" spans="1:1" s="427" customFormat="1" ht="12" hidden="1" customHeight="1">
      <c r="A8100" s="426"/>
    </row>
    <row r="8101" spans="1:1" s="427" customFormat="1" ht="12" hidden="1" customHeight="1">
      <c r="A8101" s="426"/>
    </row>
    <row r="8102" spans="1:1" s="427" customFormat="1" ht="12" hidden="1" customHeight="1">
      <c r="A8102" s="426"/>
    </row>
    <row r="8103" spans="1:1" s="427" customFormat="1" ht="12" hidden="1" customHeight="1">
      <c r="A8103" s="426"/>
    </row>
    <row r="8104" spans="1:1" s="427" customFormat="1" ht="12" hidden="1" customHeight="1">
      <c r="A8104" s="426"/>
    </row>
    <row r="8105" spans="1:1" s="427" customFormat="1" ht="12" hidden="1" customHeight="1">
      <c r="A8105" s="426"/>
    </row>
    <row r="8106" spans="1:1" s="427" customFormat="1" ht="12" hidden="1" customHeight="1">
      <c r="A8106" s="426"/>
    </row>
    <row r="8107" spans="1:1" s="427" customFormat="1" ht="12" hidden="1" customHeight="1">
      <c r="A8107" s="426"/>
    </row>
    <row r="8108" spans="1:1" s="427" customFormat="1" ht="12" hidden="1" customHeight="1">
      <c r="A8108" s="426"/>
    </row>
    <row r="8109" spans="1:1" s="427" customFormat="1" ht="12" hidden="1" customHeight="1">
      <c r="A8109" s="426"/>
    </row>
    <row r="8110" spans="1:1" s="427" customFormat="1" ht="12" hidden="1" customHeight="1">
      <c r="A8110" s="426"/>
    </row>
    <row r="8111" spans="1:1" s="427" customFormat="1" ht="12" hidden="1" customHeight="1">
      <c r="A8111" s="426"/>
    </row>
    <row r="8112" spans="1:1" s="427" customFormat="1" ht="12" hidden="1" customHeight="1">
      <c r="A8112" s="426"/>
    </row>
    <row r="8113" spans="1:1" s="427" customFormat="1" ht="12" hidden="1" customHeight="1">
      <c r="A8113" s="426"/>
    </row>
    <row r="8114" spans="1:1" s="427" customFormat="1" ht="12" hidden="1" customHeight="1">
      <c r="A8114" s="426"/>
    </row>
    <row r="8115" spans="1:1" s="427" customFormat="1" ht="12" hidden="1" customHeight="1">
      <c r="A8115" s="426"/>
    </row>
    <row r="8116" spans="1:1" s="427" customFormat="1" ht="12" hidden="1" customHeight="1">
      <c r="A8116" s="426"/>
    </row>
    <row r="8117" spans="1:1" s="427" customFormat="1" ht="12" hidden="1" customHeight="1">
      <c r="A8117" s="426"/>
    </row>
    <row r="8118" spans="1:1" s="427" customFormat="1" ht="12" hidden="1" customHeight="1">
      <c r="A8118" s="426"/>
    </row>
    <row r="8119" spans="1:1" s="427" customFormat="1" ht="12" hidden="1" customHeight="1">
      <c r="A8119" s="426"/>
    </row>
    <row r="8120" spans="1:1" s="427" customFormat="1" ht="12" hidden="1" customHeight="1">
      <c r="A8120" s="426"/>
    </row>
    <row r="8121" spans="1:1" s="427" customFormat="1" ht="12" hidden="1" customHeight="1">
      <c r="A8121" s="426"/>
    </row>
    <row r="8122" spans="1:1" s="427" customFormat="1" ht="12" hidden="1" customHeight="1">
      <c r="A8122" s="426"/>
    </row>
    <row r="8123" spans="1:1" s="427" customFormat="1" ht="12" hidden="1" customHeight="1">
      <c r="A8123" s="426"/>
    </row>
    <row r="8124" spans="1:1" s="427" customFormat="1" ht="12" hidden="1" customHeight="1">
      <c r="A8124" s="426"/>
    </row>
    <row r="8125" spans="1:1" s="427" customFormat="1" ht="12" hidden="1" customHeight="1">
      <c r="A8125" s="426"/>
    </row>
    <row r="8126" spans="1:1" s="427" customFormat="1" ht="12" hidden="1" customHeight="1">
      <c r="A8126" s="426"/>
    </row>
    <row r="8127" spans="1:1" s="427" customFormat="1" ht="12" hidden="1" customHeight="1">
      <c r="A8127" s="426"/>
    </row>
    <row r="8128" spans="1:1" s="427" customFormat="1" ht="12" hidden="1" customHeight="1">
      <c r="A8128" s="426"/>
    </row>
    <row r="8129" spans="1:1" s="427" customFormat="1" ht="12" hidden="1" customHeight="1">
      <c r="A8129" s="426"/>
    </row>
    <row r="8130" spans="1:1" s="427" customFormat="1" ht="12" hidden="1" customHeight="1">
      <c r="A8130" s="426"/>
    </row>
    <row r="8131" spans="1:1" s="427" customFormat="1" ht="12" hidden="1" customHeight="1">
      <c r="A8131" s="426"/>
    </row>
    <row r="8132" spans="1:1" s="427" customFormat="1" ht="12" hidden="1" customHeight="1">
      <c r="A8132" s="426"/>
    </row>
    <row r="8133" spans="1:1" s="427" customFormat="1" ht="12" hidden="1" customHeight="1">
      <c r="A8133" s="426"/>
    </row>
    <row r="8134" spans="1:1" s="427" customFormat="1" ht="12" hidden="1" customHeight="1">
      <c r="A8134" s="426"/>
    </row>
    <row r="8135" spans="1:1" s="427" customFormat="1" ht="12" hidden="1" customHeight="1">
      <c r="A8135" s="426"/>
    </row>
    <row r="8136" spans="1:1" s="427" customFormat="1" ht="12" hidden="1" customHeight="1">
      <c r="A8136" s="426"/>
    </row>
    <row r="8137" spans="1:1" s="427" customFormat="1" ht="12" hidden="1" customHeight="1">
      <c r="A8137" s="426"/>
    </row>
    <row r="8138" spans="1:1" s="427" customFormat="1" ht="12" hidden="1" customHeight="1">
      <c r="A8138" s="426"/>
    </row>
    <row r="8139" spans="1:1" s="427" customFormat="1" ht="12" hidden="1" customHeight="1">
      <c r="A8139" s="426"/>
    </row>
    <row r="8140" spans="1:1" s="427" customFormat="1" ht="12" hidden="1" customHeight="1">
      <c r="A8140" s="426"/>
    </row>
    <row r="8141" spans="1:1" s="427" customFormat="1" ht="12" hidden="1" customHeight="1">
      <c r="A8141" s="426"/>
    </row>
    <row r="8142" spans="1:1" s="427" customFormat="1" ht="12" hidden="1" customHeight="1">
      <c r="A8142" s="426"/>
    </row>
    <row r="8143" spans="1:1" s="427" customFormat="1" ht="12" hidden="1" customHeight="1">
      <c r="A8143" s="426"/>
    </row>
    <row r="8144" spans="1:1" s="427" customFormat="1" ht="12" hidden="1" customHeight="1">
      <c r="A8144" s="426"/>
    </row>
    <row r="8145" spans="1:1" s="427" customFormat="1" ht="12" hidden="1" customHeight="1">
      <c r="A8145" s="426"/>
    </row>
    <row r="8146" spans="1:1" s="427" customFormat="1" ht="12" hidden="1" customHeight="1">
      <c r="A8146" s="426"/>
    </row>
    <row r="8147" spans="1:1" s="427" customFormat="1" ht="12" hidden="1" customHeight="1">
      <c r="A8147" s="426"/>
    </row>
    <row r="8148" spans="1:1" s="427" customFormat="1" ht="12" hidden="1" customHeight="1">
      <c r="A8148" s="426"/>
    </row>
    <row r="8149" spans="1:1" s="427" customFormat="1" ht="12" hidden="1" customHeight="1">
      <c r="A8149" s="426"/>
    </row>
    <row r="8150" spans="1:1" s="427" customFormat="1" ht="12" hidden="1" customHeight="1">
      <c r="A8150" s="426"/>
    </row>
    <row r="8151" spans="1:1" s="427" customFormat="1" ht="12" hidden="1" customHeight="1">
      <c r="A8151" s="426"/>
    </row>
    <row r="8152" spans="1:1" s="427" customFormat="1" ht="12" hidden="1" customHeight="1">
      <c r="A8152" s="426"/>
    </row>
    <row r="8153" spans="1:1" s="427" customFormat="1" ht="12" hidden="1" customHeight="1">
      <c r="A8153" s="426"/>
    </row>
    <row r="8154" spans="1:1" s="427" customFormat="1" ht="12" hidden="1" customHeight="1">
      <c r="A8154" s="426"/>
    </row>
    <row r="8155" spans="1:1" s="427" customFormat="1" ht="12" hidden="1" customHeight="1">
      <c r="A8155" s="426"/>
    </row>
    <row r="8156" spans="1:1" s="427" customFormat="1" ht="12" hidden="1" customHeight="1">
      <c r="A8156" s="426"/>
    </row>
    <row r="8157" spans="1:1" s="427" customFormat="1" ht="12" hidden="1" customHeight="1">
      <c r="A8157" s="426"/>
    </row>
    <row r="8158" spans="1:1" s="427" customFormat="1" ht="12" hidden="1" customHeight="1">
      <c r="A8158" s="426"/>
    </row>
    <row r="8159" spans="1:1" s="427" customFormat="1" ht="12" hidden="1" customHeight="1">
      <c r="A8159" s="426"/>
    </row>
    <row r="8160" spans="1:1" s="427" customFormat="1" ht="12" hidden="1" customHeight="1">
      <c r="A8160" s="426"/>
    </row>
    <row r="8161" spans="1:1" s="427" customFormat="1" ht="12" hidden="1" customHeight="1">
      <c r="A8161" s="426"/>
    </row>
    <row r="8162" spans="1:1" s="427" customFormat="1" ht="12" hidden="1" customHeight="1">
      <c r="A8162" s="426"/>
    </row>
    <row r="8163" spans="1:1" s="427" customFormat="1" ht="12" hidden="1" customHeight="1">
      <c r="A8163" s="426"/>
    </row>
    <row r="8164" spans="1:1" s="427" customFormat="1" ht="12" hidden="1" customHeight="1">
      <c r="A8164" s="426"/>
    </row>
    <row r="8165" spans="1:1" s="427" customFormat="1" ht="12" hidden="1" customHeight="1">
      <c r="A8165" s="426"/>
    </row>
    <row r="8166" spans="1:1" s="427" customFormat="1" ht="12" hidden="1" customHeight="1">
      <c r="A8166" s="426"/>
    </row>
    <row r="8167" spans="1:1" s="427" customFormat="1" ht="12" hidden="1" customHeight="1">
      <c r="A8167" s="426"/>
    </row>
    <row r="8168" spans="1:1" s="427" customFormat="1" ht="12" hidden="1" customHeight="1">
      <c r="A8168" s="426"/>
    </row>
    <row r="8169" spans="1:1" s="427" customFormat="1" ht="12" hidden="1" customHeight="1">
      <c r="A8169" s="426"/>
    </row>
    <row r="8170" spans="1:1" s="427" customFormat="1" ht="12" hidden="1" customHeight="1">
      <c r="A8170" s="426"/>
    </row>
    <row r="8171" spans="1:1" s="427" customFormat="1" ht="12" hidden="1" customHeight="1">
      <c r="A8171" s="426"/>
    </row>
    <row r="8172" spans="1:1" s="427" customFormat="1" ht="12" hidden="1" customHeight="1">
      <c r="A8172" s="426"/>
    </row>
    <row r="8173" spans="1:1" s="427" customFormat="1" ht="12" hidden="1" customHeight="1">
      <c r="A8173" s="426"/>
    </row>
    <row r="8174" spans="1:1" s="427" customFormat="1" ht="12" hidden="1" customHeight="1">
      <c r="A8174" s="426"/>
    </row>
    <row r="8175" spans="1:1" s="427" customFormat="1" ht="12" hidden="1" customHeight="1">
      <c r="A8175" s="426"/>
    </row>
    <row r="8176" spans="1:1" s="427" customFormat="1" ht="12" hidden="1" customHeight="1">
      <c r="A8176" s="426"/>
    </row>
    <row r="8177" spans="1:1" s="427" customFormat="1" ht="12" hidden="1" customHeight="1">
      <c r="A8177" s="426"/>
    </row>
    <row r="8178" spans="1:1" s="427" customFormat="1" ht="12" hidden="1" customHeight="1">
      <c r="A8178" s="426"/>
    </row>
    <row r="8179" spans="1:1" s="427" customFormat="1" ht="12" hidden="1" customHeight="1">
      <c r="A8179" s="426"/>
    </row>
    <row r="8180" spans="1:1" s="427" customFormat="1" ht="12" hidden="1" customHeight="1">
      <c r="A8180" s="426"/>
    </row>
    <row r="8181" spans="1:1" s="427" customFormat="1" ht="12" hidden="1" customHeight="1">
      <c r="A8181" s="426"/>
    </row>
    <row r="8182" spans="1:1" s="427" customFormat="1" ht="12" hidden="1" customHeight="1">
      <c r="A8182" s="426"/>
    </row>
    <row r="8183" spans="1:1" s="427" customFormat="1" ht="12" hidden="1" customHeight="1">
      <c r="A8183" s="426"/>
    </row>
    <row r="8184" spans="1:1" s="427" customFormat="1" ht="12" hidden="1" customHeight="1">
      <c r="A8184" s="426"/>
    </row>
    <row r="8185" spans="1:1" s="427" customFormat="1" ht="12" hidden="1" customHeight="1">
      <c r="A8185" s="426"/>
    </row>
    <row r="8186" spans="1:1" s="427" customFormat="1" ht="12" hidden="1" customHeight="1">
      <c r="A8186" s="426"/>
    </row>
    <row r="8187" spans="1:1" s="427" customFormat="1" ht="12" hidden="1" customHeight="1">
      <c r="A8187" s="426"/>
    </row>
    <row r="8188" spans="1:1" s="427" customFormat="1" ht="12" hidden="1" customHeight="1">
      <c r="A8188" s="426"/>
    </row>
    <row r="8189" spans="1:1" s="427" customFormat="1" ht="12" hidden="1" customHeight="1">
      <c r="A8189" s="426"/>
    </row>
    <row r="8190" spans="1:1" s="427" customFormat="1" ht="12" hidden="1" customHeight="1">
      <c r="A8190" s="426"/>
    </row>
    <row r="8191" spans="1:1" s="427" customFormat="1" ht="12" hidden="1" customHeight="1">
      <c r="A8191" s="426"/>
    </row>
    <row r="8192" spans="1:1" s="427" customFormat="1" ht="12" hidden="1" customHeight="1">
      <c r="A8192" s="426"/>
    </row>
    <row r="8193" spans="1:1" s="427" customFormat="1" ht="12" hidden="1" customHeight="1">
      <c r="A8193" s="426"/>
    </row>
    <row r="8194" spans="1:1" s="427" customFormat="1" ht="12" hidden="1" customHeight="1">
      <c r="A8194" s="426"/>
    </row>
    <row r="8195" spans="1:1" s="427" customFormat="1" ht="12" hidden="1" customHeight="1">
      <c r="A8195" s="426"/>
    </row>
    <row r="8196" spans="1:1" s="427" customFormat="1" ht="12" hidden="1" customHeight="1">
      <c r="A8196" s="426"/>
    </row>
    <row r="8197" spans="1:1" s="427" customFormat="1" ht="12" hidden="1" customHeight="1">
      <c r="A8197" s="426"/>
    </row>
    <row r="8198" spans="1:1" s="427" customFormat="1" ht="12" hidden="1" customHeight="1">
      <c r="A8198" s="426"/>
    </row>
    <row r="8199" spans="1:1" s="427" customFormat="1" ht="12" hidden="1" customHeight="1">
      <c r="A8199" s="426"/>
    </row>
    <row r="8200" spans="1:1" s="427" customFormat="1" ht="12" hidden="1" customHeight="1">
      <c r="A8200" s="426"/>
    </row>
    <row r="8201" spans="1:1" s="427" customFormat="1" ht="12" hidden="1" customHeight="1">
      <c r="A8201" s="426"/>
    </row>
    <row r="8202" spans="1:1" s="427" customFormat="1" ht="12" hidden="1" customHeight="1">
      <c r="A8202" s="426"/>
    </row>
    <row r="8203" spans="1:1" s="427" customFormat="1" ht="12" hidden="1" customHeight="1">
      <c r="A8203" s="426"/>
    </row>
    <row r="8204" spans="1:1" s="427" customFormat="1" ht="12" hidden="1" customHeight="1">
      <c r="A8204" s="426"/>
    </row>
    <row r="8205" spans="1:1" s="427" customFormat="1" ht="12" hidden="1" customHeight="1">
      <c r="A8205" s="426"/>
    </row>
    <row r="8206" spans="1:1" s="427" customFormat="1" ht="12" hidden="1" customHeight="1">
      <c r="A8206" s="426"/>
    </row>
    <row r="8207" spans="1:1" s="427" customFormat="1" ht="12" hidden="1" customHeight="1">
      <c r="A8207" s="426"/>
    </row>
    <row r="8208" spans="1:1" s="427" customFormat="1" ht="12" hidden="1" customHeight="1">
      <c r="A8208" s="426"/>
    </row>
    <row r="8209" spans="1:1" s="427" customFormat="1" ht="12" hidden="1" customHeight="1">
      <c r="A8209" s="426"/>
    </row>
    <row r="8210" spans="1:1" s="427" customFormat="1" ht="12" hidden="1" customHeight="1">
      <c r="A8210" s="426"/>
    </row>
    <row r="8211" spans="1:1" s="427" customFormat="1" ht="12" hidden="1" customHeight="1">
      <c r="A8211" s="426"/>
    </row>
    <row r="8212" spans="1:1" s="427" customFormat="1" ht="12" hidden="1" customHeight="1">
      <c r="A8212" s="426"/>
    </row>
    <row r="8213" spans="1:1" s="427" customFormat="1" ht="12" hidden="1" customHeight="1">
      <c r="A8213" s="426"/>
    </row>
    <row r="8214" spans="1:1" s="427" customFormat="1" ht="12" hidden="1" customHeight="1">
      <c r="A8214" s="426"/>
    </row>
    <row r="8215" spans="1:1" s="427" customFormat="1" ht="12" hidden="1" customHeight="1">
      <c r="A8215" s="426"/>
    </row>
    <row r="8216" spans="1:1" s="427" customFormat="1" ht="12" hidden="1" customHeight="1">
      <c r="A8216" s="426"/>
    </row>
    <row r="8217" spans="1:1" s="427" customFormat="1" ht="12" hidden="1" customHeight="1">
      <c r="A8217" s="426"/>
    </row>
    <row r="8218" spans="1:1" s="427" customFormat="1" ht="12" hidden="1" customHeight="1">
      <c r="A8218" s="426"/>
    </row>
    <row r="8219" spans="1:1" s="427" customFormat="1" ht="12" hidden="1" customHeight="1">
      <c r="A8219" s="426"/>
    </row>
    <row r="8220" spans="1:1" s="427" customFormat="1" ht="12" hidden="1" customHeight="1">
      <c r="A8220" s="426"/>
    </row>
    <row r="8221" spans="1:1" s="427" customFormat="1" ht="12" hidden="1" customHeight="1">
      <c r="A8221" s="426"/>
    </row>
    <row r="8222" spans="1:1" s="427" customFormat="1" ht="12" hidden="1" customHeight="1">
      <c r="A8222" s="426"/>
    </row>
    <row r="8223" spans="1:1" s="427" customFormat="1" ht="12" hidden="1" customHeight="1">
      <c r="A8223" s="426"/>
    </row>
    <row r="8224" spans="1:1" s="427" customFormat="1" ht="12" hidden="1" customHeight="1">
      <c r="A8224" s="426"/>
    </row>
    <row r="8225" spans="1:1" s="427" customFormat="1" ht="12" hidden="1" customHeight="1">
      <c r="A8225" s="426"/>
    </row>
    <row r="8226" spans="1:1" s="427" customFormat="1" ht="12" hidden="1" customHeight="1">
      <c r="A8226" s="426"/>
    </row>
    <row r="8227" spans="1:1" s="427" customFormat="1" ht="12" hidden="1" customHeight="1">
      <c r="A8227" s="426"/>
    </row>
    <row r="8228" spans="1:1" s="427" customFormat="1" ht="12" hidden="1" customHeight="1">
      <c r="A8228" s="426"/>
    </row>
    <row r="8229" spans="1:1" s="427" customFormat="1" ht="12" hidden="1" customHeight="1">
      <c r="A8229" s="426"/>
    </row>
    <row r="8230" spans="1:1" s="427" customFormat="1" ht="12" hidden="1" customHeight="1">
      <c r="A8230" s="426"/>
    </row>
    <row r="8231" spans="1:1" s="427" customFormat="1" ht="12" hidden="1" customHeight="1">
      <c r="A8231" s="426"/>
    </row>
    <row r="8232" spans="1:1" s="427" customFormat="1" ht="12" hidden="1" customHeight="1">
      <c r="A8232" s="426"/>
    </row>
    <row r="8233" spans="1:1" s="427" customFormat="1" ht="12" hidden="1" customHeight="1">
      <c r="A8233" s="426"/>
    </row>
    <row r="8234" spans="1:1" s="427" customFormat="1" ht="12" hidden="1" customHeight="1">
      <c r="A8234" s="426"/>
    </row>
    <row r="8235" spans="1:1" s="427" customFormat="1" ht="12" hidden="1" customHeight="1">
      <c r="A8235" s="426"/>
    </row>
    <row r="8236" spans="1:1" s="427" customFormat="1" ht="12" hidden="1" customHeight="1">
      <c r="A8236" s="426"/>
    </row>
    <row r="8237" spans="1:1" s="427" customFormat="1" ht="12" hidden="1" customHeight="1">
      <c r="A8237" s="426"/>
    </row>
    <row r="8238" spans="1:1" s="427" customFormat="1" ht="12" hidden="1" customHeight="1">
      <c r="A8238" s="426"/>
    </row>
    <row r="8239" spans="1:1" s="427" customFormat="1" ht="12" hidden="1" customHeight="1">
      <c r="A8239" s="426"/>
    </row>
    <row r="8240" spans="1:1" s="427" customFormat="1" ht="12" hidden="1" customHeight="1">
      <c r="A8240" s="426"/>
    </row>
    <row r="8241" spans="1:1" s="427" customFormat="1" ht="12" hidden="1" customHeight="1">
      <c r="A8241" s="426"/>
    </row>
    <row r="8242" spans="1:1" s="427" customFormat="1" ht="12" hidden="1" customHeight="1">
      <c r="A8242" s="426"/>
    </row>
    <row r="8243" spans="1:1" s="427" customFormat="1" ht="12" hidden="1" customHeight="1">
      <c r="A8243" s="426"/>
    </row>
    <row r="8244" spans="1:1" s="427" customFormat="1" ht="12" hidden="1" customHeight="1">
      <c r="A8244" s="426"/>
    </row>
    <row r="8245" spans="1:1" s="427" customFormat="1" ht="12" hidden="1" customHeight="1">
      <c r="A8245" s="426"/>
    </row>
    <row r="8246" spans="1:1" s="427" customFormat="1" ht="12" hidden="1" customHeight="1">
      <c r="A8246" s="426"/>
    </row>
    <row r="8247" spans="1:1" s="427" customFormat="1" ht="12" hidden="1" customHeight="1">
      <c r="A8247" s="426"/>
    </row>
    <row r="8248" spans="1:1" s="427" customFormat="1" ht="12" hidden="1" customHeight="1">
      <c r="A8248" s="426"/>
    </row>
    <row r="8249" spans="1:1" s="427" customFormat="1" ht="12" hidden="1" customHeight="1">
      <c r="A8249" s="426"/>
    </row>
    <row r="8250" spans="1:1" s="427" customFormat="1" ht="12" hidden="1" customHeight="1">
      <c r="A8250" s="426"/>
    </row>
    <row r="8251" spans="1:1" s="427" customFormat="1" ht="12" hidden="1" customHeight="1">
      <c r="A8251" s="426"/>
    </row>
    <row r="8252" spans="1:1" s="427" customFormat="1" ht="12" hidden="1" customHeight="1">
      <c r="A8252" s="426"/>
    </row>
    <row r="8253" spans="1:1" s="427" customFormat="1" ht="12" hidden="1" customHeight="1">
      <c r="A8253" s="426"/>
    </row>
    <row r="8254" spans="1:1" s="427" customFormat="1" ht="12" hidden="1" customHeight="1">
      <c r="A8254" s="426"/>
    </row>
    <row r="8255" spans="1:1" s="427" customFormat="1" ht="12" hidden="1" customHeight="1">
      <c r="A8255" s="426"/>
    </row>
    <row r="8256" spans="1:1" s="427" customFormat="1" ht="12" hidden="1" customHeight="1">
      <c r="A8256" s="426"/>
    </row>
    <row r="8257" spans="1:1" s="427" customFormat="1" ht="12" hidden="1" customHeight="1">
      <c r="A8257" s="426"/>
    </row>
    <row r="8258" spans="1:1" s="427" customFormat="1" ht="12" hidden="1" customHeight="1">
      <c r="A8258" s="426"/>
    </row>
    <row r="8259" spans="1:1" s="427" customFormat="1" ht="12" hidden="1" customHeight="1">
      <c r="A8259" s="426"/>
    </row>
    <row r="8260" spans="1:1" s="427" customFormat="1" ht="12" hidden="1" customHeight="1">
      <c r="A8260" s="426"/>
    </row>
    <row r="8261" spans="1:1" s="427" customFormat="1" ht="12" hidden="1" customHeight="1">
      <c r="A8261" s="426"/>
    </row>
    <row r="8262" spans="1:1" s="427" customFormat="1" ht="12" hidden="1" customHeight="1">
      <c r="A8262" s="426"/>
    </row>
    <row r="8263" spans="1:1" s="427" customFormat="1" ht="12" hidden="1" customHeight="1">
      <c r="A8263" s="426"/>
    </row>
    <row r="8264" spans="1:1" s="427" customFormat="1" ht="12" hidden="1" customHeight="1">
      <c r="A8264" s="426"/>
    </row>
    <row r="8265" spans="1:1" s="427" customFormat="1" ht="12" hidden="1" customHeight="1">
      <c r="A8265" s="426"/>
    </row>
    <row r="8266" spans="1:1" s="427" customFormat="1" ht="12" hidden="1" customHeight="1">
      <c r="A8266" s="426"/>
    </row>
    <row r="8267" spans="1:1" s="427" customFormat="1" ht="12" hidden="1" customHeight="1">
      <c r="A8267" s="426"/>
    </row>
    <row r="8268" spans="1:1" s="427" customFormat="1" ht="12" hidden="1" customHeight="1">
      <c r="A8268" s="426"/>
    </row>
    <row r="8269" spans="1:1" s="427" customFormat="1" ht="12" hidden="1" customHeight="1">
      <c r="A8269" s="426"/>
    </row>
    <row r="8270" spans="1:1" s="427" customFormat="1" ht="12" hidden="1" customHeight="1">
      <c r="A8270" s="426"/>
    </row>
    <row r="8271" spans="1:1" s="427" customFormat="1" ht="12" hidden="1" customHeight="1">
      <c r="A8271" s="426"/>
    </row>
    <row r="8272" spans="1:1" s="427" customFormat="1" ht="12" hidden="1" customHeight="1">
      <c r="A8272" s="426"/>
    </row>
    <row r="8273" spans="1:1" s="427" customFormat="1" ht="12" hidden="1" customHeight="1">
      <c r="A8273" s="426"/>
    </row>
    <row r="8274" spans="1:1" s="427" customFormat="1" ht="12" hidden="1" customHeight="1">
      <c r="A8274" s="426"/>
    </row>
    <row r="8275" spans="1:1" s="427" customFormat="1" ht="12" hidden="1" customHeight="1">
      <c r="A8275" s="426"/>
    </row>
    <row r="8276" spans="1:1" s="427" customFormat="1" ht="12" hidden="1" customHeight="1">
      <c r="A8276" s="426"/>
    </row>
    <row r="8277" spans="1:1" s="427" customFormat="1" ht="12" hidden="1" customHeight="1">
      <c r="A8277" s="426"/>
    </row>
    <row r="8278" spans="1:1" s="427" customFormat="1" ht="12" hidden="1" customHeight="1">
      <c r="A8278" s="426"/>
    </row>
    <row r="8279" spans="1:1" s="427" customFormat="1" ht="12" hidden="1" customHeight="1">
      <c r="A8279" s="426"/>
    </row>
    <row r="8280" spans="1:1" s="427" customFormat="1" ht="12" hidden="1" customHeight="1">
      <c r="A8280" s="426"/>
    </row>
    <row r="8281" spans="1:1" s="427" customFormat="1" ht="12" hidden="1" customHeight="1">
      <c r="A8281" s="426"/>
    </row>
    <row r="8282" spans="1:1" s="427" customFormat="1" ht="12" hidden="1" customHeight="1">
      <c r="A8282" s="426"/>
    </row>
    <row r="8283" spans="1:1" s="427" customFormat="1" ht="12" hidden="1" customHeight="1">
      <c r="A8283" s="426"/>
    </row>
    <row r="8284" spans="1:1" s="427" customFormat="1" ht="12" hidden="1" customHeight="1">
      <c r="A8284" s="426"/>
    </row>
    <row r="8285" spans="1:1" s="427" customFormat="1" ht="12" hidden="1" customHeight="1">
      <c r="A8285" s="426"/>
    </row>
    <row r="8286" spans="1:1" s="427" customFormat="1" ht="12" hidden="1" customHeight="1">
      <c r="A8286" s="426"/>
    </row>
    <row r="8287" spans="1:1" s="427" customFormat="1" ht="12" hidden="1" customHeight="1">
      <c r="A8287" s="426"/>
    </row>
    <row r="8288" spans="1:1" s="427" customFormat="1" ht="12" hidden="1" customHeight="1">
      <c r="A8288" s="426"/>
    </row>
    <row r="8289" spans="1:1" s="427" customFormat="1" ht="12" hidden="1" customHeight="1">
      <c r="A8289" s="426"/>
    </row>
    <row r="8290" spans="1:1" s="427" customFormat="1" ht="12" hidden="1" customHeight="1">
      <c r="A8290" s="426"/>
    </row>
    <row r="8291" spans="1:1" s="427" customFormat="1" ht="12" hidden="1" customHeight="1">
      <c r="A8291" s="426"/>
    </row>
    <row r="8292" spans="1:1" s="427" customFormat="1" ht="12" hidden="1" customHeight="1">
      <c r="A8292" s="426"/>
    </row>
    <row r="8293" spans="1:1" s="427" customFormat="1" ht="12" hidden="1" customHeight="1">
      <c r="A8293" s="426"/>
    </row>
    <row r="8294" spans="1:1" s="427" customFormat="1" ht="12" hidden="1" customHeight="1">
      <c r="A8294" s="426"/>
    </row>
    <row r="8295" spans="1:1" s="427" customFormat="1" ht="12" hidden="1" customHeight="1">
      <c r="A8295" s="426"/>
    </row>
    <row r="8296" spans="1:1" s="427" customFormat="1" ht="12" hidden="1" customHeight="1">
      <c r="A8296" s="426"/>
    </row>
    <row r="8297" spans="1:1" s="427" customFormat="1" ht="12" hidden="1" customHeight="1">
      <c r="A8297" s="426"/>
    </row>
    <row r="8298" spans="1:1" s="427" customFormat="1" ht="12" hidden="1" customHeight="1">
      <c r="A8298" s="426"/>
    </row>
    <row r="8299" spans="1:1" s="427" customFormat="1" ht="12" hidden="1" customHeight="1">
      <c r="A8299" s="426"/>
    </row>
    <row r="8300" spans="1:1" s="427" customFormat="1" ht="12" hidden="1" customHeight="1">
      <c r="A8300" s="426"/>
    </row>
    <row r="8301" spans="1:1" s="427" customFormat="1" ht="12" hidden="1" customHeight="1">
      <c r="A8301" s="426"/>
    </row>
    <row r="8302" spans="1:1" s="427" customFormat="1" ht="12" hidden="1" customHeight="1">
      <c r="A8302" s="426"/>
    </row>
    <row r="8303" spans="1:1" s="427" customFormat="1" ht="12" hidden="1" customHeight="1">
      <c r="A8303" s="426"/>
    </row>
    <row r="8304" spans="1:1" s="427" customFormat="1" ht="12" hidden="1" customHeight="1">
      <c r="A8304" s="426"/>
    </row>
    <row r="8305" spans="1:1" s="427" customFormat="1" ht="12" hidden="1" customHeight="1">
      <c r="A8305" s="426"/>
    </row>
    <row r="8306" spans="1:1" s="427" customFormat="1" ht="12" hidden="1" customHeight="1">
      <c r="A8306" s="426"/>
    </row>
    <row r="8307" spans="1:1" s="427" customFormat="1" ht="12" hidden="1" customHeight="1">
      <c r="A8307" s="426"/>
    </row>
    <row r="8308" spans="1:1" s="427" customFormat="1" ht="12" hidden="1" customHeight="1">
      <c r="A8308" s="426"/>
    </row>
    <row r="8309" spans="1:1" s="427" customFormat="1" ht="12" hidden="1" customHeight="1">
      <c r="A8309" s="426"/>
    </row>
    <row r="8310" spans="1:1" s="427" customFormat="1" ht="12" hidden="1" customHeight="1">
      <c r="A8310" s="426"/>
    </row>
    <row r="8311" spans="1:1" s="427" customFormat="1" ht="12" hidden="1" customHeight="1">
      <c r="A8311" s="426"/>
    </row>
    <row r="8312" spans="1:1" s="427" customFormat="1" ht="12" hidden="1" customHeight="1">
      <c r="A8312" s="426"/>
    </row>
    <row r="8313" spans="1:1" s="427" customFormat="1" ht="12" hidden="1" customHeight="1">
      <c r="A8313" s="426"/>
    </row>
    <row r="8314" spans="1:1" s="427" customFormat="1" ht="12" hidden="1" customHeight="1">
      <c r="A8314" s="426"/>
    </row>
    <row r="8315" spans="1:1" s="427" customFormat="1" ht="12" hidden="1" customHeight="1">
      <c r="A8315" s="426"/>
    </row>
    <row r="8316" spans="1:1" s="427" customFormat="1" ht="12" hidden="1" customHeight="1">
      <c r="A8316" s="426"/>
    </row>
    <row r="8317" spans="1:1" s="427" customFormat="1" ht="12" hidden="1" customHeight="1">
      <c r="A8317" s="426"/>
    </row>
    <row r="8318" spans="1:1" s="427" customFormat="1" ht="12" hidden="1" customHeight="1">
      <c r="A8318" s="426"/>
    </row>
    <row r="8319" spans="1:1" s="427" customFormat="1" ht="12" hidden="1" customHeight="1">
      <c r="A8319" s="426"/>
    </row>
    <row r="8320" spans="1:1" s="427" customFormat="1" ht="12" hidden="1" customHeight="1">
      <c r="A8320" s="426"/>
    </row>
    <row r="8321" spans="1:1" s="427" customFormat="1" ht="12" hidden="1" customHeight="1">
      <c r="A8321" s="426"/>
    </row>
    <row r="8322" spans="1:1" s="427" customFormat="1" ht="12" hidden="1" customHeight="1">
      <c r="A8322" s="426"/>
    </row>
    <row r="8323" spans="1:1" s="427" customFormat="1" ht="12" hidden="1" customHeight="1">
      <c r="A8323" s="426"/>
    </row>
    <row r="8324" spans="1:1" s="427" customFormat="1" ht="12" hidden="1" customHeight="1">
      <c r="A8324" s="426"/>
    </row>
    <row r="8325" spans="1:1" s="427" customFormat="1" ht="12" hidden="1" customHeight="1">
      <c r="A8325" s="426"/>
    </row>
    <row r="8326" spans="1:1" s="427" customFormat="1" ht="12" hidden="1" customHeight="1">
      <c r="A8326" s="426"/>
    </row>
    <row r="8327" spans="1:1" s="427" customFormat="1" ht="12" hidden="1" customHeight="1">
      <c r="A8327" s="426"/>
    </row>
    <row r="8328" spans="1:1" s="427" customFormat="1" ht="12" hidden="1" customHeight="1">
      <c r="A8328" s="426"/>
    </row>
    <row r="8329" spans="1:1" s="427" customFormat="1" ht="12" hidden="1" customHeight="1">
      <c r="A8329" s="426"/>
    </row>
    <row r="8330" spans="1:1" s="427" customFormat="1" ht="12" hidden="1" customHeight="1">
      <c r="A8330" s="426"/>
    </row>
    <row r="8331" spans="1:1" s="427" customFormat="1" ht="12" hidden="1" customHeight="1">
      <c r="A8331" s="426"/>
    </row>
    <row r="8332" spans="1:1" s="427" customFormat="1" ht="12" hidden="1" customHeight="1">
      <c r="A8332" s="426"/>
    </row>
    <row r="8333" spans="1:1" s="427" customFormat="1" ht="12" hidden="1" customHeight="1">
      <c r="A8333" s="426"/>
    </row>
    <row r="8334" spans="1:1" s="427" customFormat="1" ht="12" hidden="1" customHeight="1">
      <c r="A8334" s="426"/>
    </row>
    <row r="8335" spans="1:1" s="427" customFormat="1" ht="12" hidden="1" customHeight="1">
      <c r="A8335" s="426"/>
    </row>
    <row r="8336" spans="1:1" s="427" customFormat="1" ht="12" hidden="1" customHeight="1">
      <c r="A8336" s="426"/>
    </row>
    <row r="8337" spans="1:1" s="427" customFormat="1" ht="12" hidden="1" customHeight="1">
      <c r="A8337" s="426"/>
    </row>
    <row r="8338" spans="1:1" s="427" customFormat="1" ht="12" hidden="1" customHeight="1">
      <c r="A8338" s="426"/>
    </row>
    <row r="8339" spans="1:1" s="427" customFormat="1" ht="12" hidden="1" customHeight="1">
      <c r="A8339" s="426"/>
    </row>
    <row r="8340" spans="1:1" s="427" customFormat="1" ht="12" hidden="1" customHeight="1">
      <c r="A8340" s="426"/>
    </row>
    <row r="8341" spans="1:1" s="427" customFormat="1" ht="12" hidden="1" customHeight="1">
      <c r="A8341" s="426"/>
    </row>
    <row r="8342" spans="1:1" s="427" customFormat="1" ht="12" hidden="1" customHeight="1">
      <c r="A8342" s="426"/>
    </row>
    <row r="8343" spans="1:1" s="427" customFormat="1" ht="12" hidden="1" customHeight="1">
      <c r="A8343" s="426"/>
    </row>
    <row r="8344" spans="1:1" s="427" customFormat="1" ht="12" hidden="1" customHeight="1">
      <c r="A8344" s="426"/>
    </row>
    <row r="8345" spans="1:1" s="427" customFormat="1" ht="12" hidden="1" customHeight="1">
      <c r="A8345" s="426"/>
    </row>
    <row r="8346" spans="1:1" s="427" customFormat="1" ht="12" hidden="1" customHeight="1">
      <c r="A8346" s="426"/>
    </row>
    <row r="8347" spans="1:1" s="427" customFormat="1" ht="12" hidden="1" customHeight="1">
      <c r="A8347" s="426"/>
    </row>
    <row r="8348" spans="1:1" s="427" customFormat="1" ht="12" hidden="1" customHeight="1">
      <c r="A8348" s="426"/>
    </row>
    <row r="8349" spans="1:1" s="427" customFormat="1" ht="12" hidden="1" customHeight="1">
      <c r="A8349" s="426"/>
    </row>
    <row r="8350" spans="1:1" s="427" customFormat="1" ht="12" hidden="1" customHeight="1">
      <c r="A8350" s="426"/>
    </row>
    <row r="8351" spans="1:1" s="427" customFormat="1" ht="12" hidden="1" customHeight="1">
      <c r="A8351" s="426"/>
    </row>
    <row r="8352" spans="1:1" s="427" customFormat="1" ht="12" hidden="1" customHeight="1">
      <c r="A8352" s="426"/>
    </row>
    <row r="8353" spans="1:1" s="427" customFormat="1" ht="12" hidden="1" customHeight="1">
      <c r="A8353" s="426"/>
    </row>
    <row r="8354" spans="1:1" s="427" customFormat="1" ht="12" hidden="1" customHeight="1">
      <c r="A8354" s="426"/>
    </row>
    <row r="8355" spans="1:1" s="427" customFormat="1" ht="12" hidden="1" customHeight="1">
      <c r="A8355" s="426"/>
    </row>
    <row r="8356" spans="1:1" s="427" customFormat="1" ht="12" hidden="1" customHeight="1">
      <c r="A8356" s="426"/>
    </row>
    <row r="8357" spans="1:1" s="427" customFormat="1" ht="12" hidden="1" customHeight="1">
      <c r="A8357" s="426"/>
    </row>
    <row r="8358" spans="1:1" s="427" customFormat="1" ht="12" hidden="1" customHeight="1">
      <c r="A8358" s="426"/>
    </row>
    <row r="8359" spans="1:1" s="427" customFormat="1" ht="12" hidden="1" customHeight="1">
      <c r="A8359" s="426"/>
    </row>
    <row r="8360" spans="1:1" s="427" customFormat="1" ht="12" hidden="1" customHeight="1">
      <c r="A8360" s="426"/>
    </row>
    <row r="8361" spans="1:1" s="427" customFormat="1" ht="12" hidden="1" customHeight="1">
      <c r="A8361" s="426"/>
    </row>
    <row r="8362" spans="1:1" s="427" customFormat="1" ht="12" hidden="1" customHeight="1">
      <c r="A8362" s="426"/>
    </row>
    <row r="8363" spans="1:1" s="427" customFormat="1" ht="12" hidden="1" customHeight="1">
      <c r="A8363" s="426"/>
    </row>
    <row r="8364" spans="1:1" s="427" customFormat="1" ht="12" hidden="1" customHeight="1">
      <c r="A8364" s="426"/>
    </row>
    <row r="8365" spans="1:1" s="427" customFormat="1" ht="12" hidden="1" customHeight="1">
      <c r="A8365" s="426"/>
    </row>
    <row r="8366" spans="1:1" s="427" customFormat="1" ht="12" hidden="1" customHeight="1">
      <c r="A8366" s="426"/>
    </row>
    <row r="8367" spans="1:1" s="427" customFormat="1" ht="12" hidden="1" customHeight="1">
      <c r="A8367" s="426"/>
    </row>
    <row r="8368" spans="1:1" s="427" customFormat="1" ht="12" hidden="1" customHeight="1">
      <c r="A8368" s="426"/>
    </row>
    <row r="8369" spans="1:1" s="427" customFormat="1" ht="12" hidden="1" customHeight="1">
      <c r="A8369" s="426"/>
    </row>
    <row r="8370" spans="1:1" s="427" customFormat="1" ht="12" hidden="1" customHeight="1">
      <c r="A8370" s="426"/>
    </row>
    <row r="8371" spans="1:1" s="427" customFormat="1" ht="12" hidden="1" customHeight="1">
      <c r="A8371" s="426"/>
    </row>
    <row r="8372" spans="1:1" s="427" customFormat="1" ht="12" hidden="1" customHeight="1">
      <c r="A8372" s="426"/>
    </row>
    <row r="8373" spans="1:1" s="427" customFormat="1" ht="12" hidden="1" customHeight="1">
      <c r="A8373" s="426"/>
    </row>
    <row r="8374" spans="1:1" s="427" customFormat="1" ht="12" hidden="1" customHeight="1">
      <c r="A8374" s="426"/>
    </row>
    <row r="8375" spans="1:1" s="427" customFormat="1" ht="12" hidden="1" customHeight="1">
      <c r="A8375" s="426"/>
    </row>
    <row r="8376" spans="1:1" s="427" customFormat="1" ht="12" hidden="1" customHeight="1">
      <c r="A8376" s="426"/>
    </row>
    <row r="8377" spans="1:1" s="427" customFormat="1" ht="12" hidden="1" customHeight="1">
      <c r="A8377" s="426"/>
    </row>
    <row r="8378" spans="1:1" s="427" customFormat="1" ht="12" hidden="1" customHeight="1">
      <c r="A8378" s="426"/>
    </row>
    <row r="8379" spans="1:1" s="427" customFormat="1" ht="12" hidden="1" customHeight="1">
      <c r="A8379" s="426"/>
    </row>
    <row r="8380" spans="1:1" s="427" customFormat="1" ht="12" hidden="1" customHeight="1">
      <c r="A8380" s="426"/>
    </row>
    <row r="8381" spans="1:1" s="427" customFormat="1" ht="12" hidden="1" customHeight="1">
      <c r="A8381" s="426"/>
    </row>
    <row r="8382" spans="1:1" s="427" customFormat="1" ht="12" hidden="1" customHeight="1">
      <c r="A8382" s="426"/>
    </row>
    <row r="8383" spans="1:1" s="427" customFormat="1" ht="12" hidden="1" customHeight="1">
      <c r="A8383" s="426"/>
    </row>
    <row r="8384" spans="1:1" s="427" customFormat="1" ht="12" hidden="1" customHeight="1">
      <c r="A8384" s="426"/>
    </row>
    <row r="8385" spans="1:1" s="427" customFormat="1" ht="12" hidden="1" customHeight="1">
      <c r="A8385" s="426"/>
    </row>
    <row r="8386" spans="1:1" s="427" customFormat="1" ht="12" hidden="1" customHeight="1">
      <c r="A8386" s="426"/>
    </row>
    <row r="8387" spans="1:1" s="427" customFormat="1" ht="12" hidden="1" customHeight="1">
      <c r="A8387" s="426"/>
    </row>
    <row r="8388" spans="1:1" s="427" customFormat="1" ht="12" hidden="1" customHeight="1">
      <c r="A8388" s="426"/>
    </row>
    <row r="8389" spans="1:1" s="427" customFormat="1" ht="12" hidden="1" customHeight="1">
      <c r="A8389" s="426"/>
    </row>
    <row r="8390" spans="1:1" s="427" customFormat="1" ht="12" hidden="1" customHeight="1">
      <c r="A8390" s="426"/>
    </row>
    <row r="8391" spans="1:1" s="427" customFormat="1" ht="12" hidden="1" customHeight="1">
      <c r="A8391" s="426"/>
    </row>
    <row r="8392" spans="1:1" s="427" customFormat="1" ht="12" hidden="1" customHeight="1">
      <c r="A8392" s="426"/>
    </row>
    <row r="8393" spans="1:1" s="427" customFormat="1" ht="12" hidden="1" customHeight="1">
      <c r="A8393" s="426"/>
    </row>
    <row r="8394" spans="1:1" s="427" customFormat="1" ht="12" hidden="1" customHeight="1">
      <c r="A8394" s="426"/>
    </row>
    <row r="8395" spans="1:1" s="427" customFormat="1" ht="12" hidden="1" customHeight="1">
      <c r="A8395" s="426"/>
    </row>
    <row r="8396" spans="1:1" s="427" customFormat="1" ht="12" hidden="1" customHeight="1">
      <c r="A8396" s="426"/>
    </row>
    <row r="8397" spans="1:1" s="427" customFormat="1" ht="12" hidden="1" customHeight="1">
      <c r="A8397" s="426"/>
    </row>
    <row r="8398" spans="1:1" s="427" customFormat="1" ht="12" hidden="1" customHeight="1">
      <c r="A8398" s="426"/>
    </row>
    <row r="8399" spans="1:1" s="427" customFormat="1" ht="12" hidden="1" customHeight="1">
      <c r="A8399" s="426"/>
    </row>
    <row r="8400" spans="1:1" s="427" customFormat="1" ht="12" hidden="1" customHeight="1">
      <c r="A8400" s="426"/>
    </row>
    <row r="8401" spans="1:1" s="427" customFormat="1" ht="12" hidden="1" customHeight="1">
      <c r="A8401" s="426"/>
    </row>
    <row r="8402" spans="1:1" s="427" customFormat="1" ht="12" hidden="1" customHeight="1">
      <c r="A8402" s="426"/>
    </row>
    <row r="8403" spans="1:1" s="427" customFormat="1" ht="12" hidden="1" customHeight="1">
      <c r="A8403" s="426"/>
    </row>
    <row r="8404" spans="1:1" s="427" customFormat="1" ht="12" hidden="1" customHeight="1">
      <c r="A8404" s="426"/>
    </row>
    <row r="8405" spans="1:1" s="427" customFormat="1" ht="12" hidden="1" customHeight="1">
      <c r="A8405" s="426"/>
    </row>
    <row r="8406" spans="1:1" s="427" customFormat="1" ht="12" hidden="1" customHeight="1">
      <c r="A8406" s="426"/>
    </row>
    <row r="8407" spans="1:1" s="427" customFormat="1" ht="12" hidden="1" customHeight="1">
      <c r="A8407" s="426"/>
    </row>
    <row r="8408" spans="1:1" s="427" customFormat="1" ht="12" hidden="1" customHeight="1">
      <c r="A8408" s="426"/>
    </row>
    <row r="8409" spans="1:1" s="427" customFormat="1" ht="12" hidden="1" customHeight="1">
      <c r="A8409" s="426"/>
    </row>
    <row r="8410" spans="1:1" s="427" customFormat="1" ht="12" hidden="1" customHeight="1">
      <c r="A8410" s="426"/>
    </row>
    <row r="8411" spans="1:1" s="427" customFormat="1" ht="12" hidden="1" customHeight="1">
      <c r="A8411" s="426"/>
    </row>
    <row r="8412" spans="1:1" s="427" customFormat="1" ht="12" hidden="1" customHeight="1">
      <c r="A8412" s="426"/>
    </row>
    <row r="8413" spans="1:1" s="427" customFormat="1" ht="12" hidden="1" customHeight="1">
      <c r="A8413" s="426"/>
    </row>
    <row r="8414" spans="1:1" s="427" customFormat="1" ht="12" hidden="1" customHeight="1">
      <c r="A8414" s="426"/>
    </row>
    <row r="8415" spans="1:1" s="427" customFormat="1" ht="12" hidden="1" customHeight="1">
      <c r="A8415" s="426"/>
    </row>
    <row r="8416" spans="1:1" s="427" customFormat="1" ht="12" hidden="1" customHeight="1">
      <c r="A8416" s="426"/>
    </row>
    <row r="8417" spans="1:1" s="427" customFormat="1" ht="12" hidden="1" customHeight="1">
      <c r="A8417" s="426"/>
    </row>
    <row r="8418" spans="1:1" s="427" customFormat="1" ht="12" hidden="1" customHeight="1">
      <c r="A8418" s="426"/>
    </row>
    <row r="8419" spans="1:1" s="427" customFormat="1" ht="12" hidden="1" customHeight="1">
      <c r="A8419" s="426"/>
    </row>
    <row r="8420" spans="1:1" s="427" customFormat="1" ht="12" hidden="1" customHeight="1">
      <c r="A8420" s="426"/>
    </row>
    <row r="8421" spans="1:1" s="427" customFormat="1" ht="12" hidden="1" customHeight="1">
      <c r="A8421" s="426"/>
    </row>
    <row r="8422" spans="1:1" s="427" customFormat="1" ht="12" hidden="1" customHeight="1">
      <c r="A8422" s="426"/>
    </row>
    <row r="8423" spans="1:1" s="427" customFormat="1" ht="12" hidden="1" customHeight="1">
      <c r="A8423" s="426"/>
    </row>
    <row r="8424" spans="1:1" s="427" customFormat="1" ht="12" hidden="1" customHeight="1">
      <c r="A8424" s="426"/>
    </row>
    <row r="8425" spans="1:1" s="427" customFormat="1" ht="12" hidden="1" customHeight="1">
      <c r="A8425" s="426"/>
    </row>
    <row r="8426" spans="1:1" s="427" customFormat="1" ht="12" hidden="1" customHeight="1">
      <c r="A8426" s="426"/>
    </row>
    <row r="8427" spans="1:1" s="427" customFormat="1" ht="12" hidden="1" customHeight="1">
      <c r="A8427" s="426"/>
    </row>
    <row r="8428" spans="1:1" s="427" customFormat="1" ht="12" hidden="1" customHeight="1">
      <c r="A8428" s="426"/>
    </row>
    <row r="8429" spans="1:1" s="427" customFormat="1" ht="12" hidden="1" customHeight="1">
      <c r="A8429" s="426"/>
    </row>
    <row r="8430" spans="1:1" s="427" customFormat="1" ht="12" hidden="1" customHeight="1">
      <c r="A8430" s="426"/>
    </row>
    <row r="8431" spans="1:1" s="427" customFormat="1" ht="12" hidden="1" customHeight="1">
      <c r="A8431" s="426"/>
    </row>
    <row r="8432" spans="1:1" s="427" customFormat="1" ht="12" hidden="1" customHeight="1">
      <c r="A8432" s="426"/>
    </row>
    <row r="8433" spans="1:1" s="427" customFormat="1" ht="12" hidden="1" customHeight="1">
      <c r="A8433" s="426"/>
    </row>
    <row r="8434" spans="1:1" s="427" customFormat="1" ht="12" hidden="1" customHeight="1">
      <c r="A8434" s="426"/>
    </row>
    <row r="8435" spans="1:1" s="427" customFormat="1" ht="12" hidden="1" customHeight="1">
      <c r="A8435" s="426"/>
    </row>
    <row r="8436" spans="1:1" s="427" customFormat="1" ht="12" hidden="1" customHeight="1">
      <c r="A8436" s="426"/>
    </row>
    <row r="8437" spans="1:1" s="427" customFormat="1" ht="12" hidden="1" customHeight="1">
      <c r="A8437" s="426"/>
    </row>
    <row r="8438" spans="1:1" s="427" customFormat="1" ht="12" hidden="1" customHeight="1">
      <c r="A8438" s="426"/>
    </row>
    <row r="8439" spans="1:1" s="427" customFormat="1" ht="12" hidden="1" customHeight="1">
      <c r="A8439" s="426"/>
    </row>
    <row r="8440" spans="1:1" s="427" customFormat="1" ht="12" hidden="1" customHeight="1">
      <c r="A8440" s="426"/>
    </row>
    <row r="8441" spans="1:1" s="427" customFormat="1" ht="12" hidden="1" customHeight="1">
      <c r="A8441" s="426"/>
    </row>
    <row r="8442" spans="1:1" s="427" customFormat="1" ht="12" hidden="1" customHeight="1">
      <c r="A8442" s="426"/>
    </row>
    <row r="8443" spans="1:1" s="427" customFormat="1" ht="12" hidden="1" customHeight="1">
      <c r="A8443" s="426"/>
    </row>
    <row r="8444" spans="1:1" s="427" customFormat="1" ht="12" hidden="1" customHeight="1">
      <c r="A8444" s="426"/>
    </row>
    <row r="8445" spans="1:1" s="427" customFormat="1" ht="12" hidden="1" customHeight="1">
      <c r="A8445" s="426"/>
    </row>
    <row r="8446" spans="1:1" s="427" customFormat="1" ht="12" hidden="1" customHeight="1">
      <c r="A8446" s="426"/>
    </row>
    <row r="8447" spans="1:1" s="427" customFormat="1" ht="12" hidden="1" customHeight="1">
      <c r="A8447" s="426"/>
    </row>
    <row r="8448" spans="1:1" s="427" customFormat="1" ht="12" hidden="1" customHeight="1">
      <c r="A8448" s="426"/>
    </row>
    <row r="8449" spans="1:1" s="427" customFormat="1" ht="12" hidden="1" customHeight="1">
      <c r="A8449" s="426"/>
    </row>
    <row r="8450" spans="1:1" s="427" customFormat="1" ht="12" hidden="1" customHeight="1">
      <c r="A8450" s="426"/>
    </row>
    <row r="8451" spans="1:1" s="427" customFormat="1" ht="12" hidden="1" customHeight="1">
      <c r="A8451" s="426"/>
    </row>
    <row r="8452" spans="1:1" s="427" customFormat="1" ht="12" hidden="1" customHeight="1">
      <c r="A8452" s="426"/>
    </row>
    <row r="8453" spans="1:1" s="427" customFormat="1" ht="12" hidden="1" customHeight="1">
      <c r="A8453" s="426"/>
    </row>
    <row r="8454" spans="1:1" s="427" customFormat="1" ht="12" hidden="1" customHeight="1">
      <c r="A8454" s="426"/>
    </row>
    <row r="8455" spans="1:1" s="427" customFormat="1" ht="12" hidden="1" customHeight="1">
      <c r="A8455" s="426"/>
    </row>
    <row r="8456" spans="1:1" s="427" customFormat="1" ht="12" hidden="1" customHeight="1">
      <c r="A8456" s="426"/>
    </row>
    <row r="8457" spans="1:1" s="427" customFormat="1" ht="12" hidden="1" customHeight="1">
      <c r="A8457" s="426"/>
    </row>
    <row r="8458" spans="1:1" s="427" customFormat="1" ht="12" hidden="1" customHeight="1">
      <c r="A8458" s="426"/>
    </row>
    <row r="8459" spans="1:1" s="427" customFormat="1" ht="12" hidden="1" customHeight="1">
      <c r="A8459" s="426"/>
    </row>
    <row r="8460" spans="1:1" s="427" customFormat="1" ht="12" hidden="1" customHeight="1">
      <c r="A8460" s="426"/>
    </row>
    <row r="8461" spans="1:1" s="427" customFormat="1" ht="12" hidden="1" customHeight="1">
      <c r="A8461" s="426"/>
    </row>
    <row r="8462" spans="1:1" s="427" customFormat="1" ht="12" hidden="1" customHeight="1">
      <c r="A8462" s="426"/>
    </row>
    <row r="8463" spans="1:1" s="427" customFormat="1" ht="12" hidden="1" customHeight="1">
      <c r="A8463" s="426"/>
    </row>
    <row r="8464" spans="1:1" s="427" customFormat="1" ht="12" hidden="1" customHeight="1">
      <c r="A8464" s="426"/>
    </row>
    <row r="8465" spans="1:1" s="427" customFormat="1" ht="12" hidden="1" customHeight="1">
      <c r="A8465" s="426"/>
    </row>
    <row r="8466" spans="1:1" s="427" customFormat="1" ht="12" hidden="1" customHeight="1">
      <c r="A8466" s="426"/>
    </row>
    <row r="8467" spans="1:1" s="427" customFormat="1" ht="12" hidden="1" customHeight="1">
      <c r="A8467" s="426"/>
    </row>
    <row r="8468" spans="1:1" s="427" customFormat="1" ht="12" hidden="1" customHeight="1">
      <c r="A8468" s="426"/>
    </row>
    <row r="8469" spans="1:1" s="427" customFormat="1" ht="12" hidden="1" customHeight="1">
      <c r="A8469" s="426"/>
    </row>
    <row r="8470" spans="1:1" s="427" customFormat="1" ht="12" hidden="1" customHeight="1">
      <c r="A8470" s="426"/>
    </row>
    <row r="8471" spans="1:1" s="427" customFormat="1" ht="12" hidden="1" customHeight="1">
      <c r="A8471" s="426"/>
    </row>
    <row r="8472" spans="1:1" s="427" customFormat="1" ht="12" hidden="1" customHeight="1">
      <c r="A8472" s="426"/>
    </row>
    <row r="8473" spans="1:1" s="427" customFormat="1" ht="12" hidden="1" customHeight="1">
      <c r="A8473" s="426"/>
    </row>
    <row r="8474" spans="1:1" s="427" customFormat="1" ht="12" hidden="1" customHeight="1">
      <c r="A8474" s="426"/>
    </row>
    <row r="8475" spans="1:1" s="427" customFormat="1" ht="12" hidden="1" customHeight="1">
      <c r="A8475" s="426"/>
    </row>
    <row r="8476" spans="1:1" s="427" customFormat="1" ht="12" hidden="1" customHeight="1">
      <c r="A8476" s="426"/>
    </row>
    <row r="8477" spans="1:1" s="427" customFormat="1" ht="12" hidden="1" customHeight="1">
      <c r="A8477" s="426"/>
    </row>
    <row r="8478" spans="1:1" s="427" customFormat="1" ht="12" hidden="1" customHeight="1">
      <c r="A8478" s="426"/>
    </row>
    <row r="8479" spans="1:1" s="427" customFormat="1" ht="12" hidden="1" customHeight="1">
      <c r="A8479" s="426"/>
    </row>
    <row r="8480" spans="1:1" s="427" customFormat="1" ht="12" hidden="1" customHeight="1">
      <c r="A8480" s="426"/>
    </row>
    <row r="8481" spans="1:1" s="427" customFormat="1" ht="12" hidden="1" customHeight="1">
      <c r="A8481" s="426"/>
    </row>
    <row r="8482" spans="1:1" s="427" customFormat="1" ht="12" hidden="1" customHeight="1">
      <c r="A8482" s="426"/>
    </row>
    <row r="8483" spans="1:1" s="427" customFormat="1" ht="12" hidden="1" customHeight="1">
      <c r="A8483" s="426"/>
    </row>
    <row r="8484" spans="1:1" s="427" customFormat="1" ht="12" hidden="1" customHeight="1">
      <c r="A8484" s="426"/>
    </row>
    <row r="8485" spans="1:1" s="427" customFormat="1" ht="12" hidden="1" customHeight="1">
      <c r="A8485" s="426"/>
    </row>
    <row r="8486" spans="1:1" s="427" customFormat="1" ht="12" hidden="1" customHeight="1">
      <c r="A8486" s="426"/>
    </row>
    <row r="8487" spans="1:1" s="427" customFormat="1" ht="12" hidden="1" customHeight="1">
      <c r="A8487" s="426"/>
    </row>
    <row r="8488" spans="1:1" s="427" customFormat="1" ht="12" hidden="1" customHeight="1">
      <c r="A8488" s="426"/>
    </row>
    <row r="8489" spans="1:1" s="427" customFormat="1" ht="12" hidden="1" customHeight="1">
      <c r="A8489" s="426"/>
    </row>
    <row r="8490" spans="1:1" s="427" customFormat="1" ht="12" hidden="1" customHeight="1">
      <c r="A8490" s="426"/>
    </row>
    <row r="8491" spans="1:1" s="427" customFormat="1" ht="12" hidden="1" customHeight="1">
      <c r="A8491" s="426"/>
    </row>
    <row r="8492" spans="1:1" s="427" customFormat="1" ht="12" hidden="1" customHeight="1">
      <c r="A8492" s="426"/>
    </row>
    <row r="8493" spans="1:1" s="427" customFormat="1" ht="12" hidden="1" customHeight="1">
      <c r="A8493" s="426"/>
    </row>
    <row r="8494" spans="1:1" s="427" customFormat="1" ht="12" hidden="1" customHeight="1">
      <c r="A8494" s="426"/>
    </row>
    <row r="8495" spans="1:1" s="427" customFormat="1" ht="12" hidden="1" customHeight="1">
      <c r="A8495" s="426"/>
    </row>
    <row r="8496" spans="1:1" s="427" customFormat="1" ht="12" hidden="1" customHeight="1">
      <c r="A8496" s="426"/>
    </row>
    <row r="8497" spans="1:1" s="427" customFormat="1" ht="12" hidden="1" customHeight="1">
      <c r="A8497" s="426"/>
    </row>
    <row r="8498" spans="1:1" s="427" customFormat="1" ht="12" hidden="1" customHeight="1">
      <c r="A8498" s="426"/>
    </row>
    <row r="8499" spans="1:1" s="427" customFormat="1" ht="12" hidden="1" customHeight="1">
      <c r="A8499" s="426"/>
    </row>
    <row r="8500" spans="1:1" s="427" customFormat="1" ht="12" hidden="1" customHeight="1">
      <c r="A8500" s="426"/>
    </row>
    <row r="8501" spans="1:1" s="427" customFormat="1" ht="12" hidden="1" customHeight="1">
      <c r="A8501" s="426"/>
    </row>
    <row r="8502" spans="1:1" s="427" customFormat="1" ht="12" hidden="1" customHeight="1">
      <c r="A8502" s="426"/>
    </row>
    <row r="8503" spans="1:1" s="427" customFormat="1" ht="12" hidden="1" customHeight="1">
      <c r="A8503" s="426"/>
    </row>
    <row r="8504" spans="1:1" s="427" customFormat="1" ht="12" hidden="1" customHeight="1">
      <c r="A8504" s="426"/>
    </row>
    <row r="8505" spans="1:1" s="427" customFormat="1" ht="12" hidden="1" customHeight="1">
      <c r="A8505" s="426"/>
    </row>
    <row r="8506" spans="1:1" s="427" customFormat="1" ht="12" hidden="1" customHeight="1">
      <c r="A8506" s="426"/>
    </row>
    <row r="8507" spans="1:1" s="427" customFormat="1" ht="12" hidden="1" customHeight="1">
      <c r="A8507" s="426"/>
    </row>
    <row r="8508" spans="1:1" s="427" customFormat="1" ht="12" hidden="1" customHeight="1">
      <c r="A8508" s="426"/>
    </row>
    <row r="8509" spans="1:1" s="427" customFormat="1" ht="12" hidden="1" customHeight="1">
      <c r="A8509" s="426"/>
    </row>
    <row r="8510" spans="1:1" s="427" customFormat="1" ht="12" hidden="1" customHeight="1">
      <c r="A8510" s="426"/>
    </row>
    <row r="8511" spans="1:1" s="427" customFormat="1" ht="12" hidden="1" customHeight="1">
      <c r="A8511" s="426"/>
    </row>
    <row r="8512" spans="1:1" s="427" customFormat="1" ht="12" hidden="1" customHeight="1">
      <c r="A8512" s="426"/>
    </row>
    <row r="8513" spans="1:1" s="427" customFormat="1" ht="12" hidden="1" customHeight="1">
      <c r="A8513" s="426"/>
    </row>
    <row r="8514" spans="1:1" s="427" customFormat="1" ht="12" hidden="1" customHeight="1">
      <c r="A8514" s="426"/>
    </row>
    <row r="8515" spans="1:1" s="427" customFormat="1" ht="12" hidden="1" customHeight="1">
      <c r="A8515" s="426"/>
    </row>
    <row r="8516" spans="1:1" s="427" customFormat="1" ht="12" hidden="1" customHeight="1">
      <c r="A8516" s="426"/>
    </row>
    <row r="8517" spans="1:1" s="427" customFormat="1" ht="12" hidden="1" customHeight="1">
      <c r="A8517" s="426"/>
    </row>
    <row r="8518" spans="1:1" s="427" customFormat="1" ht="12" hidden="1" customHeight="1">
      <c r="A8518" s="426"/>
    </row>
    <row r="8519" spans="1:1" s="427" customFormat="1" ht="12" hidden="1" customHeight="1">
      <c r="A8519" s="426"/>
    </row>
    <row r="8520" spans="1:1" s="427" customFormat="1" ht="12" hidden="1" customHeight="1">
      <c r="A8520" s="426"/>
    </row>
    <row r="8521" spans="1:1" s="427" customFormat="1" ht="12" hidden="1" customHeight="1">
      <c r="A8521" s="426"/>
    </row>
    <row r="8522" spans="1:1" s="427" customFormat="1" ht="12" hidden="1" customHeight="1">
      <c r="A8522" s="426"/>
    </row>
    <row r="8523" spans="1:1" s="427" customFormat="1" ht="12" hidden="1" customHeight="1">
      <c r="A8523" s="426"/>
    </row>
    <row r="8524" spans="1:1" s="427" customFormat="1" ht="12" hidden="1" customHeight="1">
      <c r="A8524" s="426"/>
    </row>
    <row r="8525" spans="1:1" s="427" customFormat="1" ht="12" hidden="1" customHeight="1">
      <c r="A8525" s="426"/>
    </row>
    <row r="8526" spans="1:1" s="427" customFormat="1" ht="12" hidden="1" customHeight="1">
      <c r="A8526" s="426"/>
    </row>
    <row r="8527" spans="1:1" s="427" customFormat="1" ht="12" hidden="1" customHeight="1">
      <c r="A8527" s="426"/>
    </row>
    <row r="8528" spans="1:1" s="427" customFormat="1" ht="12" hidden="1" customHeight="1">
      <c r="A8528" s="426"/>
    </row>
    <row r="8529" spans="1:1" s="427" customFormat="1" ht="12" hidden="1" customHeight="1">
      <c r="A8529" s="426"/>
    </row>
    <row r="8530" spans="1:1" s="427" customFormat="1" ht="12" hidden="1" customHeight="1">
      <c r="A8530" s="426"/>
    </row>
    <row r="8531" spans="1:1" s="427" customFormat="1" ht="12" hidden="1" customHeight="1">
      <c r="A8531" s="426"/>
    </row>
    <row r="8532" spans="1:1" s="427" customFormat="1" ht="12" hidden="1" customHeight="1">
      <c r="A8532" s="426"/>
    </row>
    <row r="8533" spans="1:1" s="427" customFormat="1" ht="12" hidden="1" customHeight="1">
      <c r="A8533" s="426"/>
    </row>
    <row r="8534" spans="1:1" s="427" customFormat="1" ht="12" hidden="1" customHeight="1">
      <c r="A8534" s="426"/>
    </row>
    <row r="8535" spans="1:1" s="427" customFormat="1" ht="12" hidden="1" customHeight="1">
      <c r="A8535" s="426"/>
    </row>
    <row r="8536" spans="1:1" s="427" customFormat="1" ht="12" hidden="1" customHeight="1">
      <c r="A8536" s="426"/>
    </row>
    <row r="8537" spans="1:1" s="427" customFormat="1" ht="12" hidden="1" customHeight="1">
      <c r="A8537" s="426"/>
    </row>
    <row r="8538" spans="1:1" s="427" customFormat="1" ht="12" hidden="1" customHeight="1">
      <c r="A8538" s="426"/>
    </row>
    <row r="8539" spans="1:1" s="427" customFormat="1" ht="12" hidden="1" customHeight="1">
      <c r="A8539" s="426"/>
    </row>
    <row r="8540" spans="1:1" s="427" customFormat="1" ht="12" hidden="1" customHeight="1">
      <c r="A8540" s="426"/>
    </row>
    <row r="8541" spans="1:1" s="427" customFormat="1" ht="12" hidden="1" customHeight="1">
      <c r="A8541" s="426"/>
    </row>
    <row r="8542" spans="1:1" s="427" customFormat="1" ht="12" hidden="1" customHeight="1">
      <c r="A8542" s="426"/>
    </row>
    <row r="8543" spans="1:1" s="427" customFormat="1" ht="12" hidden="1" customHeight="1">
      <c r="A8543" s="426"/>
    </row>
    <row r="8544" spans="1:1" s="427" customFormat="1" ht="12" hidden="1" customHeight="1">
      <c r="A8544" s="426"/>
    </row>
    <row r="8545" spans="1:1" s="427" customFormat="1" ht="12" hidden="1" customHeight="1">
      <c r="A8545" s="426"/>
    </row>
    <row r="8546" spans="1:1" s="427" customFormat="1" ht="12" hidden="1" customHeight="1">
      <c r="A8546" s="426"/>
    </row>
    <row r="8547" spans="1:1" s="427" customFormat="1" ht="12" hidden="1" customHeight="1">
      <c r="A8547" s="426"/>
    </row>
    <row r="8548" spans="1:1" s="427" customFormat="1" ht="12" hidden="1" customHeight="1">
      <c r="A8548" s="426"/>
    </row>
    <row r="8549" spans="1:1" s="427" customFormat="1" ht="12" hidden="1" customHeight="1">
      <c r="A8549" s="426"/>
    </row>
    <row r="8550" spans="1:1" s="427" customFormat="1" ht="12" hidden="1" customHeight="1">
      <c r="A8550" s="426"/>
    </row>
    <row r="8551" spans="1:1" s="427" customFormat="1" ht="12" hidden="1" customHeight="1">
      <c r="A8551" s="426"/>
    </row>
    <row r="8552" spans="1:1" s="427" customFormat="1" ht="12" hidden="1" customHeight="1">
      <c r="A8552" s="426"/>
    </row>
    <row r="8553" spans="1:1" s="427" customFormat="1" ht="12" hidden="1" customHeight="1">
      <c r="A8553" s="426"/>
    </row>
    <row r="8554" spans="1:1" s="427" customFormat="1" ht="12" hidden="1" customHeight="1">
      <c r="A8554" s="426"/>
    </row>
    <row r="8555" spans="1:1" s="427" customFormat="1" ht="12" hidden="1" customHeight="1">
      <c r="A8555" s="426"/>
    </row>
    <row r="8556" spans="1:1" s="427" customFormat="1" ht="12" hidden="1" customHeight="1">
      <c r="A8556" s="426"/>
    </row>
    <row r="8557" spans="1:1" s="427" customFormat="1" ht="12" hidden="1" customHeight="1">
      <c r="A8557" s="426"/>
    </row>
    <row r="8558" spans="1:1" s="427" customFormat="1" ht="12" hidden="1" customHeight="1">
      <c r="A8558" s="426"/>
    </row>
    <row r="8559" spans="1:1" s="427" customFormat="1" ht="12" hidden="1" customHeight="1">
      <c r="A8559" s="426"/>
    </row>
    <row r="8560" spans="1:1" s="427" customFormat="1" ht="12" hidden="1" customHeight="1">
      <c r="A8560" s="426"/>
    </row>
    <row r="8561" spans="1:1" s="427" customFormat="1" ht="12" hidden="1" customHeight="1">
      <c r="A8561" s="426"/>
    </row>
    <row r="8562" spans="1:1" s="427" customFormat="1" ht="12" hidden="1" customHeight="1">
      <c r="A8562" s="426"/>
    </row>
    <row r="8563" spans="1:1" s="427" customFormat="1" ht="12" hidden="1" customHeight="1">
      <c r="A8563" s="426"/>
    </row>
    <row r="8564" spans="1:1" s="427" customFormat="1" ht="12" hidden="1" customHeight="1">
      <c r="A8564" s="426"/>
    </row>
    <row r="8565" spans="1:1" s="427" customFormat="1" ht="12" hidden="1" customHeight="1">
      <c r="A8565" s="426"/>
    </row>
    <row r="8566" spans="1:1" s="427" customFormat="1" ht="12" hidden="1" customHeight="1">
      <c r="A8566" s="426"/>
    </row>
    <row r="8567" spans="1:1" s="427" customFormat="1" ht="12" hidden="1" customHeight="1">
      <c r="A8567" s="426"/>
    </row>
    <row r="8568" spans="1:1" s="427" customFormat="1" ht="12" hidden="1" customHeight="1">
      <c r="A8568" s="426"/>
    </row>
    <row r="8569" spans="1:1" s="427" customFormat="1" ht="12" hidden="1" customHeight="1">
      <c r="A8569" s="426"/>
    </row>
    <row r="8570" spans="1:1" s="427" customFormat="1" ht="12" hidden="1" customHeight="1">
      <c r="A8570" s="426"/>
    </row>
    <row r="8571" spans="1:1" s="427" customFormat="1" ht="12" hidden="1" customHeight="1">
      <c r="A8571" s="426"/>
    </row>
    <row r="8572" spans="1:1" s="427" customFormat="1" ht="12" hidden="1" customHeight="1">
      <c r="A8572" s="426"/>
    </row>
    <row r="8573" spans="1:1" s="427" customFormat="1" ht="12" hidden="1" customHeight="1">
      <c r="A8573" s="426"/>
    </row>
    <row r="8574" spans="1:1" s="427" customFormat="1" ht="12" hidden="1" customHeight="1">
      <c r="A8574" s="426"/>
    </row>
    <row r="8575" spans="1:1" s="427" customFormat="1" ht="12" hidden="1" customHeight="1">
      <c r="A8575" s="426"/>
    </row>
    <row r="8576" spans="1:1" s="427" customFormat="1" ht="12" hidden="1" customHeight="1">
      <c r="A8576" s="426"/>
    </row>
    <row r="8577" spans="1:1" s="427" customFormat="1" ht="12" hidden="1" customHeight="1">
      <c r="A8577" s="426"/>
    </row>
    <row r="8578" spans="1:1" s="427" customFormat="1" ht="12" hidden="1" customHeight="1">
      <c r="A8578" s="426"/>
    </row>
    <row r="8579" spans="1:1" s="427" customFormat="1" ht="12" hidden="1" customHeight="1">
      <c r="A8579" s="426"/>
    </row>
    <row r="8580" spans="1:1" s="427" customFormat="1" ht="12" hidden="1" customHeight="1">
      <c r="A8580" s="426"/>
    </row>
    <row r="8581" spans="1:1" s="427" customFormat="1" ht="12" hidden="1" customHeight="1">
      <c r="A8581" s="426"/>
    </row>
    <row r="8582" spans="1:1" s="427" customFormat="1" ht="12" hidden="1" customHeight="1">
      <c r="A8582" s="426"/>
    </row>
    <row r="8583" spans="1:1" s="427" customFormat="1" ht="12" hidden="1" customHeight="1">
      <c r="A8583" s="426"/>
    </row>
    <row r="8584" spans="1:1" s="427" customFormat="1" ht="12" hidden="1" customHeight="1">
      <c r="A8584" s="426"/>
    </row>
    <row r="8585" spans="1:1" s="427" customFormat="1" ht="12" hidden="1" customHeight="1">
      <c r="A8585" s="426"/>
    </row>
    <row r="8586" spans="1:1" s="427" customFormat="1" ht="12" hidden="1" customHeight="1">
      <c r="A8586" s="426"/>
    </row>
    <row r="8587" spans="1:1" s="427" customFormat="1" ht="12" hidden="1" customHeight="1">
      <c r="A8587" s="426"/>
    </row>
    <row r="8588" spans="1:1" s="427" customFormat="1" ht="12" hidden="1" customHeight="1">
      <c r="A8588" s="426"/>
    </row>
    <row r="8589" spans="1:1" s="427" customFormat="1" ht="12" hidden="1" customHeight="1">
      <c r="A8589" s="426"/>
    </row>
    <row r="8590" spans="1:1" s="427" customFormat="1" ht="12" hidden="1" customHeight="1">
      <c r="A8590" s="426"/>
    </row>
    <row r="8591" spans="1:1" s="427" customFormat="1" ht="12" hidden="1" customHeight="1">
      <c r="A8591" s="426"/>
    </row>
    <row r="8592" spans="1:1" s="427" customFormat="1" ht="12" hidden="1" customHeight="1">
      <c r="A8592" s="426"/>
    </row>
    <row r="8593" spans="1:1" s="427" customFormat="1" ht="12" hidden="1" customHeight="1">
      <c r="A8593" s="426"/>
    </row>
    <row r="8594" spans="1:1" s="427" customFormat="1" ht="12" hidden="1" customHeight="1">
      <c r="A8594" s="426"/>
    </row>
    <row r="8595" spans="1:1" s="427" customFormat="1" ht="12" hidden="1" customHeight="1">
      <c r="A8595" s="426"/>
    </row>
    <row r="8596" spans="1:1" s="427" customFormat="1" ht="12" hidden="1" customHeight="1">
      <c r="A8596" s="426"/>
    </row>
    <row r="8597" spans="1:1" s="427" customFormat="1" ht="12" hidden="1" customHeight="1">
      <c r="A8597" s="426"/>
    </row>
    <row r="8598" spans="1:1" s="427" customFormat="1" ht="12" hidden="1" customHeight="1">
      <c r="A8598" s="426"/>
    </row>
    <row r="8599" spans="1:1" s="427" customFormat="1" ht="12" hidden="1" customHeight="1">
      <c r="A8599" s="426"/>
    </row>
    <row r="8600" spans="1:1" s="427" customFormat="1" ht="12" hidden="1" customHeight="1">
      <c r="A8600" s="426"/>
    </row>
    <row r="8601" spans="1:1" s="427" customFormat="1" ht="12" hidden="1" customHeight="1">
      <c r="A8601" s="426"/>
    </row>
    <row r="8602" spans="1:1" s="427" customFormat="1" ht="12" hidden="1" customHeight="1">
      <c r="A8602" s="426"/>
    </row>
    <row r="8603" spans="1:1" s="427" customFormat="1" ht="12" hidden="1" customHeight="1">
      <c r="A8603" s="426"/>
    </row>
    <row r="8604" spans="1:1" s="427" customFormat="1" ht="12" hidden="1" customHeight="1">
      <c r="A8604" s="426"/>
    </row>
    <row r="8605" spans="1:1" s="427" customFormat="1" ht="12" hidden="1" customHeight="1">
      <c r="A8605" s="426"/>
    </row>
    <row r="8606" spans="1:1" s="427" customFormat="1" ht="12" hidden="1" customHeight="1">
      <c r="A8606" s="426"/>
    </row>
    <row r="8607" spans="1:1" s="427" customFormat="1" ht="12" hidden="1" customHeight="1">
      <c r="A8607" s="426"/>
    </row>
    <row r="8608" spans="1:1" s="427" customFormat="1" ht="12" hidden="1" customHeight="1">
      <c r="A8608" s="426"/>
    </row>
    <row r="8609" spans="1:1" s="427" customFormat="1" ht="12" hidden="1" customHeight="1">
      <c r="A8609" s="426"/>
    </row>
    <row r="8610" spans="1:1" s="427" customFormat="1" ht="12" hidden="1" customHeight="1">
      <c r="A8610" s="426"/>
    </row>
    <row r="8611" spans="1:1" s="427" customFormat="1" ht="12" hidden="1" customHeight="1">
      <c r="A8611" s="426"/>
    </row>
    <row r="8612" spans="1:1" s="427" customFormat="1" ht="12" hidden="1" customHeight="1">
      <c r="A8612" s="426"/>
    </row>
    <row r="8613" spans="1:1" s="427" customFormat="1" ht="12" hidden="1" customHeight="1">
      <c r="A8613" s="426"/>
    </row>
    <row r="8614" spans="1:1" s="427" customFormat="1" ht="12" hidden="1" customHeight="1">
      <c r="A8614" s="426"/>
    </row>
    <row r="8615" spans="1:1" s="427" customFormat="1" ht="12" hidden="1" customHeight="1">
      <c r="A8615" s="426"/>
    </row>
    <row r="8616" spans="1:1" s="427" customFormat="1" ht="12" hidden="1" customHeight="1">
      <c r="A8616" s="426"/>
    </row>
    <row r="8617" spans="1:1" s="427" customFormat="1" ht="12" hidden="1" customHeight="1">
      <c r="A8617" s="426"/>
    </row>
    <row r="8618" spans="1:1" s="427" customFormat="1" ht="12" hidden="1" customHeight="1">
      <c r="A8618" s="426"/>
    </row>
    <row r="8619" spans="1:1" s="427" customFormat="1" ht="12" hidden="1" customHeight="1">
      <c r="A8619" s="426"/>
    </row>
    <row r="8620" spans="1:1" s="427" customFormat="1" ht="12" hidden="1" customHeight="1">
      <c r="A8620" s="426"/>
    </row>
    <row r="8621" spans="1:1" s="427" customFormat="1" ht="12" hidden="1" customHeight="1">
      <c r="A8621" s="426"/>
    </row>
    <row r="8622" spans="1:1" s="427" customFormat="1" ht="12" hidden="1" customHeight="1">
      <c r="A8622" s="426"/>
    </row>
    <row r="8623" spans="1:1" s="427" customFormat="1" ht="12" hidden="1" customHeight="1">
      <c r="A8623" s="426"/>
    </row>
    <row r="8624" spans="1:1" s="427" customFormat="1" ht="12" hidden="1" customHeight="1">
      <c r="A8624" s="426"/>
    </row>
    <row r="8625" spans="1:1" s="427" customFormat="1" ht="12" hidden="1" customHeight="1">
      <c r="A8625" s="426"/>
    </row>
    <row r="8626" spans="1:1" s="427" customFormat="1" ht="12" hidden="1" customHeight="1">
      <c r="A8626" s="426"/>
    </row>
    <row r="8627" spans="1:1" s="427" customFormat="1" ht="12" hidden="1" customHeight="1">
      <c r="A8627" s="426"/>
    </row>
    <row r="8628" spans="1:1" s="427" customFormat="1" ht="12" hidden="1" customHeight="1">
      <c r="A8628" s="426"/>
    </row>
    <row r="8629" spans="1:1" s="427" customFormat="1" ht="12" hidden="1" customHeight="1">
      <c r="A8629" s="426"/>
    </row>
    <row r="8630" spans="1:1" s="427" customFormat="1" ht="12" hidden="1" customHeight="1">
      <c r="A8630" s="426"/>
    </row>
    <row r="8631" spans="1:1" s="427" customFormat="1" ht="12" hidden="1" customHeight="1">
      <c r="A8631" s="426"/>
    </row>
    <row r="8632" spans="1:1" s="427" customFormat="1" ht="12" hidden="1" customHeight="1">
      <c r="A8632" s="426"/>
    </row>
    <row r="8633" spans="1:1" s="427" customFormat="1" ht="12" hidden="1" customHeight="1">
      <c r="A8633" s="426"/>
    </row>
    <row r="8634" spans="1:1" s="427" customFormat="1" ht="12" hidden="1" customHeight="1">
      <c r="A8634" s="426"/>
    </row>
    <row r="8635" spans="1:1" s="427" customFormat="1" ht="12" hidden="1" customHeight="1">
      <c r="A8635" s="426"/>
    </row>
    <row r="8636" spans="1:1" s="427" customFormat="1" ht="12" hidden="1" customHeight="1">
      <c r="A8636" s="426"/>
    </row>
    <row r="8637" spans="1:1" s="427" customFormat="1" ht="12" hidden="1" customHeight="1">
      <c r="A8637" s="426"/>
    </row>
    <row r="8638" spans="1:1" s="427" customFormat="1" ht="12" hidden="1" customHeight="1">
      <c r="A8638" s="426"/>
    </row>
    <row r="8639" spans="1:1" s="427" customFormat="1" ht="12" hidden="1" customHeight="1">
      <c r="A8639" s="426"/>
    </row>
    <row r="8640" spans="1:1" s="427" customFormat="1" ht="12" hidden="1" customHeight="1">
      <c r="A8640" s="426"/>
    </row>
    <row r="8641" spans="1:1" s="427" customFormat="1" ht="12" hidden="1" customHeight="1">
      <c r="A8641" s="426"/>
    </row>
    <row r="8642" spans="1:1" s="427" customFormat="1" ht="12" hidden="1" customHeight="1">
      <c r="A8642" s="426"/>
    </row>
    <row r="8643" spans="1:1" s="427" customFormat="1" ht="12" hidden="1" customHeight="1">
      <c r="A8643" s="426"/>
    </row>
    <row r="8644" spans="1:1" s="427" customFormat="1" ht="12" hidden="1" customHeight="1">
      <c r="A8644" s="426"/>
    </row>
    <row r="8645" spans="1:1" s="427" customFormat="1" ht="12" hidden="1" customHeight="1">
      <c r="A8645" s="426"/>
    </row>
    <row r="8646" spans="1:1" s="427" customFormat="1" ht="12" hidden="1" customHeight="1">
      <c r="A8646" s="426"/>
    </row>
    <row r="8647" spans="1:1" s="427" customFormat="1" ht="12" hidden="1" customHeight="1">
      <c r="A8647" s="426"/>
    </row>
    <row r="8648" spans="1:1" s="427" customFormat="1" ht="12" hidden="1" customHeight="1">
      <c r="A8648" s="426"/>
    </row>
    <row r="8649" spans="1:1" s="427" customFormat="1" ht="12" hidden="1" customHeight="1">
      <c r="A8649" s="426"/>
    </row>
    <row r="8650" spans="1:1" s="427" customFormat="1" ht="12" hidden="1" customHeight="1">
      <c r="A8650" s="426"/>
    </row>
    <row r="8651" spans="1:1" s="427" customFormat="1" ht="12" hidden="1" customHeight="1">
      <c r="A8651" s="426"/>
    </row>
    <row r="8652" spans="1:1" s="427" customFormat="1" ht="12" hidden="1" customHeight="1">
      <c r="A8652" s="426"/>
    </row>
    <row r="8653" spans="1:1" s="427" customFormat="1" ht="12" hidden="1" customHeight="1">
      <c r="A8653" s="426"/>
    </row>
    <row r="8654" spans="1:1" s="427" customFormat="1" ht="12" hidden="1" customHeight="1">
      <c r="A8654" s="426"/>
    </row>
    <row r="8655" spans="1:1" s="427" customFormat="1" ht="12" hidden="1" customHeight="1">
      <c r="A8655" s="426"/>
    </row>
    <row r="8656" spans="1:1" s="427" customFormat="1" ht="12" hidden="1" customHeight="1">
      <c r="A8656" s="426"/>
    </row>
    <row r="8657" spans="1:1" s="427" customFormat="1" ht="12" hidden="1" customHeight="1">
      <c r="A8657" s="426"/>
    </row>
    <row r="8658" spans="1:1" s="427" customFormat="1" ht="12" hidden="1" customHeight="1">
      <c r="A8658" s="426"/>
    </row>
    <row r="8659" spans="1:1" s="427" customFormat="1" ht="12" hidden="1" customHeight="1">
      <c r="A8659" s="426"/>
    </row>
    <row r="8660" spans="1:1" s="427" customFormat="1" ht="12" hidden="1" customHeight="1">
      <c r="A8660" s="426"/>
    </row>
    <row r="8661" spans="1:1" s="427" customFormat="1" ht="12" hidden="1" customHeight="1">
      <c r="A8661" s="426"/>
    </row>
    <row r="8662" spans="1:1" s="427" customFormat="1" ht="12" hidden="1" customHeight="1">
      <c r="A8662" s="426"/>
    </row>
    <row r="8663" spans="1:1" s="427" customFormat="1" ht="12" hidden="1" customHeight="1">
      <c r="A8663" s="426"/>
    </row>
    <row r="8664" spans="1:1" s="427" customFormat="1" ht="12" hidden="1" customHeight="1">
      <c r="A8664" s="426"/>
    </row>
    <row r="8665" spans="1:1" s="427" customFormat="1" ht="12" hidden="1" customHeight="1">
      <c r="A8665" s="426"/>
    </row>
    <row r="8666" spans="1:1" s="427" customFormat="1" ht="12" hidden="1" customHeight="1">
      <c r="A8666" s="426"/>
    </row>
    <row r="8667" spans="1:1" s="427" customFormat="1" ht="12" hidden="1" customHeight="1">
      <c r="A8667" s="426"/>
    </row>
    <row r="8668" spans="1:1" s="427" customFormat="1" ht="12" hidden="1" customHeight="1">
      <c r="A8668" s="426"/>
    </row>
    <row r="8669" spans="1:1" s="427" customFormat="1" ht="12" hidden="1" customHeight="1">
      <c r="A8669" s="426"/>
    </row>
    <row r="8670" spans="1:1" s="427" customFormat="1" ht="12" hidden="1" customHeight="1">
      <c r="A8670" s="426"/>
    </row>
    <row r="8671" spans="1:1" s="427" customFormat="1" ht="12" hidden="1" customHeight="1">
      <c r="A8671" s="426"/>
    </row>
    <row r="8672" spans="1:1" s="427" customFormat="1" ht="12" hidden="1" customHeight="1">
      <c r="A8672" s="426"/>
    </row>
    <row r="8673" spans="1:1" s="427" customFormat="1" ht="12" hidden="1" customHeight="1">
      <c r="A8673" s="426"/>
    </row>
    <row r="8674" spans="1:1" s="427" customFormat="1" ht="12" hidden="1" customHeight="1">
      <c r="A8674" s="426"/>
    </row>
    <row r="8675" spans="1:1" s="427" customFormat="1" ht="12" hidden="1" customHeight="1">
      <c r="A8675" s="426"/>
    </row>
    <row r="8676" spans="1:1" s="427" customFormat="1" ht="12" hidden="1" customHeight="1">
      <c r="A8676" s="426"/>
    </row>
    <row r="8677" spans="1:1" s="427" customFormat="1" ht="12" hidden="1" customHeight="1">
      <c r="A8677" s="426"/>
    </row>
    <row r="8678" spans="1:1" s="427" customFormat="1" ht="12" hidden="1" customHeight="1">
      <c r="A8678" s="426"/>
    </row>
    <row r="8679" spans="1:1" s="427" customFormat="1" ht="12" hidden="1" customHeight="1">
      <c r="A8679" s="426"/>
    </row>
    <row r="8680" spans="1:1" s="427" customFormat="1" ht="12" hidden="1" customHeight="1">
      <c r="A8680" s="426"/>
    </row>
    <row r="8681" spans="1:1" s="427" customFormat="1" ht="12" hidden="1" customHeight="1">
      <c r="A8681" s="426"/>
    </row>
    <row r="8682" spans="1:1" s="427" customFormat="1" ht="12" hidden="1" customHeight="1">
      <c r="A8682" s="426"/>
    </row>
    <row r="8683" spans="1:1" s="427" customFormat="1" ht="12" hidden="1" customHeight="1">
      <c r="A8683" s="426"/>
    </row>
    <row r="8684" spans="1:1" s="427" customFormat="1" ht="12" hidden="1" customHeight="1">
      <c r="A8684" s="426"/>
    </row>
    <row r="8685" spans="1:1" s="427" customFormat="1" ht="12" hidden="1" customHeight="1">
      <c r="A8685" s="426"/>
    </row>
    <row r="8686" spans="1:1" s="427" customFormat="1" ht="12" hidden="1" customHeight="1">
      <c r="A8686" s="426"/>
    </row>
    <row r="8687" spans="1:1" s="427" customFormat="1" ht="12" hidden="1" customHeight="1">
      <c r="A8687" s="426"/>
    </row>
    <row r="8688" spans="1:1" s="427" customFormat="1" ht="12" hidden="1" customHeight="1">
      <c r="A8688" s="426"/>
    </row>
    <row r="8689" spans="1:1" s="427" customFormat="1" ht="12" hidden="1" customHeight="1">
      <c r="A8689" s="426"/>
    </row>
    <row r="8690" spans="1:1" s="427" customFormat="1" ht="12" hidden="1" customHeight="1">
      <c r="A8690" s="426"/>
    </row>
    <row r="8691" spans="1:1" s="427" customFormat="1" ht="12" hidden="1" customHeight="1">
      <c r="A8691" s="426"/>
    </row>
    <row r="8692" spans="1:1" s="427" customFormat="1" ht="12" hidden="1" customHeight="1">
      <c r="A8692" s="426"/>
    </row>
    <row r="8693" spans="1:1" s="427" customFormat="1" ht="12" hidden="1" customHeight="1">
      <c r="A8693" s="426"/>
    </row>
    <row r="8694" spans="1:1" s="427" customFormat="1" ht="12" hidden="1" customHeight="1">
      <c r="A8694" s="426"/>
    </row>
    <row r="8695" spans="1:1" s="427" customFormat="1" ht="12" hidden="1" customHeight="1">
      <c r="A8695" s="426"/>
    </row>
    <row r="8696" spans="1:1" s="427" customFormat="1" ht="12" hidden="1" customHeight="1">
      <c r="A8696" s="426"/>
    </row>
    <row r="8697" spans="1:1" s="427" customFormat="1" ht="12" hidden="1" customHeight="1">
      <c r="A8697" s="426"/>
    </row>
    <row r="8698" spans="1:1" s="427" customFormat="1" ht="12" hidden="1" customHeight="1">
      <c r="A8698" s="426"/>
    </row>
    <row r="8699" spans="1:1" s="427" customFormat="1" ht="12" hidden="1" customHeight="1">
      <c r="A8699" s="426"/>
    </row>
    <row r="8700" spans="1:1" s="427" customFormat="1" ht="12" hidden="1" customHeight="1">
      <c r="A8700" s="426"/>
    </row>
    <row r="8701" spans="1:1" s="427" customFormat="1" ht="12" hidden="1" customHeight="1">
      <c r="A8701" s="426"/>
    </row>
    <row r="8702" spans="1:1" s="427" customFormat="1" ht="12" hidden="1" customHeight="1">
      <c r="A8702" s="426"/>
    </row>
    <row r="8703" spans="1:1" s="427" customFormat="1" ht="12" hidden="1" customHeight="1">
      <c r="A8703" s="426"/>
    </row>
    <row r="8704" spans="1:1" s="427" customFormat="1" ht="12" hidden="1" customHeight="1">
      <c r="A8704" s="426"/>
    </row>
    <row r="8705" spans="1:1" s="427" customFormat="1" ht="12" hidden="1" customHeight="1">
      <c r="A8705" s="426"/>
    </row>
    <row r="8706" spans="1:1" s="427" customFormat="1" ht="12" hidden="1" customHeight="1">
      <c r="A8706" s="426"/>
    </row>
    <row r="8707" spans="1:1" s="427" customFormat="1" ht="12" hidden="1" customHeight="1">
      <c r="A8707" s="426"/>
    </row>
    <row r="8708" spans="1:1" s="427" customFormat="1" ht="12" hidden="1" customHeight="1">
      <c r="A8708" s="426"/>
    </row>
    <row r="8709" spans="1:1" s="427" customFormat="1" ht="12" hidden="1" customHeight="1">
      <c r="A8709" s="426"/>
    </row>
    <row r="8710" spans="1:1" s="427" customFormat="1" ht="12" hidden="1" customHeight="1">
      <c r="A8710" s="426"/>
    </row>
    <row r="8711" spans="1:1" s="427" customFormat="1" ht="12" hidden="1" customHeight="1">
      <c r="A8711" s="426"/>
    </row>
    <row r="8712" spans="1:1" s="427" customFormat="1" ht="12" hidden="1" customHeight="1">
      <c r="A8712" s="426"/>
    </row>
    <row r="8713" spans="1:1" s="427" customFormat="1" ht="12" hidden="1" customHeight="1">
      <c r="A8713" s="426"/>
    </row>
    <row r="8714" spans="1:1" s="427" customFormat="1" ht="12" hidden="1" customHeight="1">
      <c r="A8714" s="426"/>
    </row>
    <row r="8715" spans="1:1" s="427" customFormat="1" ht="12" hidden="1" customHeight="1">
      <c r="A8715" s="426"/>
    </row>
    <row r="8716" spans="1:1" s="427" customFormat="1" ht="12" hidden="1" customHeight="1">
      <c r="A8716" s="426"/>
    </row>
    <row r="8717" spans="1:1" s="427" customFormat="1" ht="12" hidden="1" customHeight="1">
      <c r="A8717" s="426"/>
    </row>
    <row r="8718" spans="1:1" s="427" customFormat="1" ht="12" hidden="1" customHeight="1">
      <c r="A8718" s="426"/>
    </row>
    <row r="8719" spans="1:1" s="427" customFormat="1" ht="12" hidden="1" customHeight="1">
      <c r="A8719" s="426"/>
    </row>
    <row r="8720" spans="1:1" s="427" customFormat="1" ht="12" hidden="1" customHeight="1">
      <c r="A8720" s="426"/>
    </row>
    <row r="8721" spans="1:1" s="427" customFormat="1" ht="12" hidden="1" customHeight="1">
      <c r="A8721" s="426"/>
    </row>
    <row r="8722" spans="1:1" s="427" customFormat="1" ht="12" hidden="1" customHeight="1">
      <c r="A8722" s="426"/>
    </row>
    <row r="8723" spans="1:1" s="427" customFormat="1" ht="12" hidden="1" customHeight="1">
      <c r="A8723" s="426"/>
    </row>
    <row r="8724" spans="1:1" s="427" customFormat="1" ht="12" hidden="1" customHeight="1">
      <c r="A8724" s="426"/>
    </row>
    <row r="8725" spans="1:1" s="427" customFormat="1" ht="12" hidden="1" customHeight="1">
      <c r="A8725" s="426"/>
    </row>
    <row r="8726" spans="1:1" s="427" customFormat="1" ht="12" hidden="1" customHeight="1">
      <c r="A8726" s="426"/>
    </row>
    <row r="8727" spans="1:1" s="427" customFormat="1" ht="12" hidden="1" customHeight="1">
      <c r="A8727" s="426"/>
    </row>
    <row r="8728" spans="1:1" s="427" customFormat="1" ht="12" hidden="1" customHeight="1">
      <c r="A8728" s="426"/>
    </row>
    <row r="8729" spans="1:1" s="427" customFormat="1" ht="12" hidden="1" customHeight="1">
      <c r="A8729" s="426"/>
    </row>
    <row r="8730" spans="1:1" s="427" customFormat="1" ht="12" hidden="1" customHeight="1">
      <c r="A8730" s="426"/>
    </row>
    <row r="8731" spans="1:1" s="427" customFormat="1" ht="12" hidden="1" customHeight="1">
      <c r="A8731" s="426"/>
    </row>
    <row r="8732" spans="1:1" s="427" customFormat="1" ht="12" hidden="1" customHeight="1">
      <c r="A8732" s="426"/>
    </row>
    <row r="8733" spans="1:1" s="427" customFormat="1" ht="12" hidden="1" customHeight="1">
      <c r="A8733" s="426"/>
    </row>
    <row r="8734" spans="1:1" s="427" customFormat="1" ht="12" hidden="1" customHeight="1">
      <c r="A8734" s="426"/>
    </row>
    <row r="8735" spans="1:1" s="427" customFormat="1" ht="12" hidden="1" customHeight="1">
      <c r="A8735" s="426"/>
    </row>
    <row r="8736" spans="1:1" s="427" customFormat="1" ht="12" hidden="1" customHeight="1">
      <c r="A8736" s="426"/>
    </row>
    <row r="8737" spans="1:1" s="427" customFormat="1" ht="12" hidden="1" customHeight="1">
      <c r="A8737" s="426"/>
    </row>
    <row r="8738" spans="1:1" s="427" customFormat="1" ht="12" hidden="1" customHeight="1">
      <c r="A8738" s="426"/>
    </row>
    <row r="8739" spans="1:1" s="427" customFormat="1" ht="12" hidden="1" customHeight="1">
      <c r="A8739" s="426"/>
    </row>
    <row r="8740" spans="1:1" s="427" customFormat="1" ht="12" hidden="1" customHeight="1">
      <c r="A8740" s="426"/>
    </row>
    <row r="8741" spans="1:1" s="427" customFormat="1" ht="12" hidden="1" customHeight="1">
      <c r="A8741" s="426"/>
    </row>
    <row r="8742" spans="1:1" s="427" customFormat="1" ht="12" hidden="1" customHeight="1">
      <c r="A8742" s="426"/>
    </row>
    <row r="8743" spans="1:1" s="427" customFormat="1" ht="12" hidden="1" customHeight="1">
      <c r="A8743" s="426"/>
    </row>
    <row r="8744" spans="1:1" s="427" customFormat="1" ht="12" hidden="1" customHeight="1">
      <c r="A8744" s="426"/>
    </row>
    <row r="8745" spans="1:1" s="427" customFormat="1" ht="12" hidden="1" customHeight="1">
      <c r="A8745" s="426"/>
    </row>
    <row r="8746" spans="1:1" s="427" customFormat="1" ht="12" hidden="1" customHeight="1">
      <c r="A8746" s="426"/>
    </row>
    <row r="8747" spans="1:1" s="427" customFormat="1" ht="12" hidden="1" customHeight="1">
      <c r="A8747" s="426"/>
    </row>
    <row r="8748" spans="1:1" s="427" customFormat="1" ht="12" hidden="1" customHeight="1">
      <c r="A8748" s="426"/>
    </row>
    <row r="8749" spans="1:1" s="427" customFormat="1" ht="12" hidden="1" customHeight="1">
      <c r="A8749" s="426"/>
    </row>
    <row r="8750" spans="1:1" s="427" customFormat="1" ht="12" hidden="1" customHeight="1">
      <c r="A8750" s="426"/>
    </row>
    <row r="8751" spans="1:1" s="427" customFormat="1" ht="12" hidden="1" customHeight="1">
      <c r="A8751" s="426"/>
    </row>
    <row r="8752" spans="1:1" s="427" customFormat="1" ht="12" hidden="1" customHeight="1">
      <c r="A8752" s="426"/>
    </row>
    <row r="8753" spans="1:1" s="427" customFormat="1" ht="12" hidden="1" customHeight="1">
      <c r="A8753" s="426"/>
    </row>
    <row r="8754" spans="1:1" s="427" customFormat="1" ht="12" hidden="1" customHeight="1">
      <c r="A8754" s="426"/>
    </row>
    <row r="8755" spans="1:1" s="427" customFormat="1" ht="12" hidden="1" customHeight="1">
      <c r="A8755" s="426"/>
    </row>
    <row r="8756" spans="1:1" s="427" customFormat="1" ht="12" hidden="1" customHeight="1">
      <c r="A8756" s="426"/>
    </row>
    <row r="8757" spans="1:1" s="427" customFormat="1" ht="12" hidden="1" customHeight="1">
      <c r="A8757" s="426"/>
    </row>
    <row r="8758" spans="1:1" s="427" customFormat="1" ht="12" hidden="1" customHeight="1">
      <c r="A8758" s="426"/>
    </row>
    <row r="8759" spans="1:1" s="427" customFormat="1" ht="12" hidden="1" customHeight="1">
      <c r="A8759" s="426"/>
    </row>
    <row r="8760" spans="1:1" s="427" customFormat="1" ht="12" hidden="1" customHeight="1">
      <c r="A8760" s="426"/>
    </row>
    <row r="8761" spans="1:1" s="427" customFormat="1" ht="12" hidden="1" customHeight="1">
      <c r="A8761" s="426"/>
    </row>
    <row r="8762" spans="1:1" s="427" customFormat="1" ht="12" hidden="1" customHeight="1">
      <c r="A8762" s="426"/>
    </row>
    <row r="8763" spans="1:1" s="427" customFormat="1" ht="12" hidden="1" customHeight="1">
      <c r="A8763" s="426"/>
    </row>
    <row r="8764" spans="1:1" s="427" customFormat="1" ht="12" hidden="1" customHeight="1">
      <c r="A8764" s="426"/>
    </row>
    <row r="8765" spans="1:1" s="427" customFormat="1" ht="12" hidden="1" customHeight="1">
      <c r="A8765" s="426"/>
    </row>
    <row r="8766" spans="1:1" s="427" customFormat="1" ht="12" hidden="1" customHeight="1">
      <c r="A8766" s="426"/>
    </row>
    <row r="8767" spans="1:1" s="427" customFormat="1" ht="12" hidden="1" customHeight="1">
      <c r="A8767" s="426"/>
    </row>
    <row r="8768" spans="1:1" s="427" customFormat="1" ht="12" hidden="1" customHeight="1">
      <c r="A8768" s="426"/>
    </row>
    <row r="8769" spans="1:1" s="427" customFormat="1" ht="12" hidden="1" customHeight="1">
      <c r="A8769" s="426"/>
    </row>
    <row r="8770" spans="1:1" s="427" customFormat="1" ht="12" hidden="1" customHeight="1">
      <c r="A8770" s="426"/>
    </row>
    <row r="8771" spans="1:1" s="427" customFormat="1" ht="12" hidden="1" customHeight="1">
      <c r="A8771" s="426"/>
    </row>
    <row r="8772" spans="1:1" s="427" customFormat="1" ht="12" hidden="1" customHeight="1">
      <c r="A8772" s="426"/>
    </row>
    <row r="8773" spans="1:1" s="427" customFormat="1" ht="12" hidden="1" customHeight="1">
      <c r="A8773" s="426"/>
    </row>
    <row r="8774" spans="1:1" s="427" customFormat="1" ht="12" hidden="1" customHeight="1">
      <c r="A8774" s="426"/>
    </row>
    <row r="8775" spans="1:1" s="427" customFormat="1" ht="12" hidden="1" customHeight="1">
      <c r="A8775" s="426"/>
    </row>
    <row r="8776" spans="1:1" s="427" customFormat="1" ht="12" hidden="1" customHeight="1">
      <c r="A8776" s="426"/>
    </row>
    <row r="8777" spans="1:1" s="427" customFormat="1" ht="12" hidden="1" customHeight="1">
      <c r="A8777" s="426"/>
    </row>
    <row r="8778" spans="1:1" s="427" customFormat="1" ht="12" hidden="1" customHeight="1">
      <c r="A8778" s="426"/>
    </row>
    <row r="8779" spans="1:1" s="427" customFormat="1" ht="12" hidden="1" customHeight="1">
      <c r="A8779" s="426"/>
    </row>
    <row r="8780" spans="1:1" s="427" customFormat="1" ht="12" hidden="1" customHeight="1">
      <c r="A8780" s="426"/>
    </row>
    <row r="8781" spans="1:1" s="427" customFormat="1" ht="12" hidden="1" customHeight="1">
      <c r="A8781" s="426"/>
    </row>
    <row r="8782" spans="1:1" s="427" customFormat="1" ht="12" hidden="1" customHeight="1">
      <c r="A8782" s="426"/>
    </row>
    <row r="8783" spans="1:1" s="427" customFormat="1" ht="12" hidden="1" customHeight="1">
      <c r="A8783" s="426"/>
    </row>
    <row r="8784" spans="1:1" s="427" customFormat="1" ht="12" hidden="1" customHeight="1">
      <c r="A8784" s="426"/>
    </row>
    <row r="8785" spans="1:1" s="427" customFormat="1" ht="12" hidden="1" customHeight="1">
      <c r="A8785" s="426"/>
    </row>
    <row r="8786" spans="1:1" s="427" customFormat="1" ht="12" hidden="1" customHeight="1">
      <c r="A8786" s="426"/>
    </row>
    <row r="8787" spans="1:1" s="427" customFormat="1" ht="12" hidden="1" customHeight="1">
      <c r="A8787" s="426"/>
    </row>
    <row r="8788" spans="1:1" s="427" customFormat="1" ht="12" hidden="1" customHeight="1">
      <c r="A8788" s="426"/>
    </row>
    <row r="8789" spans="1:1" s="427" customFormat="1" ht="12" hidden="1" customHeight="1">
      <c r="A8789" s="426"/>
    </row>
    <row r="8790" spans="1:1" s="427" customFormat="1" ht="12" hidden="1" customHeight="1">
      <c r="A8790" s="426"/>
    </row>
    <row r="8791" spans="1:1" s="427" customFormat="1" ht="12" hidden="1" customHeight="1">
      <c r="A8791" s="426"/>
    </row>
    <row r="8792" spans="1:1" s="427" customFormat="1" ht="12" hidden="1" customHeight="1">
      <c r="A8792" s="426"/>
    </row>
    <row r="8793" spans="1:1" s="427" customFormat="1" ht="12" hidden="1" customHeight="1">
      <c r="A8793" s="426"/>
    </row>
    <row r="8794" spans="1:1" s="427" customFormat="1" ht="12" hidden="1" customHeight="1">
      <c r="A8794" s="426"/>
    </row>
    <row r="8795" spans="1:1" s="427" customFormat="1" ht="12" hidden="1" customHeight="1">
      <c r="A8795" s="426"/>
    </row>
    <row r="8796" spans="1:1" s="427" customFormat="1" ht="12" hidden="1" customHeight="1">
      <c r="A8796" s="426"/>
    </row>
    <row r="8797" spans="1:1" s="427" customFormat="1" ht="12" hidden="1" customHeight="1">
      <c r="A8797" s="426"/>
    </row>
    <row r="8798" spans="1:1" s="427" customFormat="1" ht="12" hidden="1" customHeight="1">
      <c r="A8798" s="426"/>
    </row>
    <row r="8799" spans="1:1" s="427" customFormat="1" ht="12" hidden="1" customHeight="1">
      <c r="A8799" s="426"/>
    </row>
    <row r="8800" spans="1:1" s="427" customFormat="1" ht="12" hidden="1" customHeight="1">
      <c r="A8800" s="426"/>
    </row>
    <row r="8801" spans="1:1" s="427" customFormat="1" ht="12" hidden="1" customHeight="1">
      <c r="A8801" s="426"/>
    </row>
    <row r="8802" spans="1:1" s="427" customFormat="1" ht="12" hidden="1" customHeight="1">
      <c r="A8802" s="426"/>
    </row>
    <row r="8803" spans="1:1" s="427" customFormat="1" ht="12" hidden="1" customHeight="1">
      <c r="A8803" s="426"/>
    </row>
    <row r="8804" spans="1:1" s="427" customFormat="1" ht="12" hidden="1" customHeight="1">
      <c r="A8804" s="426"/>
    </row>
    <row r="8805" spans="1:1" s="427" customFormat="1" ht="12" hidden="1" customHeight="1">
      <c r="A8805" s="426"/>
    </row>
    <row r="8806" spans="1:1" s="427" customFormat="1" ht="12" hidden="1" customHeight="1">
      <c r="A8806" s="426"/>
    </row>
    <row r="8807" spans="1:1" s="427" customFormat="1" ht="12" hidden="1" customHeight="1">
      <c r="A8807" s="426"/>
    </row>
    <row r="8808" spans="1:1" s="427" customFormat="1" ht="12" hidden="1" customHeight="1">
      <c r="A8808" s="426"/>
    </row>
    <row r="8809" spans="1:1" s="427" customFormat="1" ht="12" hidden="1" customHeight="1">
      <c r="A8809" s="426"/>
    </row>
    <row r="8810" spans="1:1" s="427" customFormat="1" ht="12" hidden="1" customHeight="1">
      <c r="A8810" s="426"/>
    </row>
    <row r="8811" spans="1:1" s="427" customFormat="1" ht="12" hidden="1" customHeight="1">
      <c r="A8811" s="426"/>
    </row>
    <row r="8812" spans="1:1" s="427" customFormat="1" ht="12" hidden="1" customHeight="1">
      <c r="A8812" s="426"/>
    </row>
    <row r="8813" spans="1:1" s="427" customFormat="1" ht="12" hidden="1" customHeight="1">
      <c r="A8813" s="426"/>
    </row>
    <row r="8814" spans="1:1" s="427" customFormat="1" ht="12" hidden="1" customHeight="1">
      <c r="A8814" s="426"/>
    </row>
    <row r="8815" spans="1:1" s="427" customFormat="1" ht="12" hidden="1" customHeight="1">
      <c r="A8815" s="426"/>
    </row>
    <row r="8816" spans="1:1" s="427" customFormat="1" ht="12" hidden="1" customHeight="1">
      <c r="A8816" s="426"/>
    </row>
    <row r="8817" spans="1:1" s="427" customFormat="1" ht="12" hidden="1" customHeight="1">
      <c r="A8817" s="426"/>
    </row>
    <row r="8818" spans="1:1" s="427" customFormat="1" ht="12" hidden="1" customHeight="1">
      <c r="A8818" s="426"/>
    </row>
    <row r="8819" spans="1:1" s="427" customFormat="1" ht="12" hidden="1" customHeight="1">
      <c r="A8819" s="426"/>
    </row>
    <row r="8820" spans="1:1" s="427" customFormat="1" ht="12" hidden="1" customHeight="1">
      <c r="A8820" s="426"/>
    </row>
    <row r="8821" spans="1:1" s="427" customFormat="1" ht="12" hidden="1" customHeight="1">
      <c r="A8821" s="426"/>
    </row>
    <row r="8822" spans="1:1" s="427" customFormat="1" ht="12" hidden="1" customHeight="1">
      <c r="A8822" s="426"/>
    </row>
    <row r="8823" spans="1:1" s="427" customFormat="1" ht="12" hidden="1" customHeight="1">
      <c r="A8823" s="426"/>
    </row>
    <row r="8824" spans="1:1" s="427" customFormat="1" ht="12" hidden="1" customHeight="1">
      <c r="A8824" s="426"/>
    </row>
    <row r="8825" spans="1:1" s="427" customFormat="1" ht="12" hidden="1" customHeight="1">
      <c r="A8825" s="426"/>
    </row>
    <row r="8826" spans="1:1" s="427" customFormat="1" ht="12" hidden="1" customHeight="1">
      <c r="A8826" s="426"/>
    </row>
    <row r="8827" spans="1:1" s="427" customFormat="1" ht="12" hidden="1" customHeight="1">
      <c r="A8827" s="426"/>
    </row>
    <row r="8828" spans="1:1" s="427" customFormat="1" ht="12" hidden="1" customHeight="1">
      <c r="A8828" s="426"/>
    </row>
    <row r="8829" spans="1:1" s="427" customFormat="1" ht="12" hidden="1" customHeight="1">
      <c r="A8829" s="426"/>
    </row>
    <row r="8830" spans="1:1" s="427" customFormat="1" ht="12" hidden="1" customHeight="1">
      <c r="A8830" s="426"/>
    </row>
    <row r="8831" spans="1:1" s="427" customFormat="1" ht="12" hidden="1" customHeight="1">
      <c r="A8831" s="426"/>
    </row>
    <row r="8832" spans="1:1" s="427" customFormat="1" ht="12" hidden="1" customHeight="1">
      <c r="A8832" s="426"/>
    </row>
    <row r="8833" spans="1:1" s="427" customFormat="1" ht="12" hidden="1" customHeight="1">
      <c r="A8833" s="426"/>
    </row>
    <row r="8834" spans="1:1" s="427" customFormat="1" ht="12" hidden="1" customHeight="1">
      <c r="A8834" s="426"/>
    </row>
    <row r="8835" spans="1:1" s="427" customFormat="1" ht="12" hidden="1" customHeight="1">
      <c r="A8835" s="426"/>
    </row>
    <row r="8836" spans="1:1" s="427" customFormat="1" ht="12" hidden="1" customHeight="1">
      <c r="A8836" s="426"/>
    </row>
    <row r="8837" spans="1:1" s="427" customFormat="1" ht="12" hidden="1" customHeight="1">
      <c r="A8837" s="426"/>
    </row>
    <row r="8838" spans="1:1" s="427" customFormat="1" ht="12" hidden="1" customHeight="1">
      <c r="A8838" s="426"/>
    </row>
    <row r="8839" spans="1:1" s="427" customFormat="1" ht="12" hidden="1" customHeight="1">
      <c r="A8839" s="426"/>
    </row>
    <row r="8840" spans="1:1" s="427" customFormat="1" ht="12" hidden="1" customHeight="1">
      <c r="A8840" s="426"/>
    </row>
    <row r="8841" spans="1:1" s="427" customFormat="1" ht="12" hidden="1" customHeight="1">
      <c r="A8841" s="426"/>
    </row>
    <row r="8842" spans="1:1" s="427" customFormat="1" ht="12" hidden="1" customHeight="1">
      <c r="A8842" s="426"/>
    </row>
    <row r="8843" spans="1:1" s="427" customFormat="1" ht="12" hidden="1" customHeight="1">
      <c r="A8843" s="426"/>
    </row>
    <row r="8844" spans="1:1" s="427" customFormat="1" ht="12" hidden="1" customHeight="1">
      <c r="A8844" s="426"/>
    </row>
    <row r="8845" spans="1:1" s="427" customFormat="1" ht="12" hidden="1" customHeight="1">
      <c r="A8845" s="426"/>
    </row>
    <row r="8846" spans="1:1" s="427" customFormat="1" ht="12" hidden="1" customHeight="1">
      <c r="A8846" s="426"/>
    </row>
    <row r="8847" spans="1:1" s="427" customFormat="1" ht="12" hidden="1" customHeight="1">
      <c r="A8847" s="426"/>
    </row>
    <row r="8848" spans="1:1" s="427" customFormat="1" ht="12" hidden="1" customHeight="1">
      <c r="A8848" s="426"/>
    </row>
    <row r="8849" spans="1:1" s="427" customFormat="1" ht="12" hidden="1" customHeight="1">
      <c r="A8849" s="426"/>
    </row>
    <row r="8850" spans="1:1" s="427" customFormat="1" ht="12" hidden="1" customHeight="1">
      <c r="A8850" s="426"/>
    </row>
    <row r="8851" spans="1:1" s="427" customFormat="1" ht="12" hidden="1" customHeight="1">
      <c r="A8851" s="426"/>
    </row>
    <row r="8852" spans="1:1" s="427" customFormat="1" ht="12" hidden="1" customHeight="1">
      <c r="A8852" s="426"/>
    </row>
    <row r="8853" spans="1:1" s="427" customFormat="1" ht="12" hidden="1" customHeight="1">
      <c r="A8853" s="426"/>
    </row>
    <row r="8854" spans="1:1" s="427" customFormat="1" ht="12" hidden="1" customHeight="1">
      <c r="A8854" s="426"/>
    </row>
    <row r="8855" spans="1:1" s="427" customFormat="1" ht="12" hidden="1" customHeight="1">
      <c r="A8855" s="426"/>
    </row>
    <row r="8856" spans="1:1" s="427" customFormat="1" ht="12" hidden="1" customHeight="1">
      <c r="A8856" s="426"/>
    </row>
    <row r="8857" spans="1:1" s="427" customFormat="1" ht="12" hidden="1" customHeight="1">
      <c r="A8857" s="426"/>
    </row>
    <row r="8858" spans="1:1" s="427" customFormat="1" ht="12" hidden="1" customHeight="1">
      <c r="A8858" s="426"/>
    </row>
    <row r="8859" spans="1:1" s="427" customFormat="1" ht="12" hidden="1" customHeight="1">
      <c r="A8859" s="426"/>
    </row>
    <row r="8860" spans="1:1" s="427" customFormat="1" ht="12" hidden="1" customHeight="1">
      <c r="A8860" s="426"/>
    </row>
    <row r="8861" spans="1:1" s="427" customFormat="1" ht="12" hidden="1" customHeight="1">
      <c r="A8861" s="426"/>
    </row>
    <row r="8862" spans="1:1" s="427" customFormat="1" ht="12" hidden="1" customHeight="1">
      <c r="A8862" s="426"/>
    </row>
    <row r="8863" spans="1:1" s="427" customFormat="1" ht="12" hidden="1" customHeight="1">
      <c r="A8863" s="426"/>
    </row>
    <row r="8864" spans="1:1" s="427" customFormat="1" ht="12" hidden="1" customHeight="1">
      <c r="A8864" s="426"/>
    </row>
    <row r="8865" spans="1:1" s="427" customFormat="1" ht="12" hidden="1" customHeight="1">
      <c r="A8865" s="426"/>
    </row>
    <row r="8866" spans="1:1" s="427" customFormat="1" ht="12" hidden="1" customHeight="1">
      <c r="A8866" s="426"/>
    </row>
    <row r="8867" spans="1:1" s="427" customFormat="1" ht="12" hidden="1" customHeight="1">
      <c r="A8867" s="426"/>
    </row>
    <row r="8868" spans="1:1" s="427" customFormat="1" ht="12" hidden="1" customHeight="1">
      <c r="A8868" s="426"/>
    </row>
    <row r="8869" spans="1:1" s="427" customFormat="1" ht="12" hidden="1" customHeight="1">
      <c r="A8869" s="426"/>
    </row>
    <row r="8870" spans="1:1" s="427" customFormat="1" ht="12" hidden="1" customHeight="1">
      <c r="A8870" s="426"/>
    </row>
    <row r="8871" spans="1:1" s="427" customFormat="1" ht="12" hidden="1" customHeight="1">
      <c r="A8871" s="426"/>
    </row>
    <row r="8872" spans="1:1" s="427" customFormat="1" ht="12" hidden="1" customHeight="1">
      <c r="A8872" s="426"/>
    </row>
    <row r="8873" spans="1:1" s="427" customFormat="1" ht="12" hidden="1" customHeight="1">
      <c r="A8873" s="426"/>
    </row>
    <row r="8874" spans="1:1" s="427" customFormat="1" ht="12" hidden="1" customHeight="1">
      <c r="A8874" s="426"/>
    </row>
    <row r="8875" spans="1:1" s="427" customFormat="1" ht="12" hidden="1" customHeight="1">
      <c r="A8875" s="426"/>
    </row>
    <row r="8876" spans="1:1" s="427" customFormat="1" ht="12" hidden="1" customHeight="1">
      <c r="A8876" s="426"/>
    </row>
    <row r="8877" spans="1:1" s="427" customFormat="1" ht="12" hidden="1" customHeight="1">
      <c r="A8877" s="426"/>
    </row>
    <row r="8878" spans="1:1" s="427" customFormat="1" ht="12" hidden="1" customHeight="1">
      <c r="A8878" s="426"/>
    </row>
    <row r="8879" spans="1:1" s="427" customFormat="1" ht="12" hidden="1" customHeight="1">
      <c r="A8879" s="426"/>
    </row>
    <row r="8880" spans="1:1" s="427" customFormat="1" ht="12" hidden="1" customHeight="1">
      <c r="A8880" s="426"/>
    </row>
    <row r="8881" spans="1:1" s="427" customFormat="1" ht="12" hidden="1" customHeight="1">
      <c r="A8881" s="426"/>
    </row>
    <row r="8882" spans="1:1" s="427" customFormat="1" ht="12" hidden="1" customHeight="1">
      <c r="A8882" s="426"/>
    </row>
    <row r="8883" spans="1:1" s="427" customFormat="1" ht="12" hidden="1" customHeight="1">
      <c r="A8883" s="426"/>
    </row>
    <row r="8884" spans="1:1" s="427" customFormat="1" ht="12" hidden="1" customHeight="1">
      <c r="A8884" s="426"/>
    </row>
    <row r="8885" spans="1:1" s="427" customFormat="1" ht="12" hidden="1" customHeight="1">
      <c r="A8885" s="426"/>
    </row>
    <row r="8886" spans="1:1" s="427" customFormat="1" ht="12" hidden="1" customHeight="1">
      <c r="A8886" s="426"/>
    </row>
    <row r="8887" spans="1:1" s="427" customFormat="1" ht="12" hidden="1" customHeight="1">
      <c r="A8887" s="426"/>
    </row>
    <row r="8888" spans="1:1" s="427" customFormat="1" ht="12" hidden="1" customHeight="1">
      <c r="A8888" s="426"/>
    </row>
    <row r="8889" spans="1:1" s="427" customFormat="1" ht="12" hidden="1" customHeight="1">
      <c r="A8889" s="426"/>
    </row>
    <row r="8890" spans="1:1" s="427" customFormat="1" ht="12" hidden="1" customHeight="1">
      <c r="A8890" s="426"/>
    </row>
    <row r="8891" spans="1:1" s="427" customFormat="1" ht="12" hidden="1" customHeight="1">
      <c r="A8891" s="426"/>
    </row>
    <row r="8892" spans="1:1" s="427" customFormat="1" ht="12" hidden="1" customHeight="1">
      <c r="A8892" s="426"/>
    </row>
    <row r="8893" spans="1:1" s="427" customFormat="1" ht="12" hidden="1" customHeight="1">
      <c r="A8893" s="426"/>
    </row>
    <row r="8894" spans="1:1" s="427" customFormat="1" ht="12" hidden="1" customHeight="1">
      <c r="A8894" s="426"/>
    </row>
    <row r="8895" spans="1:1" s="427" customFormat="1" ht="12" hidden="1" customHeight="1">
      <c r="A8895" s="426"/>
    </row>
    <row r="8896" spans="1:1" s="427" customFormat="1" ht="12" hidden="1" customHeight="1">
      <c r="A8896" s="426"/>
    </row>
    <row r="8897" spans="1:1" s="427" customFormat="1" ht="12" hidden="1" customHeight="1">
      <c r="A8897" s="426"/>
    </row>
    <row r="8898" spans="1:1" s="427" customFormat="1" ht="12" hidden="1" customHeight="1">
      <c r="A8898" s="426"/>
    </row>
    <row r="8899" spans="1:1" s="427" customFormat="1" ht="12" hidden="1" customHeight="1">
      <c r="A8899" s="426"/>
    </row>
    <row r="8900" spans="1:1" s="427" customFormat="1" ht="12" hidden="1" customHeight="1">
      <c r="A8900" s="426"/>
    </row>
    <row r="8901" spans="1:1" s="427" customFormat="1" ht="12" hidden="1" customHeight="1">
      <c r="A8901" s="426"/>
    </row>
    <row r="8902" spans="1:1" s="427" customFormat="1" ht="12" hidden="1" customHeight="1">
      <c r="A8902" s="426"/>
    </row>
    <row r="8903" spans="1:1" s="427" customFormat="1" ht="12" hidden="1" customHeight="1">
      <c r="A8903" s="426"/>
    </row>
    <row r="8904" spans="1:1" s="427" customFormat="1" ht="12" hidden="1" customHeight="1">
      <c r="A8904" s="426"/>
    </row>
    <row r="8905" spans="1:1" s="427" customFormat="1" ht="12" hidden="1" customHeight="1">
      <c r="A8905" s="426"/>
    </row>
    <row r="8906" spans="1:1" s="427" customFormat="1" ht="12" hidden="1" customHeight="1">
      <c r="A8906" s="426"/>
    </row>
    <row r="8907" spans="1:1" s="427" customFormat="1" ht="12" hidden="1" customHeight="1">
      <c r="A8907" s="426"/>
    </row>
    <row r="8908" spans="1:1" s="427" customFormat="1" ht="12" hidden="1" customHeight="1">
      <c r="A8908" s="426"/>
    </row>
    <row r="8909" spans="1:1" s="427" customFormat="1" ht="12" hidden="1" customHeight="1">
      <c r="A8909" s="426"/>
    </row>
    <row r="8910" spans="1:1" s="427" customFormat="1" ht="12" hidden="1" customHeight="1">
      <c r="A8910" s="426"/>
    </row>
    <row r="8911" spans="1:1" s="427" customFormat="1" ht="12" hidden="1" customHeight="1">
      <c r="A8911" s="426"/>
    </row>
    <row r="8912" spans="1:1" s="427" customFormat="1" ht="12" hidden="1" customHeight="1">
      <c r="A8912" s="426"/>
    </row>
    <row r="8913" spans="1:1" s="427" customFormat="1" ht="12" hidden="1" customHeight="1">
      <c r="A8913" s="426"/>
    </row>
    <row r="8914" spans="1:1" s="427" customFormat="1" ht="12" hidden="1" customHeight="1">
      <c r="A8914" s="426"/>
    </row>
    <row r="8915" spans="1:1" s="427" customFormat="1" ht="12" hidden="1" customHeight="1">
      <c r="A8915" s="426"/>
    </row>
    <row r="8916" spans="1:1" s="427" customFormat="1" ht="12" hidden="1" customHeight="1">
      <c r="A8916" s="426"/>
    </row>
    <row r="8917" spans="1:1" s="427" customFormat="1" ht="12" hidden="1" customHeight="1">
      <c r="A8917" s="426"/>
    </row>
    <row r="8918" spans="1:1" s="427" customFormat="1" ht="12" hidden="1" customHeight="1">
      <c r="A8918" s="426"/>
    </row>
    <row r="8919" spans="1:1" s="427" customFormat="1" ht="12" hidden="1" customHeight="1">
      <c r="A8919" s="426"/>
    </row>
    <row r="8920" spans="1:1" s="427" customFormat="1" ht="12" hidden="1" customHeight="1">
      <c r="A8920" s="426"/>
    </row>
    <row r="8921" spans="1:1" s="427" customFormat="1" ht="12" hidden="1" customHeight="1">
      <c r="A8921" s="426"/>
    </row>
    <row r="8922" spans="1:1" s="427" customFormat="1" ht="12" hidden="1" customHeight="1">
      <c r="A8922" s="426"/>
    </row>
    <row r="8923" spans="1:1" s="427" customFormat="1" ht="12" hidden="1" customHeight="1">
      <c r="A8923" s="426"/>
    </row>
    <row r="8924" spans="1:1" s="427" customFormat="1" ht="12" hidden="1" customHeight="1">
      <c r="A8924" s="426"/>
    </row>
    <row r="8925" spans="1:1" s="427" customFormat="1" ht="12" hidden="1" customHeight="1">
      <c r="A8925" s="426"/>
    </row>
    <row r="8926" spans="1:1" s="427" customFormat="1" ht="12" hidden="1" customHeight="1">
      <c r="A8926" s="426"/>
    </row>
    <row r="8927" spans="1:1" s="427" customFormat="1" ht="12" hidden="1" customHeight="1">
      <c r="A8927" s="426"/>
    </row>
    <row r="8928" spans="1:1" s="427" customFormat="1" ht="12" hidden="1" customHeight="1">
      <c r="A8928" s="426"/>
    </row>
    <row r="8929" spans="1:1" s="427" customFormat="1" ht="12" hidden="1" customHeight="1">
      <c r="A8929" s="426"/>
    </row>
    <row r="8930" spans="1:1" s="427" customFormat="1" ht="12" hidden="1" customHeight="1">
      <c r="A8930" s="426"/>
    </row>
    <row r="8931" spans="1:1" s="427" customFormat="1" ht="12" hidden="1" customHeight="1">
      <c r="A8931" s="426"/>
    </row>
    <row r="8932" spans="1:1" s="427" customFormat="1" ht="12" hidden="1" customHeight="1">
      <c r="A8932" s="426"/>
    </row>
    <row r="8933" spans="1:1" s="427" customFormat="1" ht="12" hidden="1" customHeight="1">
      <c r="A8933" s="426"/>
    </row>
    <row r="8934" spans="1:1" s="427" customFormat="1" ht="12" hidden="1" customHeight="1">
      <c r="A8934" s="426"/>
    </row>
    <row r="8935" spans="1:1" s="427" customFormat="1" ht="12" hidden="1" customHeight="1">
      <c r="A8935" s="426"/>
    </row>
    <row r="8936" spans="1:1" s="427" customFormat="1" ht="12" hidden="1" customHeight="1">
      <c r="A8936" s="426"/>
    </row>
    <row r="8937" spans="1:1" s="427" customFormat="1" ht="12" hidden="1" customHeight="1">
      <c r="A8937" s="426"/>
    </row>
    <row r="8938" spans="1:1" s="427" customFormat="1" ht="12" hidden="1" customHeight="1">
      <c r="A8938" s="426"/>
    </row>
    <row r="8939" spans="1:1" s="427" customFormat="1" ht="12" hidden="1" customHeight="1">
      <c r="A8939" s="426"/>
    </row>
    <row r="8940" spans="1:1" s="427" customFormat="1" ht="12" hidden="1" customHeight="1">
      <c r="A8940" s="426"/>
    </row>
    <row r="8941" spans="1:1" s="427" customFormat="1" ht="12" hidden="1" customHeight="1">
      <c r="A8941" s="426"/>
    </row>
    <row r="8942" spans="1:1" s="427" customFormat="1" ht="12" hidden="1" customHeight="1">
      <c r="A8942" s="426"/>
    </row>
    <row r="8943" spans="1:1" s="427" customFormat="1" ht="12" hidden="1" customHeight="1">
      <c r="A8943" s="426"/>
    </row>
    <row r="8944" spans="1:1" s="427" customFormat="1" ht="12" hidden="1" customHeight="1">
      <c r="A8944" s="426"/>
    </row>
    <row r="8945" spans="1:1" s="427" customFormat="1" ht="12" hidden="1" customHeight="1">
      <c r="A8945" s="426"/>
    </row>
    <row r="8946" spans="1:1" s="427" customFormat="1" ht="12" hidden="1" customHeight="1">
      <c r="A8946" s="426"/>
    </row>
    <row r="8947" spans="1:1" s="427" customFormat="1" ht="12" hidden="1" customHeight="1">
      <c r="A8947" s="426"/>
    </row>
    <row r="8948" spans="1:1" s="427" customFormat="1" ht="12" hidden="1" customHeight="1">
      <c r="A8948" s="426"/>
    </row>
    <row r="8949" spans="1:1" s="427" customFormat="1" ht="12" hidden="1" customHeight="1">
      <c r="A8949" s="426"/>
    </row>
    <row r="8950" spans="1:1" s="427" customFormat="1" ht="12" hidden="1" customHeight="1">
      <c r="A8950" s="426"/>
    </row>
    <row r="8951" spans="1:1" s="427" customFormat="1" ht="12" hidden="1" customHeight="1">
      <c r="A8951" s="426"/>
    </row>
    <row r="8952" spans="1:1" s="427" customFormat="1" ht="12" hidden="1" customHeight="1">
      <c r="A8952" s="426"/>
    </row>
    <row r="8953" spans="1:1" s="427" customFormat="1" ht="12" hidden="1" customHeight="1">
      <c r="A8953" s="426"/>
    </row>
    <row r="8954" spans="1:1" s="427" customFormat="1" ht="12" hidden="1" customHeight="1">
      <c r="A8954" s="426"/>
    </row>
    <row r="8955" spans="1:1" s="427" customFormat="1" ht="12" hidden="1" customHeight="1">
      <c r="A8955" s="426"/>
    </row>
    <row r="8956" spans="1:1" s="427" customFormat="1" ht="12" hidden="1" customHeight="1">
      <c r="A8956" s="426"/>
    </row>
    <row r="8957" spans="1:1" s="427" customFormat="1" ht="12" hidden="1" customHeight="1">
      <c r="A8957" s="426"/>
    </row>
    <row r="8958" spans="1:1" s="427" customFormat="1" ht="12" hidden="1" customHeight="1">
      <c r="A8958" s="426"/>
    </row>
    <row r="8959" spans="1:1" s="427" customFormat="1" ht="12" hidden="1" customHeight="1">
      <c r="A8959" s="426"/>
    </row>
    <row r="8960" spans="1:1" s="427" customFormat="1" ht="12" hidden="1" customHeight="1">
      <c r="A8960" s="426"/>
    </row>
    <row r="8961" spans="1:1" s="427" customFormat="1" ht="12" hidden="1" customHeight="1">
      <c r="A8961" s="426"/>
    </row>
    <row r="8962" spans="1:1" s="427" customFormat="1" ht="12" hidden="1" customHeight="1">
      <c r="A8962" s="426"/>
    </row>
    <row r="8963" spans="1:1" s="427" customFormat="1" ht="12" hidden="1" customHeight="1">
      <c r="A8963" s="426"/>
    </row>
    <row r="8964" spans="1:1" s="427" customFormat="1" ht="12" hidden="1" customHeight="1">
      <c r="A8964" s="426"/>
    </row>
    <row r="8965" spans="1:1" s="427" customFormat="1" ht="12" hidden="1" customHeight="1">
      <c r="A8965" s="426"/>
    </row>
    <row r="8966" spans="1:1" s="427" customFormat="1" ht="12" hidden="1" customHeight="1">
      <c r="A8966" s="426"/>
    </row>
    <row r="8967" spans="1:1" s="427" customFormat="1" ht="12" hidden="1" customHeight="1">
      <c r="A8967" s="426"/>
    </row>
    <row r="8968" spans="1:1" s="427" customFormat="1" ht="12" hidden="1" customHeight="1">
      <c r="A8968" s="426"/>
    </row>
    <row r="8969" spans="1:1" s="427" customFormat="1" ht="12" hidden="1" customHeight="1">
      <c r="A8969" s="426"/>
    </row>
    <row r="8970" spans="1:1" s="427" customFormat="1" ht="12" hidden="1" customHeight="1">
      <c r="A8970" s="426"/>
    </row>
    <row r="8971" spans="1:1" s="427" customFormat="1" ht="12" hidden="1" customHeight="1">
      <c r="A8971" s="426"/>
    </row>
    <row r="8972" spans="1:1" s="427" customFormat="1" ht="12" hidden="1" customHeight="1">
      <c r="A8972" s="426"/>
    </row>
    <row r="8973" spans="1:1" s="427" customFormat="1" ht="12" hidden="1" customHeight="1">
      <c r="A8973" s="426"/>
    </row>
    <row r="8974" spans="1:1" s="427" customFormat="1" ht="12" hidden="1" customHeight="1">
      <c r="A8974" s="426"/>
    </row>
    <row r="8975" spans="1:1" s="427" customFormat="1" ht="12" hidden="1" customHeight="1">
      <c r="A8975" s="426"/>
    </row>
    <row r="8976" spans="1:1" s="427" customFormat="1" ht="12" hidden="1" customHeight="1">
      <c r="A8976" s="426"/>
    </row>
    <row r="8977" spans="1:1" s="427" customFormat="1" ht="12" hidden="1" customHeight="1">
      <c r="A8977" s="426"/>
    </row>
    <row r="8978" spans="1:1" s="427" customFormat="1" ht="12" hidden="1" customHeight="1">
      <c r="A8978" s="426"/>
    </row>
    <row r="8979" spans="1:1" s="427" customFormat="1" ht="12" hidden="1" customHeight="1">
      <c r="A8979" s="426"/>
    </row>
    <row r="8980" spans="1:1" s="427" customFormat="1" ht="12" hidden="1" customHeight="1">
      <c r="A8980" s="426"/>
    </row>
    <row r="8981" spans="1:1" s="427" customFormat="1" ht="12" hidden="1" customHeight="1">
      <c r="A8981" s="426"/>
    </row>
    <row r="8982" spans="1:1" s="427" customFormat="1" ht="12" hidden="1" customHeight="1">
      <c r="A8982" s="426"/>
    </row>
    <row r="8983" spans="1:1" s="427" customFormat="1" ht="12" hidden="1" customHeight="1">
      <c r="A8983" s="426"/>
    </row>
    <row r="8984" spans="1:1" s="427" customFormat="1" ht="12" hidden="1" customHeight="1">
      <c r="A8984" s="426"/>
    </row>
    <row r="8985" spans="1:1" s="427" customFormat="1" ht="12" hidden="1" customHeight="1">
      <c r="A8985" s="426"/>
    </row>
    <row r="8986" spans="1:1" s="427" customFormat="1" ht="12" hidden="1" customHeight="1">
      <c r="A8986" s="426"/>
    </row>
    <row r="8987" spans="1:1" s="427" customFormat="1" ht="12" hidden="1" customHeight="1">
      <c r="A8987" s="426"/>
    </row>
    <row r="8988" spans="1:1" s="427" customFormat="1" ht="12" hidden="1" customHeight="1">
      <c r="A8988" s="426"/>
    </row>
    <row r="8989" spans="1:1" s="427" customFormat="1" ht="12" hidden="1" customHeight="1">
      <c r="A8989" s="426"/>
    </row>
    <row r="8990" spans="1:1" s="427" customFormat="1" ht="12" hidden="1" customHeight="1">
      <c r="A8990" s="426"/>
    </row>
    <row r="8991" spans="1:1" s="427" customFormat="1" ht="12" hidden="1" customHeight="1">
      <c r="A8991" s="426"/>
    </row>
    <row r="8992" spans="1:1" s="427" customFormat="1" ht="12" hidden="1" customHeight="1">
      <c r="A8992" s="426"/>
    </row>
    <row r="8993" spans="1:1" s="427" customFormat="1" ht="12" hidden="1" customHeight="1">
      <c r="A8993" s="426"/>
    </row>
    <row r="8994" spans="1:1" s="427" customFormat="1" ht="12" hidden="1" customHeight="1">
      <c r="A8994" s="426"/>
    </row>
    <row r="8995" spans="1:1" s="427" customFormat="1" ht="12" hidden="1" customHeight="1">
      <c r="A8995" s="426"/>
    </row>
    <row r="8996" spans="1:1" s="427" customFormat="1" ht="12" hidden="1" customHeight="1">
      <c r="A8996" s="426"/>
    </row>
    <row r="8997" spans="1:1" s="427" customFormat="1" ht="12" hidden="1" customHeight="1">
      <c r="A8997" s="426"/>
    </row>
    <row r="8998" spans="1:1" s="427" customFormat="1" ht="12" hidden="1" customHeight="1">
      <c r="A8998" s="426"/>
    </row>
    <row r="8999" spans="1:1" s="427" customFormat="1" ht="12" hidden="1" customHeight="1">
      <c r="A8999" s="426"/>
    </row>
    <row r="9000" spans="1:1" s="427" customFormat="1" ht="12" hidden="1" customHeight="1">
      <c r="A9000" s="426"/>
    </row>
    <row r="9001" spans="1:1" s="427" customFormat="1" ht="12" hidden="1" customHeight="1">
      <c r="A9001" s="426"/>
    </row>
    <row r="9002" spans="1:1" s="427" customFormat="1" ht="12" hidden="1" customHeight="1">
      <c r="A9002" s="426"/>
    </row>
    <row r="9003" spans="1:1" s="427" customFormat="1" ht="12" hidden="1" customHeight="1">
      <c r="A9003" s="426"/>
    </row>
    <row r="9004" spans="1:1" s="427" customFormat="1" ht="12" hidden="1" customHeight="1">
      <c r="A9004" s="426"/>
    </row>
    <row r="9005" spans="1:1" s="427" customFormat="1" ht="12" hidden="1" customHeight="1">
      <c r="A9005" s="426"/>
    </row>
    <row r="9006" spans="1:1" s="427" customFormat="1" ht="12" hidden="1" customHeight="1">
      <c r="A9006" s="426"/>
    </row>
    <row r="9007" spans="1:1" s="427" customFormat="1" ht="12" hidden="1" customHeight="1">
      <c r="A9007" s="426"/>
    </row>
    <row r="9008" spans="1:1" s="427" customFormat="1" ht="12" hidden="1" customHeight="1">
      <c r="A9008" s="426"/>
    </row>
    <row r="9009" spans="1:1" s="427" customFormat="1" ht="12" hidden="1" customHeight="1">
      <c r="A9009" s="426"/>
    </row>
    <row r="9010" spans="1:1" s="427" customFormat="1" ht="12" hidden="1" customHeight="1">
      <c r="A9010" s="426"/>
    </row>
    <row r="9011" spans="1:1" s="427" customFormat="1" ht="12" hidden="1" customHeight="1">
      <c r="A9011" s="426"/>
    </row>
    <row r="9012" spans="1:1" s="427" customFormat="1" ht="12" hidden="1" customHeight="1">
      <c r="A9012" s="426"/>
    </row>
    <row r="9013" spans="1:1" s="427" customFormat="1" ht="12" hidden="1" customHeight="1">
      <c r="A9013" s="426"/>
    </row>
    <row r="9014" spans="1:1" s="427" customFormat="1" ht="12" hidden="1" customHeight="1">
      <c r="A9014" s="426"/>
    </row>
    <row r="9015" spans="1:1" s="427" customFormat="1" ht="12" hidden="1" customHeight="1">
      <c r="A9015" s="426"/>
    </row>
    <row r="9016" spans="1:1" s="427" customFormat="1" ht="12" hidden="1" customHeight="1">
      <c r="A9016" s="426"/>
    </row>
    <row r="9017" spans="1:1" s="427" customFormat="1" ht="12" hidden="1" customHeight="1">
      <c r="A9017" s="426"/>
    </row>
    <row r="9018" spans="1:1" s="427" customFormat="1" ht="12" hidden="1" customHeight="1">
      <c r="A9018" s="426"/>
    </row>
    <row r="9019" spans="1:1" s="427" customFormat="1" ht="12" hidden="1" customHeight="1">
      <c r="A9019" s="426"/>
    </row>
    <row r="9020" spans="1:1" s="427" customFormat="1" ht="12" hidden="1" customHeight="1">
      <c r="A9020" s="426"/>
    </row>
    <row r="9021" spans="1:1" s="427" customFormat="1" ht="12" hidden="1" customHeight="1">
      <c r="A9021" s="426"/>
    </row>
    <row r="9022" spans="1:1" s="427" customFormat="1" ht="12" hidden="1" customHeight="1">
      <c r="A9022" s="426"/>
    </row>
    <row r="9023" spans="1:1" s="427" customFormat="1" ht="12" hidden="1" customHeight="1">
      <c r="A9023" s="426"/>
    </row>
    <row r="9024" spans="1:1" s="427" customFormat="1" ht="12" hidden="1" customHeight="1">
      <c r="A9024" s="426"/>
    </row>
    <row r="9025" spans="1:1" s="427" customFormat="1" ht="12" hidden="1" customHeight="1">
      <c r="A9025" s="426"/>
    </row>
    <row r="9026" spans="1:1" s="427" customFormat="1" ht="12" hidden="1" customHeight="1">
      <c r="A9026" s="426"/>
    </row>
    <row r="9027" spans="1:1" s="427" customFormat="1" ht="12" hidden="1" customHeight="1">
      <c r="A9027" s="426"/>
    </row>
    <row r="9028" spans="1:1" s="427" customFormat="1" ht="12" hidden="1" customHeight="1">
      <c r="A9028" s="426"/>
    </row>
    <row r="9029" spans="1:1" s="427" customFormat="1" ht="12" hidden="1" customHeight="1">
      <c r="A9029" s="426"/>
    </row>
    <row r="9030" spans="1:1" s="427" customFormat="1" ht="12" hidden="1" customHeight="1">
      <c r="A9030" s="426"/>
    </row>
    <row r="9031" spans="1:1" s="427" customFormat="1" ht="12" hidden="1" customHeight="1">
      <c r="A9031" s="426"/>
    </row>
    <row r="9032" spans="1:1" s="427" customFormat="1" ht="12" hidden="1" customHeight="1">
      <c r="A9032" s="426"/>
    </row>
    <row r="9033" spans="1:1" s="427" customFormat="1" ht="12" hidden="1" customHeight="1">
      <c r="A9033" s="426"/>
    </row>
    <row r="9034" spans="1:1" s="427" customFormat="1" ht="12" hidden="1" customHeight="1">
      <c r="A9034" s="426"/>
    </row>
    <row r="9035" spans="1:1" s="427" customFormat="1" ht="12" hidden="1" customHeight="1">
      <c r="A9035" s="426"/>
    </row>
    <row r="9036" spans="1:1" s="427" customFormat="1" ht="12" hidden="1" customHeight="1">
      <c r="A9036" s="426"/>
    </row>
    <row r="9037" spans="1:1" s="427" customFormat="1" ht="12" hidden="1" customHeight="1">
      <c r="A9037" s="426"/>
    </row>
    <row r="9038" spans="1:1" s="427" customFormat="1" ht="12" hidden="1" customHeight="1">
      <c r="A9038" s="426"/>
    </row>
    <row r="9039" spans="1:1" s="427" customFormat="1" ht="12" hidden="1" customHeight="1">
      <c r="A9039" s="426"/>
    </row>
    <row r="9040" spans="1:1" s="427" customFormat="1" ht="12" hidden="1" customHeight="1">
      <c r="A9040" s="426"/>
    </row>
    <row r="9041" spans="1:1" s="427" customFormat="1" ht="12" hidden="1" customHeight="1">
      <c r="A9041" s="426"/>
    </row>
    <row r="9042" spans="1:1" s="427" customFormat="1" ht="12" hidden="1" customHeight="1">
      <c r="A9042" s="426"/>
    </row>
    <row r="9043" spans="1:1" s="427" customFormat="1" ht="12" hidden="1" customHeight="1">
      <c r="A9043" s="426"/>
    </row>
    <row r="9044" spans="1:1" s="427" customFormat="1" ht="12" hidden="1" customHeight="1">
      <c r="A9044" s="426"/>
    </row>
    <row r="9045" spans="1:1" s="427" customFormat="1" ht="12" hidden="1" customHeight="1">
      <c r="A9045" s="426"/>
    </row>
    <row r="9046" spans="1:1" s="427" customFormat="1" ht="12" hidden="1" customHeight="1">
      <c r="A9046" s="426"/>
    </row>
    <row r="9047" spans="1:1" s="427" customFormat="1" ht="12" hidden="1" customHeight="1">
      <c r="A9047" s="426"/>
    </row>
    <row r="9048" spans="1:1" s="427" customFormat="1" ht="12" hidden="1" customHeight="1">
      <c r="A9048" s="426"/>
    </row>
    <row r="9049" spans="1:1" s="427" customFormat="1" ht="12" hidden="1" customHeight="1">
      <c r="A9049" s="426"/>
    </row>
    <row r="9050" spans="1:1" s="427" customFormat="1" ht="12" hidden="1" customHeight="1">
      <c r="A9050" s="426"/>
    </row>
    <row r="9051" spans="1:1" s="427" customFormat="1" ht="12" hidden="1" customHeight="1">
      <c r="A9051" s="426"/>
    </row>
    <row r="9052" spans="1:1" s="427" customFormat="1" ht="12" hidden="1" customHeight="1">
      <c r="A9052" s="426"/>
    </row>
    <row r="9053" spans="1:1" s="427" customFormat="1" ht="12" hidden="1" customHeight="1">
      <c r="A9053" s="426"/>
    </row>
    <row r="9054" spans="1:1" s="427" customFormat="1" ht="12" hidden="1" customHeight="1">
      <c r="A9054" s="426"/>
    </row>
    <row r="9055" spans="1:1" s="427" customFormat="1" ht="12" hidden="1" customHeight="1">
      <c r="A9055" s="426"/>
    </row>
    <row r="9056" spans="1:1" s="427" customFormat="1" ht="12" hidden="1" customHeight="1">
      <c r="A9056" s="426"/>
    </row>
    <row r="9057" spans="1:1" s="427" customFormat="1" ht="12" hidden="1" customHeight="1">
      <c r="A9057" s="426"/>
    </row>
    <row r="9058" spans="1:1" s="427" customFormat="1" ht="12" hidden="1" customHeight="1">
      <c r="A9058" s="426"/>
    </row>
    <row r="9059" spans="1:1" s="427" customFormat="1" ht="12" hidden="1" customHeight="1">
      <c r="A9059" s="426"/>
    </row>
    <row r="9060" spans="1:1" s="427" customFormat="1" ht="12" hidden="1" customHeight="1">
      <c r="A9060" s="426"/>
    </row>
    <row r="9061" spans="1:1" s="427" customFormat="1" ht="12" hidden="1" customHeight="1">
      <c r="A9061" s="426"/>
    </row>
    <row r="9062" spans="1:1" s="427" customFormat="1" ht="12" hidden="1" customHeight="1">
      <c r="A9062" s="426"/>
    </row>
    <row r="9063" spans="1:1" s="427" customFormat="1" ht="12" hidden="1" customHeight="1">
      <c r="A9063" s="426"/>
    </row>
    <row r="9064" spans="1:1" s="427" customFormat="1" ht="12" hidden="1" customHeight="1">
      <c r="A9064" s="426"/>
    </row>
    <row r="9065" spans="1:1" s="427" customFormat="1" ht="12" hidden="1" customHeight="1">
      <c r="A9065" s="426"/>
    </row>
    <row r="9066" spans="1:1" s="427" customFormat="1" ht="12" hidden="1" customHeight="1">
      <c r="A9066" s="426"/>
    </row>
    <row r="9067" spans="1:1" s="427" customFormat="1" ht="12" hidden="1" customHeight="1">
      <c r="A9067" s="426"/>
    </row>
    <row r="9068" spans="1:1" s="427" customFormat="1" ht="12" hidden="1" customHeight="1">
      <c r="A9068" s="426"/>
    </row>
    <row r="9069" spans="1:1" s="427" customFormat="1" ht="12" hidden="1" customHeight="1">
      <c r="A9069" s="426"/>
    </row>
    <row r="9070" spans="1:1" s="427" customFormat="1" ht="12" hidden="1" customHeight="1">
      <c r="A9070" s="426"/>
    </row>
    <row r="9071" spans="1:1" s="427" customFormat="1" ht="12" hidden="1" customHeight="1">
      <c r="A9071" s="426"/>
    </row>
    <row r="9072" spans="1:1" s="427" customFormat="1" ht="12" hidden="1" customHeight="1">
      <c r="A9072" s="426"/>
    </row>
    <row r="9073" spans="1:1" s="427" customFormat="1" ht="12" hidden="1" customHeight="1">
      <c r="A9073" s="426"/>
    </row>
    <row r="9074" spans="1:1" s="427" customFormat="1" ht="12" hidden="1" customHeight="1">
      <c r="A9074" s="426"/>
    </row>
    <row r="9075" spans="1:1" s="427" customFormat="1" ht="12" hidden="1" customHeight="1">
      <c r="A9075" s="426"/>
    </row>
    <row r="9076" spans="1:1" s="427" customFormat="1" ht="12" hidden="1" customHeight="1">
      <c r="A9076" s="426"/>
    </row>
    <row r="9077" spans="1:1" s="427" customFormat="1" ht="12" hidden="1" customHeight="1">
      <c r="A9077" s="426"/>
    </row>
    <row r="9078" spans="1:1" s="427" customFormat="1" ht="12" hidden="1" customHeight="1">
      <c r="A9078" s="426"/>
    </row>
    <row r="9079" spans="1:1" s="427" customFormat="1" ht="12" hidden="1" customHeight="1">
      <c r="A9079" s="426"/>
    </row>
    <row r="9080" spans="1:1" s="427" customFormat="1" ht="12" hidden="1" customHeight="1">
      <c r="A9080" s="426"/>
    </row>
    <row r="9081" spans="1:1" s="427" customFormat="1" ht="12" hidden="1" customHeight="1">
      <c r="A9081" s="426"/>
    </row>
    <row r="9082" spans="1:1" s="427" customFormat="1" ht="12" hidden="1" customHeight="1">
      <c r="A9082" s="426"/>
    </row>
    <row r="9083" spans="1:1" s="427" customFormat="1" ht="12" hidden="1" customHeight="1">
      <c r="A9083" s="426"/>
    </row>
    <row r="9084" spans="1:1" s="427" customFormat="1" ht="12" hidden="1" customHeight="1">
      <c r="A9084" s="426"/>
    </row>
    <row r="9085" spans="1:1" s="427" customFormat="1" ht="12" hidden="1" customHeight="1">
      <c r="A9085" s="426"/>
    </row>
    <row r="9086" spans="1:1" s="427" customFormat="1" ht="12" hidden="1" customHeight="1">
      <c r="A9086" s="426"/>
    </row>
    <row r="9087" spans="1:1" s="427" customFormat="1" ht="12" hidden="1" customHeight="1">
      <c r="A9087" s="426"/>
    </row>
    <row r="9088" spans="1:1" s="427" customFormat="1" ht="12" hidden="1" customHeight="1">
      <c r="A9088" s="426"/>
    </row>
    <row r="9089" spans="1:1" s="427" customFormat="1" ht="12" hidden="1" customHeight="1">
      <c r="A9089" s="426"/>
    </row>
    <row r="9090" spans="1:1" s="427" customFormat="1" ht="12" hidden="1" customHeight="1">
      <c r="A9090" s="426"/>
    </row>
    <row r="9091" spans="1:1" s="427" customFormat="1" ht="12" hidden="1" customHeight="1">
      <c r="A9091" s="426"/>
    </row>
    <row r="9092" spans="1:1" s="427" customFormat="1" ht="12" hidden="1" customHeight="1">
      <c r="A9092" s="426"/>
    </row>
    <row r="9093" spans="1:1" s="427" customFormat="1" ht="12" hidden="1" customHeight="1">
      <c r="A9093" s="426"/>
    </row>
    <row r="9094" spans="1:1" s="427" customFormat="1" ht="12" hidden="1" customHeight="1">
      <c r="A9094" s="426"/>
    </row>
    <row r="9095" spans="1:1" s="427" customFormat="1" ht="12" hidden="1" customHeight="1">
      <c r="A9095" s="426"/>
    </row>
    <row r="9096" spans="1:1" s="427" customFormat="1" ht="12" hidden="1" customHeight="1">
      <c r="A9096" s="426"/>
    </row>
    <row r="9097" spans="1:1" s="427" customFormat="1" ht="12" hidden="1" customHeight="1">
      <c r="A9097" s="426"/>
    </row>
    <row r="9098" spans="1:1" s="427" customFormat="1" ht="12" hidden="1" customHeight="1">
      <c r="A9098" s="426"/>
    </row>
    <row r="9099" spans="1:1" s="427" customFormat="1" ht="12" hidden="1" customHeight="1">
      <c r="A9099" s="426"/>
    </row>
    <row r="9100" spans="1:1" s="427" customFormat="1" ht="12" hidden="1" customHeight="1">
      <c r="A9100" s="426"/>
    </row>
    <row r="9101" spans="1:1" s="427" customFormat="1" ht="12" hidden="1" customHeight="1">
      <c r="A9101" s="426"/>
    </row>
    <row r="9102" spans="1:1" s="427" customFormat="1" ht="12" hidden="1" customHeight="1">
      <c r="A9102" s="426"/>
    </row>
    <row r="9103" spans="1:1" s="427" customFormat="1" ht="12" hidden="1" customHeight="1">
      <c r="A9103" s="426"/>
    </row>
    <row r="9104" spans="1:1" s="427" customFormat="1" ht="12" hidden="1" customHeight="1">
      <c r="A9104" s="426"/>
    </row>
    <row r="9105" spans="1:1" s="427" customFormat="1" ht="12" hidden="1" customHeight="1">
      <c r="A9105" s="426"/>
    </row>
    <row r="9106" spans="1:1" s="427" customFormat="1" ht="12" hidden="1" customHeight="1">
      <c r="A9106" s="426"/>
    </row>
    <row r="9107" spans="1:1" s="427" customFormat="1" ht="12" hidden="1" customHeight="1">
      <c r="A9107" s="426"/>
    </row>
    <row r="9108" spans="1:1" s="427" customFormat="1" ht="12" hidden="1" customHeight="1">
      <c r="A9108" s="426"/>
    </row>
    <row r="9109" spans="1:1" s="427" customFormat="1" ht="12" hidden="1" customHeight="1">
      <c r="A9109" s="426"/>
    </row>
    <row r="9110" spans="1:1" s="427" customFormat="1" ht="12" hidden="1" customHeight="1">
      <c r="A9110" s="426"/>
    </row>
    <row r="9111" spans="1:1" s="427" customFormat="1" ht="12" hidden="1" customHeight="1">
      <c r="A9111" s="426"/>
    </row>
    <row r="9112" spans="1:1" s="427" customFormat="1" ht="12" hidden="1" customHeight="1">
      <c r="A9112" s="426"/>
    </row>
    <row r="9113" spans="1:1" s="427" customFormat="1" ht="12" hidden="1" customHeight="1">
      <c r="A9113" s="426"/>
    </row>
    <row r="9114" spans="1:1" s="427" customFormat="1" ht="12" hidden="1" customHeight="1">
      <c r="A9114" s="426"/>
    </row>
    <row r="9115" spans="1:1" s="427" customFormat="1" ht="12" hidden="1" customHeight="1">
      <c r="A9115" s="426"/>
    </row>
    <row r="9116" spans="1:1" s="427" customFormat="1" ht="12" hidden="1" customHeight="1">
      <c r="A9116" s="426"/>
    </row>
    <row r="9117" spans="1:1" s="427" customFormat="1" ht="12" hidden="1" customHeight="1">
      <c r="A9117" s="426"/>
    </row>
    <row r="9118" spans="1:1" s="427" customFormat="1" ht="12" hidden="1" customHeight="1">
      <c r="A9118" s="426"/>
    </row>
    <row r="9119" spans="1:1" s="427" customFormat="1" ht="12" hidden="1" customHeight="1">
      <c r="A9119" s="426"/>
    </row>
    <row r="9120" spans="1:1" s="427" customFormat="1" ht="12" hidden="1" customHeight="1">
      <c r="A9120" s="426"/>
    </row>
    <row r="9121" spans="1:1" s="427" customFormat="1" ht="12" hidden="1" customHeight="1">
      <c r="A9121" s="426"/>
    </row>
    <row r="9122" spans="1:1" s="427" customFormat="1" ht="12" hidden="1" customHeight="1">
      <c r="A9122" s="426"/>
    </row>
    <row r="9123" spans="1:1" s="427" customFormat="1" ht="12" hidden="1" customHeight="1">
      <c r="A9123" s="426"/>
    </row>
    <row r="9124" spans="1:1" s="427" customFormat="1" ht="12" hidden="1" customHeight="1">
      <c r="A9124" s="426"/>
    </row>
    <row r="9125" spans="1:1" s="427" customFormat="1" ht="12" hidden="1" customHeight="1">
      <c r="A9125" s="426"/>
    </row>
    <row r="9126" spans="1:1" s="427" customFormat="1" ht="12" hidden="1" customHeight="1">
      <c r="A9126" s="426"/>
    </row>
    <row r="9127" spans="1:1" s="427" customFormat="1" ht="12" hidden="1" customHeight="1">
      <c r="A9127" s="426"/>
    </row>
    <row r="9128" spans="1:1" s="427" customFormat="1" ht="12" hidden="1" customHeight="1">
      <c r="A9128" s="426"/>
    </row>
    <row r="9129" spans="1:1" s="427" customFormat="1" ht="12" hidden="1" customHeight="1">
      <c r="A9129" s="426"/>
    </row>
    <row r="9130" spans="1:1" s="427" customFormat="1" ht="12" hidden="1" customHeight="1">
      <c r="A9130" s="426"/>
    </row>
    <row r="9131" spans="1:1" s="427" customFormat="1" ht="12" hidden="1" customHeight="1">
      <c r="A9131" s="426"/>
    </row>
    <row r="9132" spans="1:1" s="427" customFormat="1" ht="12" hidden="1" customHeight="1">
      <c r="A9132" s="426"/>
    </row>
    <row r="9133" spans="1:1" s="427" customFormat="1" ht="12" hidden="1" customHeight="1">
      <c r="A9133" s="426"/>
    </row>
    <row r="9134" spans="1:1" s="427" customFormat="1" ht="12" hidden="1" customHeight="1">
      <c r="A9134" s="426"/>
    </row>
    <row r="9135" spans="1:1" s="427" customFormat="1" ht="12" hidden="1" customHeight="1">
      <c r="A9135" s="426"/>
    </row>
    <row r="9136" spans="1:1" s="427" customFormat="1" ht="12" hidden="1" customHeight="1">
      <c r="A9136" s="426"/>
    </row>
    <row r="9137" spans="1:1" s="427" customFormat="1" ht="12" hidden="1" customHeight="1">
      <c r="A9137" s="426"/>
    </row>
    <row r="9138" spans="1:1" s="427" customFormat="1" ht="12" hidden="1" customHeight="1">
      <c r="A9138" s="426"/>
    </row>
    <row r="9139" spans="1:1" s="427" customFormat="1" ht="12" hidden="1" customHeight="1">
      <c r="A9139" s="426"/>
    </row>
    <row r="9140" spans="1:1" s="427" customFormat="1" ht="12" hidden="1" customHeight="1">
      <c r="A9140" s="426"/>
    </row>
    <row r="9141" spans="1:1" s="427" customFormat="1" ht="12" hidden="1" customHeight="1">
      <c r="A9141" s="426"/>
    </row>
    <row r="9142" spans="1:1" s="427" customFormat="1" ht="12" hidden="1" customHeight="1">
      <c r="A9142" s="426"/>
    </row>
    <row r="9143" spans="1:1" s="427" customFormat="1" ht="12" hidden="1" customHeight="1">
      <c r="A9143" s="426"/>
    </row>
    <row r="9144" spans="1:1" s="427" customFormat="1" ht="12" hidden="1" customHeight="1">
      <c r="A9144" s="426"/>
    </row>
    <row r="9145" spans="1:1" s="427" customFormat="1" ht="12" hidden="1" customHeight="1">
      <c r="A9145" s="426"/>
    </row>
    <row r="9146" spans="1:1" s="427" customFormat="1" ht="12" hidden="1" customHeight="1">
      <c r="A9146" s="426"/>
    </row>
    <row r="9147" spans="1:1" s="427" customFormat="1" ht="12" hidden="1" customHeight="1">
      <c r="A9147" s="426"/>
    </row>
    <row r="9148" spans="1:1" s="427" customFormat="1" ht="12" hidden="1" customHeight="1">
      <c r="A9148" s="426"/>
    </row>
    <row r="9149" spans="1:1" s="427" customFormat="1" ht="12" hidden="1" customHeight="1">
      <c r="A9149" s="426"/>
    </row>
    <row r="9150" spans="1:1" s="427" customFormat="1" ht="12" hidden="1" customHeight="1">
      <c r="A9150" s="426"/>
    </row>
    <row r="9151" spans="1:1" s="427" customFormat="1" ht="12" hidden="1" customHeight="1">
      <c r="A9151" s="426"/>
    </row>
    <row r="9152" spans="1:1" s="427" customFormat="1" ht="12" hidden="1" customHeight="1">
      <c r="A9152" s="426"/>
    </row>
    <row r="9153" spans="1:1" s="427" customFormat="1" ht="12" hidden="1" customHeight="1">
      <c r="A9153" s="426"/>
    </row>
    <row r="9154" spans="1:1" s="427" customFormat="1" ht="12" hidden="1" customHeight="1">
      <c r="A9154" s="426"/>
    </row>
    <row r="9155" spans="1:1" s="427" customFormat="1" ht="12" hidden="1" customHeight="1">
      <c r="A9155" s="426"/>
    </row>
    <row r="9156" spans="1:1" s="427" customFormat="1" ht="12" hidden="1" customHeight="1">
      <c r="A9156" s="426"/>
    </row>
    <row r="9157" spans="1:1" s="427" customFormat="1" ht="12" hidden="1" customHeight="1">
      <c r="A9157" s="426"/>
    </row>
    <row r="9158" spans="1:1" s="427" customFormat="1" ht="12" hidden="1" customHeight="1">
      <c r="A9158" s="426"/>
    </row>
    <row r="9159" spans="1:1" s="427" customFormat="1" ht="12" hidden="1" customHeight="1">
      <c r="A9159" s="426"/>
    </row>
    <row r="9160" spans="1:1" s="427" customFormat="1" ht="12" hidden="1" customHeight="1">
      <c r="A9160" s="426"/>
    </row>
    <row r="9161" spans="1:1" s="427" customFormat="1" ht="12" hidden="1" customHeight="1">
      <c r="A9161" s="426"/>
    </row>
    <row r="9162" spans="1:1" s="427" customFormat="1" ht="12" hidden="1" customHeight="1">
      <c r="A9162" s="426"/>
    </row>
    <row r="9163" spans="1:1" s="427" customFormat="1" ht="12" hidden="1" customHeight="1">
      <c r="A9163" s="426"/>
    </row>
    <row r="9164" spans="1:1" s="427" customFormat="1" ht="12" hidden="1" customHeight="1">
      <c r="A9164" s="426"/>
    </row>
    <row r="9165" spans="1:1" s="427" customFormat="1" ht="12" hidden="1" customHeight="1">
      <c r="A9165" s="426"/>
    </row>
    <row r="9166" spans="1:1" s="427" customFormat="1" ht="12" hidden="1" customHeight="1">
      <c r="A9166" s="426"/>
    </row>
    <row r="9167" spans="1:1" s="427" customFormat="1" ht="12" hidden="1" customHeight="1">
      <c r="A9167" s="426"/>
    </row>
    <row r="9168" spans="1:1" s="427" customFormat="1" ht="12" hidden="1" customHeight="1">
      <c r="A9168" s="426"/>
    </row>
    <row r="9169" spans="1:1" s="427" customFormat="1" ht="12" hidden="1" customHeight="1">
      <c r="A9169" s="426"/>
    </row>
    <row r="9170" spans="1:1" s="427" customFormat="1" ht="12" hidden="1" customHeight="1">
      <c r="A9170" s="426"/>
    </row>
    <row r="9171" spans="1:1" s="427" customFormat="1" ht="12" hidden="1" customHeight="1">
      <c r="A9171" s="426"/>
    </row>
    <row r="9172" spans="1:1" s="427" customFormat="1" ht="12" hidden="1" customHeight="1">
      <c r="A9172" s="426"/>
    </row>
    <row r="9173" spans="1:1" s="427" customFormat="1" ht="12" hidden="1" customHeight="1">
      <c r="A9173" s="426"/>
    </row>
    <row r="9174" spans="1:1" s="427" customFormat="1" ht="12" hidden="1" customHeight="1">
      <c r="A9174" s="426"/>
    </row>
    <row r="9175" spans="1:1" s="427" customFormat="1" ht="12" hidden="1" customHeight="1">
      <c r="A9175" s="426"/>
    </row>
    <row r="9176" spans="1:1" s="427" customFormat="1" ht="12" hidden="1" customHeight="1">
      <c r="A9176" s="426"/>
    </row>
    <row r="9177" spans="1:1" s="427" customFormat="1" ht="12" hidden="1" customHeight="1">
      <c r="A9177" s="426"/>
    </row>
    <row r="9178" spans="1:1" s="427" customFormat="1" ht="12" hidden="1" customHeight="1">
      <c r="A9178" s="426"/>
    </row>
    <row r="9179" spans="1:1" s="427" customFormat="1" ht="12" hidden="1" customHeight="1">
      <c r="A9179" s="426"/>
    </row>
    <row r="9180" spans="1:1" s="427" customFormat="1" ht="12" hidden="1" customHeight="1">
      <c r="A9180" s="426"/>
    </row>
    <row r="9181" spans="1:1" s="427" customFormat="1" ht="12" hidden="1" customHeight="1">
      <c r="A9181" s="426"/>
    </row>
    <row r="9182" spans="1:1" s="427" customFormat="1" ht="12" hidden="1" customHeight="1">
      <c r="A9182" s="426"/>
    </row>
    <row r="9183" spans="1:1" s="427" customFormat="1" ht="12" hidden="1" customHeight="1">
      <c r="A9183" s="426"/>
    </row>
    <row r="9184" spans="1:1" s="427" customFormat="1" ht="12" hidden="1" customHeight="1">
      <c r="A9184" s="426"/>
    </row>
    <row r="9185" spans="1:1" s="427" customFormat="1" ht="12" hidden="1" customHeight="1">
      <c r="A9185" s="426"/>
    </row>
    <row r="9186" spans="1:1" s="427" customFormat="1" ht="12" hidden="1" customHeight="1">
      <c r="A9186" s="426"/>
    </row>
    <row r="9187" spans="1:1" s="427" customFormat="1" ht="12" hidden="1" customHeight="1">
      <c r="A9187" s="426"/>
    </row>
    <row r="9188" spans="1:1" s="427" customFormat="1" ht="12" hidden="1" customHeight="1">
      <c r="A9188" s="426"/>
    </row>
    <row r="9189" spans="1:1" s="427" customFormat="1" ht="12" hidden="1" customHeight="1">
      <c r="A9189" s="426"/>
    </row>
    <row r="9190" spans="1:1" s="427" customFormat="1" ht="12" hidden="1" customHeight="1">
      <c r="A9190" s="426"/>
    </row>
    <row r="9191" spans="1:1" s="427" customFormat="1" ht="12" hidden="1" customHeight="1">
      <c r="A9191" s="426"/>
    </row>
    <row r="9192" spans="1:1" s="427" customFormat="1" ht="12" hidden="1" customHeight="1">
      <c r="A9192" s="426"/>
    </row>
    <row r="9193" spans="1:1" s="427" customFormat="1" ht="12" hidden="1" customHeight="1">
      <c r="A9193" s="426"/>
    </row>
    <row r="9194" spans="1:1" s="427" customFormat="1" ht="12" hidden="1" customHeight="1">
      <c r="A9194" s="426"/>
    </row>
    <row r="9195" spans="1:1" s="427" customFormat="1" ht="12" hidden="1" customHeight="1">
      <c r="A9195" s="426"/>
    </row>
    <row r="9196" spans="1:1" s="427" customFormat="1" ht="12" hidden="1" customHeight="1">
      <c r="A9196" s="426"/>
    </row>
    <row r="9197" spans="1:1" s="427" customFormat="1" ht="12" hidden="1" customHeight="1">
      <c r="A9197" s="426"/>
    </row>
    <row r="9198" spans="1:1" s="427" customFormat="1" ht="12" hidden="1" customHeight="1">
      <c r="A9198" s="426"/>
    </row>
    <row r="9199" spans="1:1" s="427" customFormat="1" ht="12" hidden="1" customHeight="1">
      <c r="A9199" s="426"/>
    </row>
    <row r="9200" spans="1:1" s="427" customFormat="1" ht="12" hidden="1" customHeight="1">
      <c r="A9200" s="426"/>
    </row>
    <row r="9201" spans="1:1" s="427" customFormat="1" ht="12" hidden="1" customHeight="1">
      <c r="A9201" s="426"/>
    </row>
    <row r="9202" spans="1:1" s="427" customFormat="1" ht="12" hidden="1" customHeight="1">
      <c r="A9202" s="426"/>
    </row>
    <row r="9203" spans="1:1" s="427" customFormat="1" ht="12" hidden="1" customHeight="1">
      <c r="A9203" s="426"/>
    </row>
    <row r="9204" spans="1:1" s="427" customFormat="1" ht="12" hidden="1" customHeight="1">
      <c r="A9204" s="426"/>
    </row>
    <row r="9205" spans="1:1" s="427" customFormat="1" ht="12" hidden="1" customHeight="1">
      <c r="A9205" s="426"/>
    </row>
    <row r="9206" spans="1:1" s="427" customFormat="1" ht="12" hidden="1" customHeight="1">
      <c r="A9206" s="426"/>
    </row>
    <row r="9207" spans="1:1" s="427" customFormat="1" ht="12" hidden="1" customHeight="1">
      <c r="A9207" s="426"/>
    </row>
    <row r="9208" spans="1:1" s="427" customFormat="1" ht="12" hidden="1" customHeight="1">
      <c r="A9208" s="426"/>
    </row>
    <row r="9209" spans="1:1" s="427" customFormat="1" ht="12" hidden="1" customHeight="1">
      <c r="A9209" s="426"/>
    </row>
    <row r="9210" spans="1:1" s="427" customFormat="1" ht="12" hidden="1" customHeight="1">
      <c r="A9210" s="426"/>
    </row>
    <row r="9211" spans="1:1" s="427" customFormat="1" ht="12" hidden="1" customHeight="1">
      <c r="A9211" s="426"/>
    </row>
    <row r="9212" spans="1:1" s="427" customFormat="1" ht="12" hidden="1" customHeight="1">
      <c r="A9212" s="426"/>
    </row>
    <row r="9213" spans="1:1" s="427" customFormat="1" ht="12" hidden="1" customHeight="1">
      <c r="A9213" s="426"/>
    </row>
    <row r="9214" spans="1:1" s="427" customFormat="1" ht="12" hidden="1" customHeight="1">
      <c r="A9214" s="426"/>
    </row>
    <row r="9215" spans="1:1" s="427" customFormat="1" ht="12" hidden="1" customHeight="1">
      <c r="A9215" s="426"/>
    </row>
    <row r="9216" spans="1:1" s="427" customFormat="1" ht="12" hidden="1" customHeight="1">
      <c r="A9216" s="426"/>
    </row>
    <row r="9217" spans="1:1" s="427" customFormat="1" ht="12" hidden="1" customHeight="1">
      <c r="A9217" s="426"/>
    </row>
    <row r="9218" spans="1:1" s="427" customFormat="1" ht="12" hidden="1" customHeight="1">
      <c r="A9218" s="426"/>
    </row>
    <row r="9219" spans="1:1" s="427" customFormat="1" ht="12" hidden="1" customHeight="1">
      <c r="A9219" s="426"/>
    </row>
    <row r="9220" spans="1:1" s="427" customFormat="1" ht="12" hidden="1" customHeight="1">
      <c r="A9220" s="426"/>
    </row>
    <row r="9221" spans="1:1" s="427" customFormat="1" ht="12" hidden="1" customHeight="1">
      <c r="A9221" s="426"/>
    </row>
    <row r="9222" spans="1:1" s="427" customFormat="1" ht="12" hidden="1" customHeight="1">
      <c r="A9222" s="426"/>
    </row>
    <row r="9223" spans="1:1" s="427" customFormat="1" ht="12" hidden="1" customHeight="1">
      <c r="A9223" s="426"/>
    </row>
    <row r="9224" spans="1:1" s="427" customFormat="1" ht="12" hidden="1" customHeight="1">
      <c r="A9224" s="426"/>
    </row>
    <row r="9225" spans="1:1" s="427" customFormat="1" ht="12" hidden="1" customHeight="1">
      <c r="A9225" s="426"/>
    </row>
    <row r="9226" spans="1:1" s="427" customFormat="1" ht="12" hidden="1" customHeight="1">
      <c r="A9226" s="426"/>
    </row>
    <row r="9227" spans="1:1" s="427" customFormat="1" ht="12" hidden="1" customHeight="1">
      <c r="A9227" s="426"/>
    </row>
    <row r="9228" spans="1:1" s="427" customFormat="1" ht="12" hidden="1" customHeight="1">
      <c r="A9228" s="426"/>
    </row>
    <row r="9229" spans="1:1" s="427" customFormat="1" ht="12" hidden="1" customHeight="1">
      <c r="A9229" s="426"/>
    </row>
    <row r="9230" spans="1:1" s="427" customFormat="1" ht="12" hidden="1" customHeight="1">
      <c r="A9230" s="426"/>
    </row>
    <row r="9231" spans="1:1" s="427" customFormat="1" ht="12" hidden="1" customHeight="1">
      <c r="A9231" s="426"/>
    </row>
    <row r="9232" spans="1:1" s="427" customFormat="1" ht="12" hidden="1" customHeight="1">
      <c r="A9232" s="426"/>
    </row>
    <row r="9233" spans="1:1" s="427" customFormat="1" ht="12" hidden="1" customHeight="1">
      <c r="A9233" s="426"/>
    </row>
    <row r="9234" spans="1:1" s="427" customFormat="1" ht="12" hidden="1" customHeight="1">
      <c r="A9234" s="426"/>
    </row>
    <row r="9235" spans="1:1" s="427" customFormat="1" ht="12" hidden="1" customHeight="1">
      <c r="A9235" s="426"/>
    </row>
    <row r="9236" spans="1:1" s="427" customFormat="1" ht="12" hidden="1" customHeight="1">
      <c r="A9236" s="426"/>
    </row>
    <row r="9237" spans="1:1" s="427" customFormat="1" ht="12" hidden="1" customHeight="1">
      <c r="A9237" s="426"/>
    </row>
    <row r="9238" spans="1:1" s="427" customFormat="1" ht="12" hidden="1" customHeight="1">
      <c r="A9238" s="426"/>
    </row>
    <row r="9239" spans="1:1" s="427" customFormat="1" ht="12" hidden="1" customHeight="1">
      <c r="A9239" s="426"/>
    </row>
    <row r="9240" spans="1:1" s="427" customFormat="1" ht="12" hidden="1" customHeight="1">
      <c r="A9240" s="426"/>
    </row>
    <row r="9241" spans="1:1" s="427" customFormat="1" ht="12" hidden="1" customHeight="1">
      <c r="A9241" s="426"/>
    </row>
    <row r="9242" spans="1:1" s="427" customFormat="1" ht="12" hidden="1" customHeight="1">
      <c r="A9242" s="426"/>
    </row>
    <row r="9243" spans="1:1" s="427" customFormat="1" ht="12" hidden="1" customHeight="1">
      <c r="A9243" s="426"/>
    </row>
    <row r="9244" spans="1:1" s="427" customFormat="1" ht="12" hidden="1" customHeight="1">
      <c r="A9244" s="426"/>
    </row>
    <row r="9245" spans="1:1" s="427" customFormat="1" ht="12" hidden="1" customHeight="1">
      <c r="A9245" s="426"/>
    </row>
    <row r="9246" spans="1:1" s="427" customFormat="1" ht="12" hidden="1" customHeight="1">
      <c r="A9246" s="426"/>
    </row>
    <row r="9247" spans="1:1" s="427" customFormat="1" ht="12" hidden="1" customHeight="1">
      <c r="A9247" s="426"/>
    </row>
    <row r="9248" spans="1:1" s="427" customFormat="1" ht="12" hidden="1" customHeight="1">
      <c r="A9248" s="426"/>
    </row>
    <row r="9249" spans="1:1" s="427" customFormat="1" ht="12" hidden="1" customHeight="1">
      <c r="A9249" s="426"/>
    </row>
    <row r="9250" spans="1:1" s="427" customFormat="1" ht="12" hidden="1" customHeight="1">
      <c r="A9250" s="426"/>
    </row>
    <row r="9251" spans="1:1" s="427" customFormat="1" ht="12" hidden="1" customHeight="1">
      <c r="A9251" s="426"/>
    </row>
    <row r="9252" spans="1:1" s="427" customFormat="1" ht="12" hidden="1" customHeight="1">
      <c r="A9252" s="426"/>
    </row>
    <row r="9253" spans="1:1" s="427" customFormat="1" ht="12" hidden="1" customHeight="1">
      <c r="A9253" s="426"/>
    </row>
    <row r="9254" spans="1:1" s="427" customFormat="1" ht="12" hidden="1" customHeight="1">
      <c r="A9254" s="426"/>
    </row>
    <row r="9255" spans="1:1" s="427" customFormat="1" ht="12" hidden="1" customHeight="1">
      <c r="A9255" s="426"/>
    </row>
    <row r="9256" spans="1:1" s="427" customFormat="1" ht="12" hidden="1" customHeight="1">
      <c r="A9256" s="426"/>
    </row>
    <row r="9257" spans="1:1" s="427" customFormat="1" ht="12" hidden="1" customHeight="1">
      <c r="A9257" s="426"/>
    </row>
    <row r="9258" spans="1:1" s="427" customFormat="1" ht="12" hidden="1" customHeight="1">
      <c r="A9258" s="426"/>
    </row>
    <row r="9259" spans="1:1" s="427" customFormat="1" ht="12" hidden="1" customHeight="1">
      <c r="A9259" s="426"/>
    </row>
    <row r="9260" spans="1:1" s="427" customFormat="1" ht="12" hidden="1" customHeight="1">
      <c r="A9260" s="426"/>
    </row>
    <row r="9261" spans="1:1" s="427" customFormat="1" ht="12" hidden="1" customHeight="1">
      <c r="A9261" s="426"/>
    </row>
    <row r="9262" spans="1:1" s="427" customFormat="1" ht="12" hidden="1" customHeight="1">
      <c r="A9262" s="426"/>
    </row>
    <row r="9263" spans="1:1" s="427" customFormat="1" ht="12" hidden="1" customHeight="1">
      <c r="A9263" s="426"/>
    </row>
    <row r="9264" spans="1:1" s="427" customFormat="1" ht="12" hidden="1" customHeight="1">
      <c r="A9264" s="426"/>
    </row>
    <row r="9265" spans="1:1" s="427" customFormat="1" ht="12" hidden="1" customHeight="1">
      <c r="A9265" s="426"/>
    </row>
    <row r="9266" spans="1:1" s="427" customFormat="1" ht="12" hidden="1" customHeight="1">
      <c r="A9266" s="426"/>
    </row>
    <row r="9267" spans="1:1" s="427" customFormat="1" ht="12" hidden="1" customHeight="1">
      <c r="A9267" s="426"/>
    </row>
    <row r="9268" spans="1:1" s="427" customFormat="1" ht="12" hidden="1" customHeight="1">
      <c r="A9268" s="426"/>
    </row>
    <row r="9269" spans="1:1" s="427" customFormat="1" ht="12" hidden="1" customHeight="1">
      <c r="A9269" s="426"/>
    </row>
    <row r="9270" spans="1:1" s="427" customFormat="1" ht="12" hidden="1" customHeight="1">
      <c r="A9270" s="426"/>
    </row>
    <row r="9271" spans="1:1" s="427" customFormat="1" ht="12" hidden="1" customHeight="1">
      <c r="A9271" s="426"/>
    </row>
    <row r="9272" spans="1:1" s="427" customFormat="1" ht="12" hidden="1" customHeight="1">
      <c r="A9272" s="426"/>
    </row>
    <row r="9273" spans="1:1" s="427" customFormat="1" ht="12" hidden="1" customHeight="1">
      <c r="A9273" s="426"/>
    </row>
    <row r="9274" spans="1:1" s="427" customFormat="1" ht="12" hidden="1" customHeight="1">
      <c r="A9274" s="426"/>
    </row>
    <row r="9275" spans="1:1" s="427" customFormat="1" ht="12" hidden="1" customHeight="1">
      <c r="A9275" s="426"/>
    </row>
    <row r="9276" spans="1:1" s="427" customFormat="1" ht="12" hidden="1" customHeight="1">
      <c r="A9276" s="426"/>
    </row>
    <row r="9277" spans="1:1" s="427" customFormat="1" ht="12" hidden="1" customHeight="1">
      <c r="A9277" s="426"/>
    </row>
    <row r="9278" spans="1:1" s="427" customFormat="1" ht="12" hidden="1" customHeight="1">
      <c r="A9278" s="426"/>
    </row>
    <row r="9279" spans="1:1" s="427" customFormat="1" ht="12" hidden="1" customHeight="1">
      <c r="A9279" s="426"/>
    </row>
    <row r="9280" spans="1:1" s="427" customFormat="1" ht="12" hidden="1" customHeight="1">
      <c r="A9280" s="426"/>
    </row>
    <row r="9281" spans="1:1" s="427" customFormat="1" ht="12" hidden="1" customHeight="1">
      <c r="A9281" s="426"/>
    </row>
    <row r="9282" spans="1:1" s="427" customFormat="1" ht="12" hidden="1" customHeight="1">
      <c r="A9282" s="426"/>
    </row>
    <row r="9283" spans="1:1" s="427" customFormat="1" ht="12" hidden="1" customHeight="1">
      <c r="A9283" s="426"/>
    </row>
    <row r="9284" spans="1:1" s="427" customFormat="1" ht="12" hidden="1" customHeight="1">
      <c r="A9284" s="426"/>
    </row>
    <row r="9285" spans="1:1" s="427" customFormat="1" ht="12" hidden="1" customHeight="1">
      <c r="A9285" s="426"/>
    </row>
    <row r="9286" spans="1:1" s="427" customFormat="1" ht="12" hidden="1" customHeight="1">
      <c r="A9286" s="426"/>
    </row>
    <row r="9287" spans="1:1" s="427" customFormat="1" ht="12" hidden="1" customHeight="1">
      <c r="A9287" s="426"/>
    </row>
    <row r="9288" spans="1:1" s="427" customFormat="1" ht="12" hidden="1" customHeight="1">
      <c r="A9288" s="426"/>
    </row>
    <row r="9289" spans="1:1" s="427" customFormat="1" ht="12" hidden="1" customHeight="1">
      <c r="A9289" s="426"/>
    </row>
    <row r="9290" spans="1:1" s="427" customFormat="1" ht="12" hidden="1" customHeight="1">
      <c r="A9290" s="426"/>
    </row>
    <row r="9291" spans="1:1" s="427" customFormat="1" ht="12" hidden="1" customHeight="1">
      <c r="A9291" s="426"/>
    </row>
    <row r="9292" spans="1:1" s="427" customFormat="1" ht="12" hidden="1" customHeight="1">
      <c r="A9292" s="426"/>
    </row>
    <row r="9293" spans="1:1" s="427" customFormat="1" ht="12" hidden="1" customHeight="1">
      <c r="A9293" s="426"/>
    </row>
    <row r="9294" spans="1:1" s="427" customFormat="1" ht="12" hidden="1" customHeight="1">
      <c r="A9294" s="426"/>
    </row>
    <row r="9295" spans="1:1" s="427" customFormat="1" ht="12" hidden="1" customHeight="1">
      <c r="A9295" s="426"/>
    </row>
    <row r="9296" spans="1:1" s="427" customFormat="1" ht="12" hidden="1" customHeight="1">
      <c r="A9296" s="426"/>
    </row>
    <row r="9297" spans="1:1" s="427" customFormat="1" ht="12" hidden="1" customHeight="1">
      <c r="A9297" s="426"/>
    </row>
    <row r="9298" spans="1:1" s="427" customFormat="1" ht="12" hidden="1" customHeight="1">
      <c r="A9298" s="426"/>
    </row>
    <row r="9299" spans="1:1" s="427" customFormat="1" ht="12" hidden="1" customHeight="1">
      <c r="A9299" s="426"/>
    </row>
    <row r="9300" spans="1:1" s="427" customFormat="1" ht="12" hidden="1" customHeight="1">
      <c r="A9300" s="426"/>
    </row>
    <row r="9301" spans="1:1" s="427" customFormat="1" ht="12" hidden="1" customHeight="1">
      <c r="A9301" s="426"/>
    </row>
    <row r="9302" spans="1:1" s="427" customFormat="1" ht="12" hidden="1" customHeight="1">
      <c r="A9302" s="426"/>
    </row>
    <row r="9303" spans="1:1" s="427" customFormat="1" ht="12" hidden="1" customHeight="1">
      <c r="A9303" s="426"/>
    </row>
    <row r="9304" spans="1:1" s="427" customFormat="1" ht="12" hidden="1" customHeight="1">
      <c r="A9304" s="426"/>
    </row>
    <row r="9305" spans="1:1" s="427" customFormat="1" ht="12" hidden="1" customHeight="1">
      <c r="A9305" s="426"/>
    </row>
    <row r="9306" spans="1:1" s="427" customFormat="1" ht="12" hidden="1" customHeight="1">
      <c r="A9306" s="426"/>
    </row>
    <row r="9307" spans="1:1" s="427" customFormat="1" ht="12" hidden="1" customHeight="1">
      <c r="A9307" s="426"/>
    </row>
    <row r="9308" spans="1:1" s="427" customFormat="1" ht="12" hidden="1" customHeight="1">
      <c r="A9308" s="426"/>
    </row>
    <row r="9309" spans="1:1" s="427" customFormat="1" ht="12" hidden="1" customHeight="1">
      <c r="A9309" s="426"/>
    </row>
    <row r="9310" spans="1:1" s="427" customFormat="1" ht="12" hidden="1" customHeight="1">
      <c r="A9310" s="426"/>
    </row>
    <row r="9311" spans="1:1" s="427" customFormat="1" ht="12" hidden="1" customHeight="1">
      <c r="A9311" s="426"/>
    </row>
    <row r="9312" spans="1:1" s="427" customFormat="1" ht="12" hidden="1" customHeight="1">
      <c r="A9312" s="426"/>
    </row>
    <row r="9313" spans="1:1" s="427" customFormat="1" ht="12" hidden="1" customHeight="1">
      <c r="A9313" s="426"/>
    </row>
    <row r="9314" spans="1:1" s="427" customFormat="1" ht="12" hidden="1" customHeight="1">
      <c r="A9314" s="426"/>
    </row>
    <row r="9315" spans="1:1" s="427" customFormat="1" ht="12" hidden="1" customHeight="1">
      <c r="A9315" s="426"/>
    </row>
    <row r="9316" spans="1:1" s="427" customFormat="1" ht="12" hidden="1" customHeight="1">
      <c r="A9316" s="426"/>
    </row>
    <row r="9317" spans="1:1" s="427" customFormat="1" ht="12" hidden="1" customHeight="1">
      <c r="A9317" s="426"/>
    </row>
    <row r="9318" spans="1:1" s="427" customFormat="1" ht="12" hidden="1" customHeight="1">
      <c r="A9318" s="426"/>
    </row>
    <row r="9319" spans="1:1" s="427" customFormat="1" ht="12" hidden="1" customHeight="1">
      <c r="A9319" s="426"/>
    </row>
    <row r="9320" spans="1:1" s="427" customFormat="1" ht="12" hidden="1" customHeight="1">
      <c r="A9320" s="426"/>
    </row>
    <row r="9321" spans="1:1" s="427" customFormat="1" ht="12" hidden="1" customHeight="1">
      <c r="A9321" s="426"/>
    </row>
    <row r="9322" spans="1:1" s="427" customFormat="1" ht="12" hidden="1" customHeight="1">
      <c r="A9322" s="426"/>
    </row>
    <row r="9323" spans="1:1" s="427" customFormat="1" ht="12" hidden="1" customHeight="1">
      <c r="A9323" s="426"/>
    </row>
    <row r="9324" spans="1:1" s="427" customFormat="1" ht="12" hidden="1" customHeight="1">
      <c r="A9324" s="426"/>
    </row>
    <row r="9325" spans="1:1" s="427" customFormat="1" ht="12" hidden="1" customHeight="1">
      <c r="A9325" s="426"/>
    </row>
    <row r="9326" spans="1:1" s="427" customFormat="1" ht="12" hidden="1" customHeight="1">
      <c r="A9326" s="426"/>
    </row>
    <row r="9327" spans="1:1" s="427" customFormat="1" ht="12" hidden="1" customHeight="1">
      <c r="A9327" s="426"/>
    </row>
    <row r="9328" spans="1:1" s="427" customFormat="1" ht="12" hidden="1" customHeight="1">
      <c r="A9328" s="426"/>
    </row>
    <row r="9329" spans="1:1" s="427" customFormat="1" ht="12" hidden="1" customHeight="1">
      <c r="A9329" s="426"/>
    </row>
    <row r="9330" spans="1:1" s="427" customFormat="1" ht="12" hidden="1" customHeight="1">
      <c r="A9330" s="426"/>
    </row>
    <row r="9331" spans="1:1" s="427" customFormat="1" ht="12" hidden="1" customHeight="1">
      <c r="A9331" s="426"/>
    </row>
    <row r="9332" spans="1:1" s="427" customFormat="1" ht="12" hidden="1" customHeight="1">
      <c r="A9332" s="426"/>
    </row>
    <row r="9333" spans="1:1" s="427" customFormat="1" ht="12" hidden="1" customHeight="1">
      <c r="A9333" s="426"/>
    </row>
    <row r="9334" spans="1:1" s="427" customFormat="1" ht="12" hidden="1" customHeight="1">
      <c r="A9334" s="426"/>
    </row>
    <row r="9335" spans="1:1" s="427" customFormat="1" ht="12" hidden="1" customHeight="1">
      <c r="A9335" s="426"/>
    </row>
    <row r="9336" spans="1:1" s="427" customFormat="1" ht="12" hidden="1" customHeight="1">
      <c r="A9336" s="426"/>
    </row>
    <row r="9337" spans="1:1" s="427" customFormat="1" ht="12" hidden="1" customHeight="1">
      <c r="A9337" s="426"/>
    </row>
    <row r="9338" spans="1:1" s="427" customFormat="1" ht="12" hidden="1" customHeight="1">
      <c r="A9338" s="426"/>
    </row>
    <row r="9339" spans="1:1" s="427" customFormat="1" ht="12" hidden="1" customHeight="1">
      <c r="A9339" s="426"/>
    </row>
    <row r="9340" spans="1:1" s="427" customFormat="1" ht="12" hidden="1" customHeight="1">
      <c r="A9340" s="426"/>
    </row>
    <row r="9341" spans="1:1" s="427" customFormat="1" ht="12" hidden="1" customHeight="1">
      <c r="A9341" s="426"/>
    </row>
    <row r="9342" spans="1:1" s="427" customFormat="1" ht="12" hidden="1" customHeight="1">
      <c r="A9342" s="426"/>
    </row>
    <row r="9343" spans="1:1" s="427" customFormat="1" ht="12" hidden="1" customHeight="1">
      <c r="A9343" s="426"/>
    </row>
    <row r="9344" spans="1:1" s="427" customFormat="1" ht="12" hidden="1" customHeight="1">
      <c r="A9344" s="426"/>
    </row>
    <row r="9345" spans="1:1" s="427" customFormat="1" ht="12" hidden="1" customHeight="1">
      <c r="A9345" s="426"/>
    </row>
    <row r="9346" spans="1:1" s="427" customFormat="1" ht="12" hidden="1" customHeight="1">
      <c r="A9346" s="426"/>
    </row>
    <row r="9347" spans="1:1" s="427" customFormat="1" ht="12" hidden="1" customHeight="1">
      <c r="A9347" s="426"/>
    </row>
    <row r="9348" spans="1:1" s="427" customFormat="1" ht="12" hidden="1" customHeight="1">
      <c r="A9348" s="426"/>
    </row>
    <row r="9349" spans="1:1" s="427" customFormat="1" ht="12" hidden="1" customHeight="1">
      <c r="A9349" s="426"/>
    </row>
    <row r="9350" spans="1:1" s="427" customFormat="1" ht="12" hidden="1" customHeight="1">
      <c r="A9350" s="426"/>
    </row>
    <row r="9351" spans="1:1" s="427" customFormat="1" ht="12" hidden="1" customHeight="1">
      <c r="A9351" s="426"/>
    </row>
    <row r="9352" spans="1:1" s="427" customFormat="1" ht="12" hidden="1" customHeight="1">
      <c r="A9352" s="426"/>
    </row>
    <row r="9353" spans="1:1" s="427" customFormat="1" ht="12" hidden="1" customHeight="1">
      <c r="A9353" s="426"/>
    </row>
    <row r="9354" spans="1:1" s="427" customFormat="1" ht="12" hidden="1" customHeight="1">
      <c r="A9354" s="426"/>
    </row>
    <row r="9355" spans="1:1" s="427" customFormat="1" ht="12" hidden="1" customHeight="1">
      <c r="A9355" s="426"/>
    </row>
    <row r="9356" spans="1:1" s="427" customFormat="1" ht="12" hidden="1" customHeight="1">
      <c r="A9356" s="426"/>
    </row>
    <row r="9357" spans="1:1" s="427" customFormat="1" ht="12" hidden="1" customHeight="1">
      <c r="A9357" s="426"/>
    </row>
    <row r="9358" spans="1:1" s="427" customFormat="1" ht="12" hidden="1" customHeight="1">
      <c r="A9358" s="426"/>
    </row>
    <row r="9359" spans="1:1" s="427" customFormat="1" ht="12" hidden="1" customHeight="1">
      <c r="A9359" s="426"/>
    </row>
    <row r="9360" spans="1:1" s="427" customFormat="1" ht="12" hidden="1" customHeight="1">
      <c r="A9360" s="426"/>
    </row>
    <row r="9361" spans="1:1" s="427" customFormat="1" ht="12" hidden="1" customHeight="1">
      <c r="A9361" s="426"/>
    </row>
    <row r="9362" spans="1:1" s="427" customFormat="1" ht="12" hidden="1" customHeight="1">
      <c r="A9362" s="426"/>
    </row>
    <row r="9363" spans="1:1" s="427" customFormat="1" ht="12" hidden="1" customHeight="1">
      <c r="A9363" s="426"/>
    </row>
    <row r="9364" spans="1:1" s="427" customFormat="1" ht="12" hidden="1" customHeight="1">
      <c r="A9364" s="426"/>
    </row>
    <row r="9365" spans="1:1" s="427" customFormat="1" ht="12" hidden="1" customHeight="1">
      <c r="A9365" s="426"/>
    </row>
    <row r="9366" spans="1:1" s="427" customFormat="1" ht="12" hidden="1" customHeight="1">
      <c r="A9366" s="426"/>
    </row>
    <row r="9367" spans="1:1" s="427" customFormat="1" ht="12" hidden="1" customHeight="1">
      <c r="A9367" s="426"/>
    </row>
    <row r="9368" spans="1:1" s="427" customFormat="1" ht="12" hidden="1" customHeight="1">
      <c r="A9368" s="426"/>
    </row>
    <row r="9369" spans="1:1" s="427" customFormat="1" ht="12" hidden="1" customHeight="1">
      <c r="A9369" s="426"/>
    </row>
    <row r="9370" spans="1:1" s="427" customFormat="1" ht="12" hidden="1" customHeight="1">
      <c r="A9370" s="426"/>
    </row>
    <row r="9371" spans="1:1" s="427" customFormat="1" ht="12" hidden="1" customHeight="1">
      <c r="A9371" s="426"/>
    </row>
    <row r="9372" spans="1:1" s="427" customFormat="1" ht="12" hidden="1" customHeight="1">
      <c r="A9372" s="426"/>
    </row>
    <row r="9373" spans="1:1" s="427" customFormat="1" ht="12" hidden="1" customHeight="1">
      <c r="A9373" s="426"/>
    </row>
    <row r="9374" spans="1:1" s="427" customFormat="1" ht="12" hidden="1" customHeight="1">
      <c r="A9374" s="426"/>
    </row>
    <row r="9375" spans="1:1" s="427" customFormat="1" ht="12" hidden="1" customHeight="1">
      <c r="A9375" s="426"/>
    </row>
    <row r="9376" spans="1:1" s="427" customFormat="1" ht="12" hidden="1" customHeight="1">
      <c r="A9376" s="426"/>
    </row>
    <row r="9377" spans="1:1" s="427" customFormat="1" ht="12" hidden="1" customHeight="1">
      <c r="A9377" s="426"/>
    </row>
    <row r="9378" spans="1:1" s="427" customFormat="1" ht="12" hidden="1" customHeight="1">
      <c r="A9378" s="426"/>
    </row>
    <row r="9379" spans="1:1" s="427" customFormat="1" ht="12" hidden="1" customHeight="1">
      <c r="A9379" s="426"/>
    </row>
    <row r="9380" spans="1:1" s="427" customFormat="1" ht="12" hidden="1" customHeight="1">
      <c r="A9380" s="426"/>
    </row>
    <row r="9381" spans="1:1" s="427" customFormat="1" ht="12" hidden="1" customHeight="1">
      <c r="A9381" s="426"/>
    </row>
    <row r="9382" spans="1:1" s="427" customFormat="1" ht="12" hidden="1" customHeight="1">
      <c r="A9382" s="426"/>
    </row>
    <row r="9383" spans="1:1" s="427" customFormat="1" ht="12" hidden="1" customHeight="1">
      <c r="A9383" s="426"/>
    </row>
    <row r="9384" spans="1:1" s="427" customFormat="1" ht="12" hidden="1" customHeight="1">
      <c r="A9384" s="426"/>
    </row>
    <row r="9385" spans="1:1" s="427" customFormat="1" ht="12" hidden="1" customHeight="1">
      <c r="A9385" s="426"/>
    </row>
    <row r="9386" spans="1:1" s="427" customFormat="1" ht="12" hidden="1" customHeight="1">
      <c r="A9386" s="426"/>
    </row>
    <row r="9387" spans="1:1" s="427" customFormat="1" ht="12" hidden="1" customHeight="1">
      <c r="A9387" s="426"/>
    </row>
    <row r="9388" spans="1:1" s="427" customFormat="1" ht="12" hidden="1" customHeight="1">
      <c r="A9388" s="426"/>
    </row>
    <row r="9389" spans="1:1" s="427" customFormat="1" ht="12" hidden="1" customHeight="1">
      <c r="A9389" s="426"/>
    </row>
    <row r="9390" spans="1:1" s="427" customFormat="1" ht="12" hidden="1" customHeight="1">
      <c r="A9390" s="426"/>
    </row>
    <row r="9391" spans="1:1" s="427" customFormat="1" ht="12" hidden="1" customHeight="1">
      <c r="A9391" s="426"/>
    </row>
    <row r="9392" spans="1:1" s="427" customFormat="1" ht="12" hidden="1" customHeight="1">
      <c r="A9392" s="426"/>
    </row>
    <row r="9393" spans="1:1" s="427" customFormat="1" ht="12" hidden="1" customHeight="1">
      <c r="A9393" s="426"/>
    </row>
    <row r="9394" spans="1:1" s="427" customFormat="1" ht="12" hidden="1" customHeight="1">
      <c r="A9394" s="426"/>
    </row>
    <row r="9395" spans="1:1" s="427" customFormat="1" ht="12" hidden="1" customHeight="1">
      <c r="A9395" s="426"/>
    </row>
    <row r="9396" spans="1:1" s="427" customFormat="1" ht="12" hidden="1" customHeight="1">
      <c r="A9396" s="426"/>
    </row>
    <row r="9397" spans="1:1" s="427" customFormat="1" ht="12" hidden="1" customHeight="1">
      <c r="A9397" s="426"/>
    </row>
    <row r="9398" spans="1:1" s="427" customFormat="1" ht="12" hidden="1" customHeight="1">
      <c r="A9398" s="426"/>
    </row>
    <row r="9399" spans="1:1" s="427" customFormat="1" ht="12" hidden="1" customHeight="1">
      <c r="A9399" s="426"/>
    </row>
    <row r="9400" spans="1:1" s="427" customFormat="1" ht="12" hidden="1" customHeight="1">
      <c r="A9400" s="426"/>
    </row>
    <row r="9401" spans="1:1" s="427" customFormat="1" ht="12" hidden="1" customHeight="1">
      <c r="A9401" s="426"/>
    </row>
    <row r="9402" spans="1:1" s="427" customFormat="1" ht="12" hidden="1" customHeight="1">
      <c r="A9402" s="426"/>
    </row>
    <row r="9403" spans="1:1" s="427" customFormat="1" ht="12" hidden="1" customHeight="1">
      <c r="A9403" s="426"/>
    </row>
    <row r="9404" spans="1:1" s="427" customFormat="1" ht="12" hidden="1" customHeight="1">
      <c r="A9404" s="426"/>
    </row>
    <row r="9405" spans="1:1" s="427" customFormat="1" ht="12" hidden="1" customHeight="1">
      <c r="A9405" s="426"/>
    </row>
    <row r="9406" spans="1:1" s="427" customFormat="1" ht="12" hidden="1" customHeight="1">
      <c r="A9406" s="426"/>
    </row>
    <row r="9407" spans="1:1" s="427" customFormat="1" ht="12" hidden="1" customHeight="1">
      <c r="A9407" s="426"/>
    </row>
    <row r="9408" spans="1:1" s="427" customFormat="1" ht="12" hidden="1" customHeight="1">
      <c r="A9408" s="426"/>
    </row>
    <row r="9409" spans="1:1" s="427" customFormat="1" ht="12" hidden="1" customHeight="1">
      <c r="A9409" s="426"/>
    </row>
    <row r="9410" spans="1:1" s="427" customFormat="1" ht="12" hidden="1" customHeight="1">
      <c r="A9410" s="426"/>
    </row>
    <row r="9411" spans="1:1" s="427" customFormat="1" ht="12" hidden="1" customHeight="1">
      <c r="A9411" s="426"/>
    </row>
    <row r="9412" spans="1:1" s="427" customFormat="1" ht="12" hidden="1" customHeight="1">
      <c r="A9412" s="426"/>
    </row>
    <row r="9413" spans="1:1" s="427" customFormat="1" ht="12" hidden="1" customHeight="1">
      <c r="A9413" s="426"/>
    </row>
    <row r="9414" spans="1:1" s="427" customFormat="1" ht="12" hidden="1" customHeight="1">
      <c r="A9414" s="426"/>
    </row>
    <row r="9415" spans="1:1" s="427" customFormat="1" ht="12" hidden="1" customHeight="1">
      <c r="A9415" s="426"/>
    </row>
    <row r="9416" spans="1:1" s="427" customFormat="1" ht="12" hidden="1" customHeight="1">
      <c r="A9416" s="426"/>
    </row>
    <row r="9417" spans="1:1" s="427" customFormat="1" ht="12" hidden="1" customHeight="1">
      <c r="A9417" s="426"/>
    </row>
    <row r="9418" spans="1:1" s="427" customFormat="1" ht="12" hidden="1" customHeight="1">
      <c r="A9418" s="426"/>
    </row>
    <row r="9419" spans="1:1" s="427" customFormat="1" ht="12" hidden="1" customHeight="1">
      <c r="A9419" s="426"/>
    </row>
    <row r="9420" spans="1:1" s="427" customFormat="1" ht="12" hidden="1" customHeight="1">
      <c r="A9420" s="426"/>
    </row>
    <row r="9421" spans="1:1" s="427" customFormat="1" ht="12" hidden="1" customHeight="1">
      <c r="A9421" s="426"/>
    </row>
    <row r="9422" spans="1:1" s="427" customFormat="1" ht="12" hidden="1" customHeight="1">
      <c r="A9422" s="426"/>
    </row>
    <row r="9423" spans="1:1" s="427" customFormat="1" ht="12" hidden="1" customHeight="1">
      <c r="A9423" s="426"/>
    </row>
    <row r="9424" spans="1:1" s="427" customFormat="1" ht="12" hidden="1" customHeight="1">
      <c r="A9424" s="426"/>
    </row>
    <row r="9425" spans="1:1" s="427" customFormat="1" ht="12" hidden="1" customHeight="1">
      <c r="A9425" s="426"/>
    </row>
    <row r="9426" spans="1:1" s="427" customFormat="1" ht="12" hidden="1" customHeight="1">
      <c r="A9426" s="426"/>
    </row>
    <row r="9427" spans="1:1" s="427" customFormat="1" ht="12" hidden="1" customHeight="1">
      <c r="A9427" s="426"/>
    </row>
    <row r="9428" spans="1:1" s="427" customFormat="1" ht="12" hidden="1" customHeight="1">
      <c r="A9428" s="426"/>
    </row>
    <row r="9429" spans="1:1" s="427" customFormat="1" ht="12" hidden="1" customHeight="1">
      <c r="A9429" s="426"/>
    </row>
    <row r="9430" spans="1:1" s="427" customFormat="1" ht="12" hidden="1" customHeight="1">
      <c r="A9430" s="426"/>
    </row>
    <row r="9431" spans="1:1" s="427" customFormat="1" ht="12" hidden="1" customHeight="1">
      <c r="A9431" s="426"/>
    </row>
    <row r="9432" spans="1:1" s="427" customFormat="1" ht="12" hidden="1" customHeight="1">
      <c r="A9432" s="426"/>
    </row>
    <row r="9433" spans="1:1" s="427" customFormat="1" ht="12" hidden="1" customHeight="1">
      <c r="A9433" s="426"/>
    </row>
    <row r="9434" spans="1:1" s="427" customFormat="1" ht="12" hidden="1" customHeight="1">
      <c r="A9434" s="426"/>
    </row>
    <row r="9435" spans="1:1" s="427" customFormat="1" ht="12" hidden="1" customHeight="1">
      <c r="A9435" s="426"/>
    </row>
    <row r="9436" spans="1:1" s="427" customFormat="1" ht="12" hidden="1" customHeight="1">
      <c r="A9436" s="426"/>
    </row>
    <row r="9437" spans="1:1" s="427" customFormat="1" ht="12" hidden="1" customHeight="1">
      <c r="A9437" s="426"/>
    </row>
    <row r="9438" spans="1:1" s="427" customFormat="1" ht="12" hidden="1" customHeight="1">
      <c r="A9438" s="426"/>
    </row>
    <row r="9439" spans="1:1" s="427" customFormat="1" ht="12" hidden="1" customHeight="1">
      <c r="A9439" s="426"/>
    </row>
    <row r="9440" spans="1:1" s="427" customFormat="1" ht="12" hidden="1" customHeight="1">
      <c r="A9440" s="426"/>
    </row>
    <row r="9441" spans="1:1" s="427" customFormat="1" ht="12" hidden="1" customHeight="1">
      <c r="A9441" s="426"/>
    </row>
    <row r="9442" spans="1:1" s="427" customFormat="1" ht="12" hidden="1" customHeight="1">
      <c r="A9442" s="426"/>
    </row>
    <row r="9443" spans="1:1" s="427" customFormat="1" ht="12" hidden="1" customHeight="1">
      <c r="A9443" s="426"/>
    </row>
    <row r="9444" spans="1:1" s="427" customFormat="1" ht="12" hidden="1" customHeight="1">
      <c r="A9444" s="426"/>
    </row>
    <row r="9445" spans="1:1" s="427" customFormat="1" ht="12" hidden="1" customHeight="1">
      <c r="A9445" s="426"/>
    </row>
    <row r="9446" spans="1:1" s="427" customFormat="1" ht="12" hidden="1" customHeight="1">
      <c r="A9446" s="426"/>
    </row>
    <row r="9447" spans="1:1" s="427" customFormat="1" ht="12" hidden="1" customHeight="1">
      <c r="A9447" s="426"/>
    </row>
    <row r="9448" spans="1:1" s="427" customFormat="1" ht="12" hidden="1" customHeight="1">
      <c r="A9448" s="426"/>
    </row>
    <row r="9449" spans="1:1" s="427" customFormat="1" ht="12" hidden="1" customHeight="1">
      <c r="A9449" s="426"/>
    </row>
    <row r="9450" spans="1:1" s="427" customFormat="1" ht="12" hidden="1" customHeight="1">
      <c r="A9450" s="426"/>
    </row>
    <row r="9451" spans="1:1" s="427" customFormat="1" ht="12" hidden="1" customHeight="1">
      <c r="A9451" s="426"/>
    </row>
    <row r="9452" spans="1:1" s="427" customFormat="1" ht="12" hidden="1" customHeight="1">
      <c r="A9452" s="426"/>
    </row>
    <row r="9453" spans="1:1" s="427" customFormat="1" ht="12" hidden="1" customHeight="1">
      <c r="A9453" s="426"/>
    </row>
    <row r="9454" spans="1:1" s="427" customFormat="1" ht="12" hidden="1" customHeight="1">
      <c r="A9454" s="426"/>
    </row>
    <row r="9455" spans="1:1" s="427" customFormat="1" ht="12" hidden="1" customHeight="1">
      <c r="A9455" s="426"/>
    </row>
    <row r="9456" spans="1:1" s="427" customFormat="1" ht="12" hidden="1" customHeight="1">
      <c r="A9456" s="426"/>
    </row>
    <row r="9457" spans="1:1" s="427" customFormat="1" ht="12" hidden="1" customHeight="1">
      <c r="A9457" s="426"/>
    </row>
    <row r="9458" spans="1:1" s="427" customFormat="1" ht="12" hidden="1" customHeight="1">
      <c r="A9458" s="426"/>
    </row>
    <row r="9459" spans="1:1" s="427" customFormat="1" ht="12" hidden="1" customHeight="1">
      <c r="A9459" s="426"/>
    </row>
    <row r="9460" spans="1:1" s="427" customFormat="1" ht="12" hidden="1" customHeight="1">
      <c r="A9460" s="426"/>
    </row>
    <row r="9461" spans="1:1" s="427" customFormat="1" ht="12" hidden="1" customHeight="1">
      <c r="A9461" s="426"/>
    </row>
    <row r="9462" spans="1:1" s="427" customFormat="1" ht="12" hidden="1" customHeight="1">
      <c r="A9462" s="426"/>
    </row>
    <row r="9463" spans="1:1" s="427" customFormat="1" ht="12" hidden="1" customHeight="1">
      <c r="A9463" s="426"/>
    </row>
    <row r="9464" spans="1:1" s="427" customFormat="1" ht="12" hidden="1" customHeight="1">
      <c r="A9464" s="426"/>
    </row>
    <row r="9465" spans="1:1" s="427" customFormat="1" ht="12" hidden="1" customHeight="1">
      <c r="A9465" s="426"/>
    </row>
    <row r="9466" spans="1:1" s="427" customFormat="1" ht="12" hidden="1" customHeight="1">
      <c r="A9466" s="426"/>
    </row>
    <row r="9467" spans="1:1" s="427" customFormat="1" ht="12" hidden="1" customHeight="1">
      <c r="A9467" s="426"/>
    </row>
    <row r="9468" spans="1:1" s="427" customFormat="1" ht="12" hidden="1" customHeight="1">
      <c r="A9468" s="426"/>
    </row>
    <row r="9469" spans="1:1" s="427" customFormat="1" ht="12" hidden="1" customHeight="1">
      <c r="A9469" s="426"/>
    </row>
    <row r="9470" spans="1:1" s="427" customFormat="1" ht="12" hidden="1" customHeight="1">
      <c r="A9470" s="426"/>
    </row>
    <row r="9471" spans="1:1" s="427" customFormat="1" ht="12" hidden="1" customHeight="1">
      <c r="A9471" s="426"/>
    </row>
    <row r="9472" spans="1:1" s="427" customFormat="1" ht="12" hidden="1" customHeight="1">
      <c r="A9472" s="426"/>
    </row>
    <row r="9473" spans="1:1" s="427" customFormat="1" ht="12" hidden="1" customHeight="1">
      <c r="A9473" s="426"/>
    </row>
    <row r="9474" spans="1:1" s="427" customFormat="1" ht="12" hidden="1" customHeight="1">
      <c r="A9474" s="426"/>
    </row>
    <row r="9475" spans="1:1" s="427" customFormat="1" ht="12" hidden="1" customHeight="1">
      <c r="A9475" s="426"/>
    </row>
    <row r="9476" spans="1:1" s="427" customFormat="1" ht="12" hidden="1" customHeight="1">
      <c r="A9476" s="426"/>
    </row>
    <row r="9477" spans="1:1" s="427" customFormat="1" ht="12" hidden="1" customHeight="1">
      <c r="A9477" s="426"/>
    </row>
    <row r="9478" spans="1:1" s="427" customFormat="1" ht="12" hidden="1" customHeight="1">
      <c r="A9478" s="426"/>
    </row>
    <row r="9479" spans="1:1" s="427" customFormat="1" ht="12" hidden="1" customHeight="1">
      <c r="A9479" s="426"/>
    </row>
    <row r="9480" spans="1:1" s="427" customFormat="1" ht="12" hidden="1" customHeight="1">
      <c r="A9480" s="426"/>
    </row>
    <row r="9481" spans="1:1" s="427" customFormat="1" ht="12" hidden="1" customHeight="1">
      <c r="A9481" s="426"/>
    </row>
    <row r="9482" spans="1:1" s="427" customFormat="1" ht="12" hidden="1" customHeight="1">
      <c r="A9482" s="426"/>
    </row>
    <row r="9483" spans="1:1" s="427" customFormat="1" ht="12" hidden="1" customHeight="1">
      <c r="A9483" s="426"/>
    </row>
    <row r="9484" spans="1:1" s="427" customFormat="1" ht="12" hidden="1" customHeight="1">
      <c r="A9484" s="426"/>
    </row>
    <row r="9485" spans="1:1" s="427" customFormat="1" ht="12" hidden="1" customHeight="1">
      <c r="A9485" s="426"/>
    </row>
    <row r="9486" spans="1:1" s="427" customFormat="1" ht="12" hidden="1" customHeight="1">
      <c r="A9486" s="426"/>
    </row>
    <row r="9487" spans="1:1" s="427" customFormat="1" ht="12" hidden="1" customHeight="1">
      <c r="A9487" s="426"/>
    </row>
    <row r="9488" spans="1:1" s="427" customFormat="1" ht="12" hidden="1" customHeight="1">
      <c r="A9488" s="426"/>
    </row>
    <row r="9489" spans="1:1" s="427" customFormat="1" ht="12" hidden="1" customHeight="1">
      <c r="A9489" s="426"/>
    </row>
    <row r="9490" spans="1:1" s="427" customFormat="1" ht="12" hidden="1" customHeight="1">
      <c r="A9490" s="426"/>
    </row>
    <row r="9491" spans="1:1" s="427" customFormat="1" ht="12" hidden="1" customHeight="1">
      <c r="A9491" s="426"/>
    </row>
    <row r="9492" spans="1:1" s="427" customFormat="1" ht="12" hidden="1" customHeight="1">
      <c r="A9492" s="426"/>
    </row>
    <row r="9493" spans="1:1" s="427" customFormat="1" ht="12" hidden="1" customHeight="1">
      <c r="A9493" s="426"/>
    </row>
    <row r="9494" spans="1:1" s="427" customFormat="1" ht="12" hidden="1" customHeight="1">
      <c r="A9494" s="426"/>
    </row>
    <row r="9495" spans="1:1" s="427" customFormat="1" ht="12" hidden="1" customHeight="1">
      <c r="A9495" s="426"/>
    </row>
    <row r="9496" spans="1:1" s="427" customFormat="1" ht="12" hidden="1" customHeight="1">
      <c r="A9496" s="426"/>
    </row>
    <row r="9497" spans="1:1" s="427" customFormat="1" ht="12" hidden="1" customHeight="1">
      <c r="A9497" s="426"/>
    </row>
    <row r="9498" spans="1:1" s="427" customFormat="1" ht="12" hidden="1" customHeight="1">
      <c r="A9498" s="426"/>
    </row>
    <row r="9499" spans="1:1" s="427" customFormat="1" ht="12" hidden="1" customHeight="1">
      <c r="A9499" s="426"/>
    </row>
    <row r="9500" spans="1:1" s="427" customFormat="1" ht="12" hidden="1" customHeight="1">
      <c r="A9500" s="426"/>
    </row>
    <row r="9501" spans="1:1" s="427" customFormat="1" ht="12" hidden="1" customHeight="1">
      <c r="A9501" s="426"/>
    </row>
    <row r="9502" spans="1:1" s="427" customFormat="1" ht="12" hidden="1" customHeight="1">
      <c r="A9502" s="426"/>
    </row>
    <row r="9503" spans="1:1" s="427" customFormat="1" ht="12" hidden="1" customHeight="1">
      <c r="A9503" s="426"/>
    </row>
    <row r="9504" spans="1:1" s="427" customFormat="1" ht="12" hidden="1" customHeight="1">
      <c r="A9504" s="426"/>
    </row>
    <row r="9505" spans="1:1" s="427" customFormat="1" ht="12" hidden="1" customHeight="1">
      <c r="A9505" s="426"/>
    </row>
    <row r="9506" spans="1:1" s="427" customFormat="1" ht="12" hidden="1" customHeight="1">
      <c r="A9506" s="426"/>
    </row>
    <row r="9507" spans="1:1" s="427" customFormat="1" ht="12" hidden="1" customHeight="1">
      <c r="A9507" s="426"/>
    </row>
    <row r="9508" spans="1:1" s="427" customFormat="1" ht="12" hidden="1" customHeight="1">
      <c r="A9508" s="426"/>
    </row>
    <row r="9509" spans="1:1" s="427" customFormat="1" ht="12" hidden="1" customHeight="1">
      <c r="A9509" s="426"/>
    </row>
    <row r="9510" spans="1:1" s="427" customFormat="1" ht="12" hidden="1" customHeight="1">
      <c r="A9510" s="426"/>
    </row>
    <row r="9511" spans="1:1" s="427" customFormat="1" ht="12" hidden="1" customHeight="1">
      <c r="A9511" s="426"/>
    </row>
    <row r="9512" spans="1:1" s="427" customFormat="1" ht="12" hidden="1" customHeight="1">
      <c r="A9512" s="426"/>
    </row>
    <row r="9513" spans="1:1" s="427" customFormat="1" ht="12" hidden="1" customHeight="1">
      <c r="A9513" s="426"/>
    </row>
    <row r="9514" spans="1:1" s="427" customFormat="1" ht="12" hidden="1" customHeight="1">
      <c r="A9514" s="426"/>
    </row>
    <row r="9515" spans="1:1" s="427" customFormat="1" ht="12" hidden="1" customHeight="1">
      <c r="A9515" s="426"/>
    </row>
    <row r="9516" spans="1:1" s="427" customFormat="1" ht="12" hidden="1" customHeight="1">
      <c r="A9516" s="426"/>
    </row>
    <row r="9517" spans="1:1" s="427" customFormat="1" ht="12" hidden="1" customHeight="1">
      <c r="A9517" s="426"/>
    </row>
    <row r="9518" spans="1:1" s="427" customFormat="1" ht="12" hidden="1" customHeight="1">
      <c r="A9518" s="426"/>
    </row>
    <row r="9519" spans="1:1" s="427" customFormat="1" ht="12" hidden="1" customHeight="1">
      <c r="A9519" s="426"/>
    </row>
    <row r="9520" spans="1:1" s="427" customFormat="1" ht="12" hidden="1" customHeight="1">
      <c r="A9520" s="426"/>
    </row>
    <row r="9521" spans="1:1" s="427" customFormat="1" ht="12" hidden="1" customHeight="1">
      <c r="A9521" s="426"/>
    </row>
    <row r="9522" spans="1:1" s="427" customFormat="1" ht="12" hidden="1" customHeight="1">
      <c r="A9522" s="426"/>
    </row>
    <row r="9523" spans="1:1" s="427" customFormat="1" ht="12" hidden="1" customHeight="1">
      <c r="A9523" s="426"/>
    </row>
    <row r="9524" spans="1:1" s="427" customFormat="1" ht="12" hidden="1" customHeight="1">
      <c r="A9524" s="426"/>
    </row>
    <row r="9525" spans="1:1" s="427" customFormat="1" ht="12" hidden="1" customHeight="1">
      <c r="A9525" s="426"/>
    </row>
    <row r="9526" spans="1:1" s="427" customFormat="1" ht="12" hidden="1" customHeight="1">
      <c r="A9526" s="426"/>
    </row>
    <row r="9527" spans="1:1" s="427" customFormat="1" ht="12" hidden="1" customHeight="1">
      <c r="A9527" s="426"/>
    </row>
    <row r="9528" spans="1:1" s="427" customFormat="1" ht="12" hidden="1" customHeight="1">
      <c r="A9528" s="426"/>
    </row>
    <row r="9529" spans="1:1" s="427" customFormat="1" ht="12" hidden="1" customHeight="1">
      <c r="A9529" s="426"/>
    </row>
    <row r="9530" spans="1:1" s="427" customFormat="1" ht="12" hidden="1" customHeight="1">
      <c r="A9530" s="426"/>
    </row>
    <row r="9531" spans="1:1" s="427" customFormat="1" ht="12" hidden="1" customHeight="1">
      <c r="A9531" s="426"/>
    </row>
    <row r="9532" spans="1:1" s="427" customFormat="1" ht="12" hidden="1" customHeight="1">
      <c r="A9532" s="426"/>
    </row>
    <row r="9533" spans="1:1" s="427" customFormat="1" ht="12" hidden="1" customHeight="1">
      <c r="A9533" s="426"/>
    </row>
    <row r="9534" spans="1:1" s="427" customFormat="1" ht="12" hidden="1" customHeight="1">
      <c r="A9534" s="426"/>
    </row>
    <row r="9535" spans="1:1" s="427" customFormat="1" ht="12" hidden="1" customHeight="1">
      <c r="A9535" s="426"/>
    </row>
    <row r="9536" spans="1:1" s="427" customFormat="1" ht="12" hidden="1" customHeight="1">
      <c r="A9536" s="426"/>
    </row>
    <row r="9537" spans="1:1" s="427" customFormat="1" ht="12" hidden="1" customHeight="1">
      <c r="A9537" s="426"/>
    </row>
    <row r="9538" spans="1:1" s="427" customFormat="1" ht="12" hidden="1" customHeight="1">
      <c r="A9538" s="426"/>
    </row>
    <row r="9539" spans="1:1" s="427" customFormat="1" ht="12" hidden="1" customHeight="1">
      <c r="A9539" s="426"/>
    </row>
    <row r="9540" spans="1:1" s="427" customFormat="1" ht="12" hidden="1" customHeight="1">
      <c r="A9540" s="426"/>
    </row>
    <row r="9541" spans="1:1" s="427" customFormat="1" ht="12" hidden="1" customHeight="1">
      <c r="A9541" s="426"/>
    </row>
    <row r="9542" spans="1:1" s="427" customFormat="1" ht="12" hidden="1" customHeight="1">
      <c r="A9542" s="426"/>
    </row>
    <row r="9543" spans="1:1" s="427" customFormat="1" ht="12" hidden="1" customHeight="1">
      <c r="A9543" s="426"/>
    </row>
    <row r="9544" spans="1:1" s="427" customFormat="1" ht="12" hidden="1" customHeight="1">
      <c r="A9544" s="426"/>
    </row>
    <row r="9545" spans="1:1" s="427" customFormat="1" ht="12" hidden="1" customHeight="1">
      <c r="A9545" s="426"/>
    </row>
    <row r="9546" spans="1:1" s="427" customFormat="1" ht="12" hidden="1" customHeight="1">
      <c r="A9546" s="426"/>
    </row>
    <row r="9547" spans="1:1" s="427" customFormat="1" ht="12" hidden="1" customHeight="1">
      <c r="A9547" s="426"/>
    </row>
    <row r="9548" spans="1:1" s="427" customFormat="1" ht="12" hidden="1" customHeight="1">
      <c r="A9548" s="426"/>
    </row>
    <row r="9549" spans="1:1" s="427" customFormat="1" ht="12" hidden="1" customHeight="1">
      <c r="A9549" s="426"/>
    </row>
    <row r="9550" spans="1:1" s="427" customFormat="1" ht="12" hidden="1" customHeight="1">
      <c r="A9550" s="426"/>
    </row>
    <row r="9551" spans="1:1" s="427" customFormat="1" ht="12" hidden="1" customHeight="1">
      <c r="A9551" s="426"/>
    </row>
    <row r="9552" spans="1:1" s="427" customFormat="1" ht="12" hidden="1" customHeight="1">
      <c r="A9552" s="426"/>
    </row>
    <row r="9553" spans="1:1" s="427" customFormat="1" ht="12" hidden="1" customHeight="1">
      <c r="A9553" s="426"/>
    </row>
    <row r="9554" spans="1:1" s="427" customFormat="1" ht="12" hidden="1" customHeight="1">
      <c r="A9554" s="426"/>
    </row>
    <row r="9555" spans="1:1" s="427" customFormat="1" ht="12" hidden="1" customHeight="1">
      <c r="A9555" s="426"/>
    </row>
    <row r="9556" spans="1:1" s="427" customFormat="1" ht="12" hidden="1" customHeight="1">
      <c r="A9556" s="426"/>
    </row>
    <row r="9557" spans="1:1" s="427" customFormat="1" ht="12" hidden="1" customHeight="1">
      <c r="A9557" s="426"/>
    </row>
    <row r="9558" spans="1:1" s="427" customFormat="1" ht="12" hidden="1" customHeight="1">
      <c r="A9558" s="426"/>
    </row>
    <row r="9559" spans="1:1" s="427" customFormat="1" ht="12" hidden="1" customHeight="1">
      <c r="A9559" s="426"/>
    </row>
    <row r="9560" spans="1:1" s="427" customFormat="1" ht="12" hidden="1" customHeight="1">
      <c r="A9560" s="426"/>
    </row>
    <row r="9561" spans="1:1" s="427" customFormat="1" ht="12" hidden="1" customHeight="1">
      <c r="A9561" s="426"/>
    </row>
    <row r="9562" spans="1:1" s="427" customFormat="1" ht="12" hidden="1" customHeight="1">
      <c r="A9562" s="426"/>
    </row>
    <row r="9563" spans="1:1" s="427" customFormat="1" ht="12" hidden="1" customHeight="1">
      <c r="A9563" s="426"/>
    </row>
    <row r="9564" spans="1:1" s="427" customFormat="1" ht="12" hidden="1" customHeight="1">
      <c r="A9564" s="426"/>
    </row>
    <row r="9565" spans="1:1" s="427" customFormat="1" ht="12" hidden="1" customHeight="1">
      <c r="A9565" s="426"/>
    </row>
    <row r="9566" spans="1:1" s="427" customFormat="1" ht="12" hidden="1" customHeight="1">
      <c r="A9566" s="426"/>
    </row>
    <row r="9567" spans="1:1" s="427" customFormat="1" ht="12" hidden="1" customHeight="1">
      <c r="A9567" s="426"/>
    </row>
    <row r="9568" spans="1:1" s="427" customFormat="1" ht="12" hidden="1" customHeight="1">
      <c r="A9568" s="426"/>
    </row>
    <row r="9569" spans="1:1" s="427" customFormat="1" ht="12" hidden="1" customHeight="1">
      <c r="A9569" s="426"/>
    </row>
    <row r="9570" spans="1:1" s="427" customFormat="1" ht="12" hidden="1" customHeight="1">
      <c r="A9570" s="426"/>
    </row>
    <row r="9571" spans="1:1" s="427" customFormat="1" ht="12" hidden="1" customHeight="1">
      <c r="A9571" s="426"/>
    </row>
    <row r="9572" spans="1:1" s="427" customFormat="1" ht="12" hidden="1" customHeight="1">
      <c r="A9572" s="426"/>
    </row>
    <row r="9573" spans="1:1" s="427" customFormat="1" ht="12" hidden="1" customHeight="1">
      <c r="A9573" s="426"/>
    </row>
    <row r="9574" spans="1:1" s="427" customFormat="1" ht="12" hidden="1" customHeight="1">
      <c r="A9574" s="426"/>
    </row>
    <row r="9575" spans="1:1" s="427" customFormat="1" ht="12" hidden="1" customHeight="1">
      <c r="A9575" s="426"/>
    </row>
    <row r="9576" spans="1:1" s="427" customFormat="1" ht="12" hidden="1" customHeight="1">
      <c r="A9576" s="426"/>
    </row>
    <row r="9577" spans="1:1" s="427" customFormat="1" ht="12" hidden="1" customHeight="1">
      <c r="A9577" s="426"/>
    </row>
    <row r="9578" spans="1:1" s="427" customFormat="1" ht="12" hidden="1" customHeight="1">
      <c r="A9578" s="426"/>
    </row>
    <row r="9579" spans="1:1" s="427" customFormat="1" ht="12" hidden="1" customHeight="1">
      <c r="A9579" s="426"/>
    </row>
    <row r="9580" spans="1:1" s="427" customFormat="1" ht="12" hidden="1" customHeight="1">
      <c r="A9580" s="426"/>
    </row>
    <row r="9581" spans="1:1" s="427" customFormat="1" ht="12" hidden="1" customHeight="1">
      <c r="A9581" s="426"/>
    </row>
    <row r="9582" spans="1:1" s="427" customFormat="1" ht="12" hidden="1" customHeight="1">
      <c r="A9582" s="426"/>
    </row>
    <row r="9583" spans="1:1" s="427" customFormat="1" ht="12" hidden="1" customHeight="1">
      <c r="A9583" s="426"/>
    </row>
    <row r="9584" spans="1:1" s="427" customFormat="1" ht="12" hidden="1" customHeight="1">
      <c r="A9584" s="426"/>
    </row>
    <row r="9585" spans="1:1" s="427" customFormat="1" ht="12" hidden="1" customHeight="1">
      <c r="A9585" s="426"/>
    </row>
    <row r="9586" spans="1:1" s="427" customFormat="1" ht="12" hidden="1" customHeight="1">
      <c r="A9586" s="426"/>
    </row>
    <row r="9587" spans="1:1" s="427" customFormat="1" ht="12" hidden="1" customHeight="1">
      <c r="A9587" s="426"/>
    </row>
    <row r="9588" spans="1:1" s="427" customFormat="1" ht="12" hidden="1" customHeight="1">
      <c r="A9588" s="426"/>
    </row>
    <row r="9589" spans="1:1" s="427" customFormat="1" ht="12" hidden="1" customHeight="1">
      <c r="A9589" s="426"/>
    </row>
    <row r="9590" spans="1:1" s="427" customFormat="1" ht="12" hidden="1" customHeight="1">
      <c r="A9590" s="426"/>
    </row>
    <row r="9591" spans="1:1" s="427" customFormat="1" ht="12" hidden="1" customHeight="1">
      <c r="A9591" s="426"/>
    </row>
    <row r="9592" spans="1:1" s="427" customFormat="1" ht="12" hidden="1" customHeight="1">
      <c r="A9592" s="426"/>
    </row>
    <row r="9593" spans="1:1" s="427" customFormat="1" ht="12" hidden="1" customHeight="1">
      <c r="A9593" s="426"/>
    </row>
    <row r="9594" spans="1:1" s="427" customFormat="1" ht="12" hidden="1" customHeight="1">
      <c r="A9594" s="426"/>
    </row>
    <row r="9595" spans="1:1" s="427" customFormat="1" ht="12" hidden="1" customHeight="1">
      <c r="A9595" s="426"/>
    </row>
    <row r="9596" spans="1:1" s="427" customFormat="1" ht="12" hidden="1" customHeight="1">
      <c r="A9596" s="426"/>
    </row>
    <row r="9597" spans="1:1" s="427" customFormat="1" ht="12" hidden="1" customHeight="1">
      <c r="A9597" s="426"/>
    </row>
    <row r="9598" spans="1:1" s="427" customFormat="1" ht="12" hidden="1" customHeight="1">
      <c r="A9598" s="426"/>
    </row>
    <row r="9599" spans="1:1" s="427" customFormat="1" ht="12" hidden="1" customHeight="1">
      <c r="A9599" s="426"/>
    </row>
    <row r="9600" spans="1:1" s="427" customFormat="1" ht="12" hidden="1" customHeight="1">
      <c r="A9600" s="426"/>
    </row>
    <row r="9601" spans="1:1" s="427" customFormat="1" ht="12" hidden="1" customHeight="1">
      <c r="A9601" s="426"/>
    </row>
    <row r="9602" spans="1:1" s="427" customFormat="1" ht="12" hidden="1" customHeight="1">
      <c r="A9602" s="426"/>
    </row>
    <row r="9603" spans="1:1" s="427" customFormat="1" ht="12" hidden="1" customHeight="1">
      <c r="A9603" s="426"/>
    </row>
    <row r="9604" spans="1:1" s="427" customFormat="1" ht="12" hidden="1" customHeight="1">
      <c r="A9604" s="426"/>
    </row>
    <row r="9605" spans="1:1" s="427" customFormat="1" ht="12" hidden="1" customHeight="1">
      <c r="A9605" s="426"/>
    </row>
    <row r="9606" spans="1:1" s="427" customFormat="1" ht="12" hidden="1" customHeight="1">
      <c r="A9606" s="426"/>
    </row>
    <row r="9607" spans="1:1" s="427" customFormat="1" ht="12" hidden="1" customHeight="1">
      <c r="A9607" s="426"/>
    </row>
    <row r="9608" spans="1:1" s="427" customFormat="1" ht="12" hidden="1" customHeight="1">
      <c r="A9608" s="426"/>
    </row>
    <row r="9609" spans="1:1" s="427" customFormat="1" ht="12" hidden="1" customHeight="1">
      <c r="A9609" s="426"/>
    </row>
    <row r="9610" spans="1:1" s="427" customFormat="1" ht="12" hidden="1" customHeight="1">
      <c r="A9610" s="426"/>
    </row>
    <row r="9611" spans="1:1" s="427" customFormat="1" ht="12" hidden="1" customHeight="1">
      <c r="A9611" s="426"/>
    </row>
    <row r="9612" spans="1:1" s="427" customFormat="1" ht="12" hidden="1" customHeight="1">
      <c r="A9612" s="426"/>
    </row>
    <row r="9613" spans="1:1" s="427" customFormat="1" ht="12" hidden="1" customHeight="1">
      <c r="A9613" s="426"/>
    </row>
    <row r="9614" spans="1:1" s="427" customFormat="1" ht="12" hidden="1" customHeight="1">
      <c r="A9614" s="426"/>
    </row>
    <row r="9615" spans="1:1" s="427" customFormat="1" ht="12" hidden="1" customHeight="1">
      <c r="A9615" s="426"/>
    </row>
    <row r="9616" spans="1:1" s="427" customFormat="1" ht="12" hidden="1" customHeight="1">
      <c r="A9616" s="426"/>
    </row>
    <row r="9617" spans="1:1" s="427" customFormat="1" ht="12" hidden="1" customHeight="1">
      <c r="A9617" s="426"/>
    </row>
    <row r="9618" spans="1:1" s="427" customFormat="1" ht="12" hidden="1" customHeight="1">
      <c r="A9618" s="426"/>
    </row>
    <row r="9619" spans="1:1" s="427" customFormat="1" ht="12" hidden="1" customHeight="1">
      <c r="A9619" s="426"/>
    </row>
    <row r="9620" spans="1:1" s="427" customFormat="1" ht="12" hidden="1" customHeight="1">
      <c r="A9620" s="426"/>
    </row>
    <row r="9621" spans="1:1" s="427" customFormat="1" ht="12" hidden="1" customHeight="1">
      <c r="A9621" s="426"/>
    </row>
    <row r="9622" spans="1:1" s="427" customFormat="1" ht="12" hidden="1" customHeight="1">
      <c r="A9622" s="426"/>
    </row>
    <row r="9623" spans="1:1" s="427" customFormat="1" ht="12" hidden="1" customHeight="1">
      <c r="A9623" s="426"/>
    </row>
    <row r="9624" spans="1:1" s="427" customFormat="1" ht="12" hidden="1" customHeight="1">
      <c r="A9624" s="426"/>
    </row>
    <row r="9625" spans="1:1" s="427" customFormat="1" ht="12" hidden="1" customHeight="1">
      <c r="A9625" s="426"/>
    </row>
    <row r="9626" spans="1:1" s="427" customFormat="1" ht="12" hidden="1" customHeight="1">
      <c r="A9626" s="426"/>
    </row>
    <row r="9627" spans="1:1" s="427" customFormat="1" ht="12" hidden="1" customHeight="1">
      <c r="A9627" s="426"/>
    </row>
    <row r="9628" spans="1:1" s="427" customFormat="1" ht="12" hidden="1" customHeight="1">
      <c r="A9628" s="426"/>
    </row>
    <row r="9629" spans="1:1" s="427" customFormat="1" ht="12" hidden="1" customHeight="1">
      <c r="A9629" s="426"/>
    </row>
    <row r="9630" spans="1:1" s="427" customFormat="1" ht="12" hidden="1" customHeight="1">
      <c r="A9630" s="426"/>
    </row>
    <row r="9631" spans="1:1" s="427" customFormat="1" ht="12" hidden="1" customHeight="1">
      <c r="A9631" s="426"/>
    </row>
    <row r="9632" spans="1:1" s="427" customFormat="1" ht="12" hidden="1" customHeight="1">
      <c r="A9632" s="426"/>
    </row>
    <row r="9633" spans="1:1" s="427" customFormat="1" ht="12" hidden="1" customHeight="1">
      <c r="A9633" s="426"/>
    </row>
    <row r="9634" spans="1:1" s="427" customFormat="1" ht="12" hidden="1" customHeight="1">
      <c r="A9634" s="426"/>
    </row>
    <row r="9635" spans="1:1" s="427" customFormat="1" ht="12" hidden="1" customHeight="1">
      <c r="A9635" s="426"/>
    </row>
    <row r="9636" spans="1:1" s="427" customFormat="1" ht="12" hidden="1" customHeight="1">
      <c r="A9636" s="426"/>
    </row>
    <row r="9637" spans="1:1" s="427" customFormat="1" ht="12" hidden="1" customHeight="1">
      <c r="A9637" s="426"/>
    </row>
    <row r="9638" spans="1:1" s="427" customFormat="1" ht="12" hidden="1" customHeight="1">
      <c r="A9638" s="426"/>
    </row>
    <row r="9639" spans="1:1" s="427" customFormat="1" ht="12" hidden="1" customHeight="1">
      <c r="A9639" s="426"/>
    </row>
    <row r="9640" spans="1:1" s="427" customFormat="1" ht="12" hidden="1" customHeight="1">
      <c r="A9640" s="426"/>
    </row>
    <row r="9641" spans="1:1" s="427" customFormat="1" ht="12" hidden="1" customHeight="1">
      <c r="A9641" s="426"/>
    </row>
    <row r="9642" spans="1:1" s="427" customFormat="1" ht="12" hidden="1" customHeight="1">
      <c r="A9642" s="426"/>
    </row>
    <row r="9643" spans="1:1" s="427" customFormat="1" ht="12" hidden="1" customHeight="1">
      <c r="A9643" s="426"/>
    </row>
    <row r="9644" spans="1:1" s="427" customFormat="1" ht="12" hidden="1" customHeight="1">
      <c r="A9644" s="426"/>
    </row>
    <row r="9645" spans="1:1" s="427" customFormat="1" ht="12" hidden="1" customHeight="1">
      <c r="A9645" s="426"/>
    </row>
    <row r="9646" spans="1:1" s="427" customFormat="1" ht="12" hidden="1" customHeight="1">
      <c r="A9646" s="426"/>
    </row>
    <row r="9647" spans="1:1" s="427" customFormat="1" ht="12" hidden="1" customHeight="1">
      <c r="A9647" s="426"/>
    </row>
    <row r="9648" spans="1:1" s="427" customFormat="1" ht="12" hidden="1" customHeight="1">
      <c r="A9648" s="426"/>
    </row>
    <row r="9649" spans="1:1" s="427" customFormat="1" ht="12" hidden="1" customHeight="1">
      <c r="A9649" s="426"/>
    </row>
    <row r="9650" spans="1:1" s="427" customFormat="1" ht="12" hidden="1" customHeight="1">
      <c r="A9650" s="426"/>
    </row>
    <row r="9651" spans="1:1" s="427" customFormat="1" ht="12" hidden="1" customHeight="1">
      <c r="A9651" s="426"/>
    </row>
    <row r="9652" spans="1:1" s="427" customFormat="1" ht="12" hidden="1" customHeight="1">
      <c r="A9652" s="426"/>
    </row>
    <row r="9653" spans="1:1" s="427" customFormat="1" ht="12" hidden="1" customHeight="1">
      <c r="A9653" s="426"/>
    </row>
    <row r="9654" spans="1:1" s="427" customFormat="1" ht="12" hidden="1" customHeight="1">
      <c r="A9654" s="426"/>
    </row>
    <row r="9655" spans="1:1" s="427" customFormat="1" ht="12" hidden="1" customHeight="1">
      <c r="A9655" s="426"/>
    </row>
    <row r="9656" spans="1:1" s="427" customFormat="1" ht="12" hidden="1" customHeight="1">
      <c r="A9656" s="426"/>
    </row>
    <row r="9657" spans="1:1" s="427" customFormat="1" ht="12" hidden="1" customHeight="1">
      <c r="A9657" s="426"/>
    </row>
    <row r="9658" spans="1:1" s="427" customFormat="1" ht="12" hidden="1" customHeight="1">
      <c r="A9658" s="426"/>
    </row>
    <row r="9659" spans="1:1" s="427" customFormat="1" ht="12" hidden="1" customHeight="1">
      <c r="A9659" s="426"/>
    </row>
    <row r="9660" spans="1:1" s="427" customFormat="1" ht="12" hidden="1" customHeight="1">
      <c r="A9660" s="426"/>
    </row>
    <row r="9661" spans="1:1" s="427" customFormat="1" ht="12" hidden="1" customHeight="1">
      <c r="A9661" s="426"/>
    </row>
    <row r="9662" spans="1:1" s="427" customFormat="1" ht="12" hidden="1" customHeight="1">
      <c r="A9662" s="426"/>
    </row>
    <row r="9663" spans="1:1" s="427" customFormat="1" ht="12" hidden="1" customHeight="1">
      <c r="A9663" s="426"/>
    </row>
    <row r="9664" spans="1:1" s="427" customFormat="1" ht="12" hidden="1" customHeight="1">
      <c r="A9664" s="426"/>
    </row>
    <row r="9665" spans="1:1" s="427" customFormat="1" ht="12" hidden="1" customHeight="1">
      <c r="A9665" s="426"/>
    </row>
    <row r="9666" spans="1:1" s="427" customFormat="1" ht="12" hidden="1" customHeight="1">
      <c r="A9666" s="426"/>
    </row>
    <row r="9667" spans="1:1" s="427" customFormat="1" ht="12" hidden="1" customHeight="1">
      <c r="A9667" s="426"/>
    </row>
    <row r="9668" spans="1:1" s="427" customFormat="1" ht="12" hidden="1" customHeight="1">
      <c r="A9668" s="426"/>
    </row>
    <row r="9669" spans="1:1" s="427" customFormat="1" ht="12" hidden="1" customHeight="1">
      <c r="A9669" s="426"/>
    </row>
    <row r="9670" spans="1:1" s="427" customFormat="1" ht="12" hidden="1" customHeight="1">
      <c r="A9670" s="426"/>
    </row>
    <row r="9671" spans="1:1" s="427" customFormat="1" ht="12" hidden="1" customHeight="1">
      <c r="A9671" s="426"/>
    </row>
    <row r="9672" spans="1:1" s="427" customFormat="1" ht="12" hidden="1" customHeight="1">
      <c r="A9672" s="426"/>
    </row>
    <row r="9673" spans="1:1" s="427" customFormat="1" ht="12" hidden="1" customHeight="1">
      <c r="A9673" s="426"/>
    </row>
    <row r="9674" spans="1:1" s="427" customFormat="1" ht="12" hidden="1" customHeight="1">
      <c r="A9674" s="426"/>
    </row>
    <row r="9675" spans="1:1" s="427" customFormat="1" ht="12" hidden="1" customHeight="1">
      <c r="A9675" s="426"/>
    </row>
    <row r="9676" spans="1:1" s="427" customFormat="1" ht="12" hidden="1" customHeight="1">
      <c r="A9676" s="426"/>
    </row>
    <row r="9677" spans="1:1" s="427" customFormat="1" ht="12" hidden="1" customHeight="1">
      <c r="A9677" s="426"/>
    </row>
    <row r="9678" spans="1:1" s="427" customFormat="1" ht="12" hidden="1" customHeight="1">
      <c r="A9678" s="426"/>
    </row>
    <row r="9679" spans="1:1" s="427" customFormat="1" ht="12" hidden="1" customHeight="1">
      <c r="A9679" s="426"/>
    </row>
    <row r="9680" spans="1:1" s="427" customFormat="1" ht="12" hidden="1" customHeight="1">
      <c r="A9680" s="426"/>
    </row>
    <row r="9681" spans="1:1" s="427" customFormat="1" ht="12" hidden="1" customHeight="1">
      <c r="A9681" s="426"/>
    </row>
    <row r="9682" spans="1:1" s="427" customFormat="1" ht="12" hidden="1" customHeight="1">
      <c r="A9682" s="426"/>
    </row>
    <row r="9683" spans="1:1" s="427" customFormat="1" ht="12" hidden="1" customHeight="1">
      <c r="A9683" s="426"/>
    </row>
    <row r="9684" spans="1:1" s="427" customFormat="1" ht="12" hidden="1" customHeight="1">
      <c r="A9684" s="426"/>
    </row>
    <row r="9685" spans="1:1" s="427" customFormat="1" ht="12" hidden="1" customHeight="1">
      <c r="A9685" s="426"/>
    </row>
    <row r="9686" spans="1:1" s="427" customFormat="1" ht="12" hidden="1" customHeight="1">
      <c r="A9686" s="426"/>
    </row>
    <row r="9687" spans="1:1" s="427" customFormat="1" ht="12" hidden="1" customHeight="1">
      <c r="A9687" s="426"/>
    </row>
    <row r="9688" spans="1:1" s="427" customFormat="1" ht="12" hidden="1" customHeight="1">
      <c r="A9688" s="426"/>
    </row>
    <row r="9689" spans="1:1" s="427" customFormat="1" ht="12" hidden="1" customHeight="1">
      <c r="A9689" s="426"/>
    </row>
    <row r="9690" spans="1:1" s="427" customFormat="1" ht="12" hidden="1" customHeight="1">
      <c r="A9690" s="426"/>
    </row>
    <row r="9691" spans="1:1" s="427" customFormat="1" ht="12" hidden="1" customHeight="1">
      <c r="A9691" s="426"/>
    </row>
    <row r="9692" spans="1:1" s="427" customFormat="1" ht="12" hidden="1" customHeight="1">
      <c r="A9692" s="426"/>
    </row>
    <row r="9693" spans="1:1" s="427" customFormat="1" ht="12" hidden="1" customHeight="1">
      <c r="A9693" s="426"/>
    </row>
    <row r="9694" spans="1:1" s="427" customFormat="1" ht="12" hidden="1" customHeight="1">
      <c r="A9694" s="426"/>
    </row>
    <row r="9695" spans="1:1" s="427" customFormat="1" ht="12" hidden="1" customHeight="1">
      <c r="A9695" s="426"/>
    </row>
    <row r="9696" spans="1:1" s="427" customFormat="1" ht="12" hidden="1" customHeight="1">
      <c r="A9696" s="426"/>
    </row>
    <row r="9697" spans="1:1" s="427" customFormat="1" ht="12" hidden="1" customHeight="1">
      <c r="A9697" s="426"/>
    </row>
    <row r="9698" spans="1:1" s="427" customFormat="1" ht="12" hidden="1" customHeight="1">
      <c r="A9698" s="426"/>
    </row>
    <row r="9699" spans="1:1" s="427" customFormat="1" ht="12" hidden="1" customHeight="1">
      <c r="A9699" s="426"/>
    </row>
    <row r="9700" spans="1:1" s="427" customFormat="1" ht="12" hidden="1" customHeight="1">
      <c r="A9700" s="426"/>
    </row>
    <row r="9701" spans="1:1" s="427" customFormat="1" ht="12" hidden="1" customHeight="1">
      <c r="A9701" s="426"/>
    </row>
    <row r="9702" spans="1:1" s="427" customFormat="1" ht="12" hidden="1" customHeight="1">
      <c r="A9702" s="426"/>
    </row>
    <row r="9703" spans="1:1" s="427" customFormat="1" ht="12" hidden="1" customHeight="1">
      <c r="A9703" s="426"/>
    </row>
    <row r="9704" spans="1:1" s="427" customFormat="1" ht="12" hidden="1" customHeight="1">
      <c r="A9704" s="426"/>
    </row>
    <row r="9705" spans="1:1" s="427" customFormat="1" ht="12" hidden="1" customHeight="1">
      <c r="A9705" s="426"/>
    </row>
    <row r="9706" spans="1:1" s="427" customFormat="1" ht="12" hidden="1" customHeight="1">
      <c r="A9706" s="426"/>
    </row>
    <row r="9707" spans="1:1" s="427" customFormat="1" ht="12" hidden="1" customHeight="1">
      <c r="A9707" s="426"/>
    </row>
    <row r="9708" spans="1:1" s="427" customFormat="1" ht="12" hidden="1" customHeight="1">
      <c r="A9708" s="426"/>
    </row>
    <row r="9709" spans="1:1" s="427" customFormat="1" ht="12" hidden="1" customHeight="1">
      <c r="A9709" s="426"/>
    </row>
    <row r="9710" spans="1:1" s="427" customFormat="1" ht="12" hidden="1" customHeight="1">
      <c r="A9710" s="426"/>
    </row>
    <row r="9711" spans="1:1" s="427" customFormat="1" ht="12" hidden="1" customHeight="1">
      <c r="A9711" s="426"/>
    </row>
    <row r="9712" spans="1:1" s="427" customFormat="1" ht="12" hidden="1" customHeight="1">
      <c r="A9712" s="426"/>
    </row>
    <row r="9713" spans="1:1" s="427" customFormat="1" ht="12" hidden="1" customHeight="1">
      <c r="A9713" s="426"/>
    </row>
    <row r="9714" spans="1:1" s="427" customFormat="1" ht="12" hidden="1" customHeight="1">
      <c r="A9714" s="426"/>
    </row>
    <row r="9715" spans="1:1" s="427" customFormat="1" ht="12" hidden="1" customHeight="1">
      <c r="A9715" s="426"/>
    </row>
    <row r="9716" spans="1:1" s="427" customFormat="1" ht="12" hidden="1" customHeight="1">
      <c r="A9716" s="426"/>
    </row>
    <row r="9717" spans="1:1" s="427" customFormat="1" ht="12" hidden="1" customHeight="1">
      <c r="A9717" s="426"/>
    </row>
    <row r="9718" spans="1:1" s="427" customFormat="1" ht="12" hidden="1" customHeight="1">
      <c r="A9718" s="426"/>
    </row>
    <row r="9719" spans="1:1" s="427" customFormat="1" ht="12" hidden="1" customHeight="1">
      <c r="A9719" s="426"/>
    </row>
    <row r="9720" spans="1:1" s="427" customFormat="1" ht="12" hidden="1" customHeight="1">
      <c r="A9720" s="426"/>
    </row>
    <row r="9721" spans="1:1" s="427" customFormat="1" ht="12" hidden="1" customHeight="1">
      <c r="A9721" s="426"/>
    </row>
    <row r="9722" spans="1:1" s="427" customFormat="1" ht="12" hidden="1" customHeight="1">
      <c r="A9722" s="426"/>
    </row>
    <row r="9723" spans="1:1" s="427" customFormat="1" ht="12" hidden="1" customHeight="1">
      <c r="A9723" s="426"/>
    </row>
    <row r="9724" spans="1:1" s="427" customFormat="1" ht="12" hidden="1" customHeight="1">
      <c r="A9724" s="426"/>
    </row>
    <row r="9725" spans="1:1" s="427" customFormat="1" ht="12" hidden="1" customHeight="1">
      <c r="A9725" s="426"/>
    </row>
    <row r="9726" spans="1:1" s="427" customFormat="1" ht="12" hidden="1" customHeight="1">
      <c r="A9726" s="426"/>
    </row>
    <row r="9727" spans="1:1" s="427" customFormat="1" ht="12" hidden="1" customHeight="1">
      <c r="A9727" s="426"/>
    </row>
    <row r="9728" spans="1:1" s="427" customFormat="1" ht="12" hidden="1" customHeight="1">
      <c r="A9728" s="426"/>
    </row>
    <row r="9729" spans="1:1" s="427" customFormat="1" ht="12" hidden="1" customHeight="1">
      <c r="A9729" s="426"/>
    </row>
    <row r="9730" spans="1:1" s="427" customFormat="1" ht="12" hidden="1" customHeight="1">
      <c r="A9730" s="426"/>
    </row>
    <row r="9731" spans="1:1" s="427" customFormat="1" ht="12" hidden="1" customHeight="1">
      <c r="A9731" s="426"/>
    </row>
    <row r="9732" spans="1:1" s="427" customFormat="1" ht="12" hidden="1" customHeight="1">
      <c r="A9732" s="426"/>
    </row>
    <row r="9733" spans="1:1" s="427" customFormat="1" ht="12" hidden="1" customHeight="1">
      <c r="A9733" s="426"/>
    </row>
    <row r="9734" spans="1:1" s="427" customFormat="1" ht="12" hidden="1" customHeight="1">
      <c r="A9734" s="426"/>
    </row>
    <row r="9735" spans="1:1" s="427" customFormat="1" ht="12" hidden="1" customHeight="1">
      <c r="A9735" s="426"/>
    </row>
    <row r="9736" spans="1:1" s="427" customFormat="1" ht="12" hidden="1" customHeight="1">
      <c r="A9736" s="426"/>
    </row>
    <row r="9737" spans="1:1" s="427" customFormat="1" ht="12" hidden="1" customHeight="1">
      <c r="A9737" s="426"/>
    </row>
    <row r="9738" spans="1:1" s="427" customFormat="1" ht="12" hidden="1" customHeight="1">
      <c r="A9738" s="426"/>
    </row>
    <row r="9739" spans="1:1" s="427" customFormat="1" ht="12" hidden="1" customHeight="1">
      <c r="A9739" s="426"/>
    </row>
    <row r="9740" spans="1:1" s="427" customFormat="1" ht="12" hidden="1" customHeight="1">
      <c r="A9740" s="426"/>
    </row>
    <row r="9741" spans="1:1" s="427" customFormat="1" ht="12" hidden="1" customHeight="1">
      <c r="A9741" s="426"/>
    </row>
    <row r="9742" spans="1:1" s="427" customFormat="1" ht="12" hidden="1" customHeight="1">
      <c r="A9742" s="426"/>
    </row>
    <row r="9743" spans="1:1" s="427" customFormat="1" ht="12" hidden="1" customHeight="1">
      <c r="A9743" s="426"/>
    </row>
    <row r="9744" spans="1:1" s="427" customFormat="1" ht="12" hidden="1" customHeight="1">
      <c r="A9744" s="426"/>
    </row>
    <row r="9745" spans="1:1" s="427" customFormat="1" ht="12" hidden="1" customHeight="1">
      <c r="A9745" s="426"/>
    </row>
    <row r="9746" spans="1:1" s="427" customFormat="1" ht="12" hidden="1" customHeight="1">
      <c r="A9746" s="426"/>
    </row>
    <row r="9747" spans="1:1" s="427" customFormat="1" ht="12" hidden="1" customHeight="1">
      <c r="A9747" s="426"/>
    </row>
    <row r="9748" spans="1:1" s="427" customFormat="1" ht="12" hidden="1" customHeight="1">
      <c r="A9748" s="426"/>
    </row>
    <row r="9749" spans="1:1" s="427" customFormat="1" ht="12" hidden="1" customHeight="1">
      <c r="A9749" s="426"/>
    </row>
    <row r="9750" spans="1:1" s="427" customFormat="1" ht="12" hidden="1" customHeight="1">
      <c r="A9750" s="426"/>
    </row>
    <row r="9751" spans="1:1" s="427" customFormat="1" ht="12" hidden="1" customHeight="1">
      <c r="A9751" s="426"/>
    </row>
    <row r="9752" spans="1:1" s="427" customFormat="1" ht="12" hidden="1" customHeight="1">
      <c r="A9752" s="426"/>
    </row>
    <row r="9753" spans="1:1" s="427" customFormat="1" ht="12" hidden="1" customHeight="1">
      <c r="A9753" s="426"/>
    </row>
    <row r="9754" spans="1:1" s="427" customFormat="1" ht="12" hidden="1" customHeight="1">
      <c r="A9754" s="426"/>
    </row>
    <row r="9755" spans="1:1" s="427" customFormat="1" ht="12" hidden="1" customHeight="1">
      <c r="A9755" s="426"/>
    </row>
    <row r="9756" spans="1:1" s="427" customFormat="1" ht="12" hidden="1" customHeight="1">
      <c r="A9756" s="426"/>
    </row>
    <row r="9757" spans="1:1" s="427" customFormat="1" ht="12" hidden="1" customHeight="1">
      <c r="A9757" s="426"/>
    </row>
    <row r="9758" spans="1:1" s="427" customFormat="1" ht="12" hidden="1" customHeight="1">
      <c r="A9758" s="426"/>
    </row>
    <row r="9759" spans="1:1" s="427" customFormat="1" ht="12" hidden="1" customHeight="1">
      <c r="A9759" s="426"/>
    </row>
    <row r="9760" spans="1:1" s="427" customFormat="1" ht="12" hidden="1" customHeight="1">
      <c r="A9760" s="426"/>
    </row>
    <row r="9761" spans="1:1" s="427" customFormat="1" ht="12" hidden="1" customHeight="1">
      <c r="A9761" s="426"/>
    </row>
    <row r="9762" spans="1:1" s="427" customFormat="1" ht="12" hidden="1" customHeight="1">
      <c r="A9762" s="426"/>
    </row>
    <row r="9763" spans="1:1" s="427" customFormat="1" ht="12" hidden="1" customHeight="1">
      <c r="A9763" s="426"/>
    </row>
    <row r="9764" spans="1:1" s="427" customFormat="1" ht="12" hidden="1" customHeight="1">
      <c r="A9764" s="426"/>
    </row>
    <row r="9765" spans="1:1" s="427" customFormat="1" ht="12" hidden="1" customHeight="1">
      <c r="A9765" s="426"/>
    </row>
    <row r="9766" spans="1:1" s="427" customFormat="1" ht="12" hidden="1" customHeight="1">
      <c r="A9766" s="426"/>
    </row>
    <row r="9767" spans="1:1" s="427" customFormat="1" ht="12" hidden="1" customHeight="1">
      <c r="A9767" s="426"/>
    </row>
    <row r="9768" spans="1:1" s="427" customFormat="1" ht="12" hidden="1" customHeight="1">
      <c r="A9768" s="426"/>
    </row>
    <row r="9769" spans="1:1" s="427" customFormat="1" ht="12" hidden="1" customHeight="1">
      <c r="A9769" s="426"/>
    </row>
    <row r="9770" spans="1:1" s="427" customFormat="1" ht="12" hidden="1" customHeight="1">
      <c r="A9770" s="426"/>
    </row>
    <row r="9771" spans="1:1" s="427" customFormat="1" ht="12" hidden="1" customHeight="1">
      <c r="A9771" s="426"/>
    </row>
    <row r="9772" spans="1:1" s="427" customFormat="1" ht="12" hidden="1" customHeight="1">
      <c r="A9772" s="426"/>
    </row>
    <row r="9773" spans="1:1" s="427" customFormat="1" ht="12" hidden="1" customHeight="1">
      <c r="A9773" s="426"/>
    </row>
    <row r="9774" spans="1:1" s="427" customFormat="1" ht="12" hidden="1" customHeight="1">
      <c r="A9774" s="426"/>
    </row>
    <row r="9775" spans="1:1" s="427" customFormat="1" ht="12" hidden="1" customHeight="1">
      <c r="A9775" s="426"/>
    </row>
    <row r="9776" spans="1:1" s="427" customFormat="1" ht="12" hidden="1" customHeight="1">
      <c r="A9776" s="426"/>
    </row>
    <row r="9777" spans="1:1" s="427" customFormat="1" ht="12" hidden="1" customHeight="1">
      <c r="A9777" s="426"/>
    </row>
    <row r="9778" spans="1:1" s="427" customFormat="1" ht="12" hidden="1" customHeight="1">
      <c r="A9778" s="426"/>
    </row>
    <row r="9779" spans="1:1" s="427" customFormat="1" ht="12" hidden="1" customHeight="1">
      <c r="A9779" s="426"/>
    </row>
    <row r="9780" spans="1:1" s="427" customFormat="1" ht="12" hidden="1" customHeight="1">
      <c r="A9780" s="426"/>
    </row>
    <row r="9781" spans="1:1" s="427" customFormat="1" ht="12" hidden="1" customHeight="1">
      <c r="A9781" s="426"/>
    </row>
    <row r="9782" spans="1:1" s="427" customFormat="1" ht="12" hidden="1" customHeight="1">
      <c r="A9782" s="426"/>
    </row>
    <row r="9783" spans="1:1" s="427" customFormat="1" ht="12" hidden="1" customHeight="1">
      <c r="A9783" s="426"/>
    </row>
    <row r="9784" spans="1:1" s="427" customFormat="1" ht="12" hidden="1" customHeight="1">
      <c r="A9784" s="426"/>
    </row>
    <row r="9785" spans="1:1" s="427" customFormat="1" ht="12" hidden="1" customHeight="1">
      <c r="A9785" s="426"/>
    </row>
    <row r="9786" spans="1:1" s="427" customFormat="1" ht="12" hidden="1" customHeight="1">
      <c r="A9786" s="426"/>
    </row>
    <row r="9787" spans="1:1" s="427" customFormat="1" ht="12" hidden="1" customHeight="1">
      <c r="A9787" s="426"/>
    </row>
    <row r="9788" spans="1:1" s="427" customFormat="1" ht="12" hidden="1" customHeight="1">
      <c r="A9788" s="426"/>
    </row>
    <row r="9789" spans="1:1" s="427" customFormat="1" ht="12" hidden="1" customHeight="1">
      <c r="A9789" s="426"/>
    </row>
    <row r="9790" spans="1:1" s="427" customFormat="1" ht="12" hidden="1" customHeight="1">
      <c r="A9790" s="426"/>
    </row>
    <row r="9791" spans="1:1" s="427" customFormat="1" ht="12" hidden="1" customHeight="1">
      <c r="A9791" s="426"/>
    </row>
    <row r="9792" spans="1:1" s="427" customFormat="1" ht="12" hidden="1" customHeight="1">
      <c r="A9792" s="426"/>
    </row>
    <row r="9793" spans="1:1" s="427" customFormat="1" ht="12" hidden="1" customHeight="1">
      <c r="A9793" s="426"/>
    </row>
    <row r="9794" spans="1:1" s="427" customFormat="1" ht="12" hidden="1" customHeight="1">
      <c r="A9794" s="426"/>
    </row>
    <row r="9795" spans="1:1" s="427" customFormat="1" ht="12" hidden="1" customHeight="1">
      <c r="A9795" s="426"/>
    </row>
    <row r="9796" spans="1:1" s="427" customFormat="1" ht="12" hidden="1" customHeight="1">
      <c r="A9796" s="426"/>
    </row>
    <row r="9797" spans="1:1" s="427" customFormat="1" ht="12" hidden="1" customHeight="1">
      <c r="A9797" s="426"/>
    </row>
    <row r="9798" spans="1:1" s="427" customFormat="1" ht="12" hidden="1" customHeight="1">
      <c r="A9798" s="426"/>
    </row>
    <row r="9799" spans="1:1" s="427" customFormat="1" ht="12" hidden="1" customHeight="1">
      <c r="A9799" s="426"/>
    </row>
    <row r="9800" spans="1:1" s="427" customFormat="1" ht="12" hidden="1" customHeight="1">
      <c r="A9800" s="426"/>
    </row>
    <row r="9801" spans="1:1" s="427" customFormat="1" ht="12" hidden="1" customHeight="1">
      <c r="A9801" s="426"/>
    </row>
    <row r="9802" spans="1:1" s="427" customFormat="1" ht="12" hidden="1" customHeight="1">
      <c r="A9802" s="426"/>
    </row>
    <row r="9803" spans="1:1" s="427" customFormat="1" ht="12" hidden="1" customHeight="1">
      <c r="A9803" s="426"/>
    </row>
    <row r="9804" spans="1:1" s="427" customFormat="1" ht="12" hidden="1" customHeight="1">
      <c r="A9804" s="426"/>
    </row>
    <row r="9805" spans="1:1" s="427" customFormat="1" ht="12" hidden="1" customHeight="1">
      <c r="A9805" s="426"/>
    </row>
    <row r="9806" spans="1:1" s="427" customFormat="1" ht="12" hidden="1" customHeight="1">
      <c r="A9806" s="426"/>
    </row>
    <row r="9807" spans="1:1" s="427" customFormat="1" ht="12" hidden="1" customHeight="1">
      <c r="A9807" s="426"/>
    </row>
    <row r="9808" spans="1:1" s="427" customFormat="1" ht="12" hidden="1" customHeight="1">
      <c r="A9808" s="426"/>
    </row>
    <row r="9809" spans="1:1" s="427" customFormat="1" ht="12" hidden="1" customHeight="1">
      <c r="A9809" s="426"/>
    </row>
    <row r="9810" spans="1:1" s="427" customFormat="1" ht="12" hidden="1" customHeight="1">
      <c r="A9810" s="426"/>
    </row>
    <row r="9811" spans="1:1" s="427" customFormat="1" ht="12" hidden="1" customHeight="1">
      <c r="A9811" s="426"/>
    </row>
    <row r="9812" spans="1:1" s="427" customFormat="1" ht="12" hidden="1" customHeight="1">
      <c r="A9812" s="426"/>
    </row>
    <row r="9813" spans="1:1" s="427" customFormat="1" ht="12" hidden="1" customHeight="1">
      <c r="A9813" s="426"/>
    </row>
    <row r="9814" spans="1:1" s="427" customFormat="1" ht="12" hidden="1" customHeight="1">
      <c r="A9814" s="426"/>
    </row>
    <row r="9815" spans="1:1" s="427" customFormat="1" ht="12" hidden="1" customHeight="1">
      <c r="A9815" s="426"/>
    </row>
    <row r="9816" spans="1:1" s="427" customFormat="1" ht="12" hidden="1" customHeight="1">
      <c r="A9816" s="426"/>
    </row>
    <row r="9817" spans="1:1" s="427" customFormat="1" ht="12" hidden="1" customHeight="1">
      <c r="A9817" s="426"/>
    </row>
    <row r="9818" spans="1:1" s="427" customFormat="1" ht="12" hidden="1" customHeight="1">
      <c r="A9818" s="426"/>
    </row>
    <row r="9819" spans="1:1" s="427" customFormat="1" ht="12" hidden="1" customHeight="1">
      <c r="A9819" s="426"/>
    </row>
    <row r="9820" spans="1:1" s="427" customFormat="1" ht="12" hidden="1" customHeight="1">
      <c r="A9820" s="426"/>
    </row>
    <row r="9821" spans="1:1" s="427" customFormat="1" ht="12" hidden="1" customHeight="1">
      <c r="A9821" s="426"/>
    </row>
    <row r="9822" spans="1:1" s="427" customFormat="1" ht="12" hidden="1" customHeight="1">
      <c r="A9822" s="426"/>
    </row>
    <row r="9823" spans="1:1" s="427" customFormat="1" ht="12" hidden="1" customHeight="1">
      <c r="A9823" s="426"/>
    </row>
    <row r="9824" spans="1:1" s="427" customFormat="1" ht="12" hidden="1" customHeight="1">
      <c r="A9824" s="426"/>
    </row>
    <row r="9825" spans="1:1" s="427" customFormat="1" ht="12" hidden="1" customHeight="1">
      <c r="A9825" s="426"/>
    </row>
    <row r="9826" spans="1:1" s="427" customFormat="1" ht="12" hidden="1" customHeight="1">
      <c r="A9826" s="426"/>
    </row>
    <row r="9827" spans="1:1" s="427" customFormat="1" ht="12" hidden="1" customHeight="1">
      <c r="A9827" s="426"/>
    </row>
    <row r="9828" spans="1:1" s="427" customFormat="1" ht="12" hidden="1" customHeight="1">
      <c r="A9828" s="426"/>
    </row>
    <row r="9829" spans="1:1" s="427" customFormat="1" ht="12" hidden="1" customHeight="1">
      <c r="A9829" s="426"/>
    </row>
    <row r="9830" spans="1:1" s="427" customFormat="1" ht="12" hidden="1" customHeight="1">
      <c r="A9830" s="426"/>
    </row>
    <row r="9831" spans="1:1" s="427" customFormat="1" ht="12" hidden="1" customHeight="1">
      <c r="A9831" s="426"/>
    </row>
    <row r="9832" spans="1:1" s="427" customFormat="1" ht="12" hidden="1" customHeight="1">
      <c r="A9832" s="426"/>
    </row>
    <row r="9833" spans="1:1" s="427" customFormat="1" ht="12" hidden="1" customHeight="1">
      <c r="A9833" s="426"/>
    </row>
    <row r="9834" spans="1:1" s="427" customFormat="1" ht="12" hidden="1" customHeight="1">
      <c r="A9834" s="426"/>
    </row>
    <row r="9835" spans="1:1" s="427" customFormat="1" ht="12" hidden="1" customHeight="1">
      <c r="A9835" s="426"/>
    </row>
    <row r="9836" spans="1:1" s="427" customFormat="1" ht="12" hidden="1" customHeight="1">
      <c r="A9836" s="426"/>
    </row>
    <row r="9837" spans="1:1" s="427" customFormat="1" ht="12" hidden="1" customHeight="1">
      <c r="A9837" s="426"/>
    </row>
    <row r="9838" spans="1:1" s="427" customFormat="1" ht="12" hidden="1" customHeight="1">
      <c r="A9838" s="426"/>
    </row>
    <row r="9839" spans="1:1" s="427" customFormat="1" ht="12" hidden="1" customHeight="1">
      <c r="A9839" s="426"/>
    </row>
    <row r="9840" spans="1:1" s="427" customFormat="1" ht="12" hidden="1" customHeight="1">
      <c r="A9840" s="426"/>
    </row>
    <row r="9841" spans="1:1" s="427" customFormat="1" ht="12" hidden="1" customHeight="1">
      <c r="A9841" s="426"/>
    </row>
    <row r="9842" spans="1:1" s="427" customFormat="1" ht="12" hidden="1" customHeight="1">
      <c r="A9842" s="426"/>
    </row>
    <row r="9843" spans="1:1" s="427" customFormat="1" ht="12" hidden="1" customHeight="1">
      <c r="A9843" s="426"/>
    </row>
    <row r="9844" spans="1:1" s="427" customFormat="1" ht="12" hidden="1" customHeight="1">
      <c r="A9844" s="426"/>
    </row>
    <row r="9845" spans="1:1" s="427" customFormat="1" ht="12" hidden="1" customHeight="1">
      <c r="A9845" s="426"/>
    </row>
    <row r="9846" spans="1:1" s="427" customFormat="1" ht="12" hidden="1" customHeight="1">
      <c r="A9846" s="426"/>
    </row>
    <row r="9847" spans="1:1" s="427" customFormat="1" ht="12" hidden="1" customHeight="1">
      <c r="A9847" s="426"/>
    </row>
    <row r="9848" spans="1:1" s="427" customFormat="1" ht="12" hidden="1" customHeight="1">
      <c r="A9848" s="426"/>
    </row>
    <row r="9849" spans="1:1" s="427" customFormat="1" ht="12" hidden="1" customHeight="1">
      <c r="A9849" s="426"/>
    </row>
    <row r="9850" spans="1:1" s="427" customFormat="1" ht="12" hidden="1" customHeight="1">
      <c r="A9850" s="426"/>
    </row>
    <row r="9851" spans="1:1" s="427" customFormat="1" ht="12" hidden="1" customHeight="1">
      <c r="A9851" s="426"/>
    </row>
    <row r="9852" spans="1:1" s="427" customFormat="1" ht="12" hidden="1" customHeight="1">
      <c r="A9852" s="426"/>
    </row>
    <row r="9853" spans="1:1" s="427" customFormat="1" ht="12" hidden="1" customHeight="1">
      <c r="A9853" s="426"/>
    </row>
    <row r="9854" spans="1:1" s="427" customFormat="1" ht="12" hidden="1" customHeight="1">
      <c r="A9854" s="426"/>
    </row>
    <row r="9855" spans="1:1" s="427" customFormat="1" ht="12" hidden="1" customHeight="1">
      <c r="A9855" s="426"/>
    </row>
    <row r="9856" spans="1:1" s="427" customFormat="1" ht="12" hidden="1" customHeight="1">
      <c r="A9856" s="426"/>
    </row>
    <row r="9857" spans="1:1" s="427" customFormat="1" ht="12" hidden="1" customHeight="1">
      <c r="A9857" s="426"/>
    </row>
    <row r="9858" spans="1:1" s="427" customFormat="1" ht="12" hidden="1" customHeight="1">
      <c r="A9858" s="426"/>
    </row>
    <row r="9859" spans="1:1" s="427" customFormat="1" ht="12" hidden="1" customHeight="1">
      <c r="A9859" s="426"/>
    </row>
    <row r="9860" spans="1:1" s="427" customFormat="1" ht="12" hidden="1" customHeight="1">
      <c r="A9860" s="426"/>
    </row>
    <row r="9861" spans="1:1" s="427" customFormat="1" ht="12" hidden="1" customHeight="1">
      <c r="A9861" s="426"/>
    </row>
    <row r="9862" spans="1:1" s="427" customFormat="1" ht="12" hidden="1" customHeight="1">
      <c r="A9862" s="426"/>
    </row>
    <row r="9863" spans="1:1" s="427" customFormat="1" ht="12" hidden="1" customHeight="1">
      <c r="A9863" s="426"/>
    </row>
    <row r="9864" spans="1:1" s="427" customFormat="1" ht="12" hidden="1" customHeight="1">
      <c r="A9864" s="426"/>
    </row>
    <row r="9865" spans="1:1" s="427" customFormat="1" ht="12" hidden="1" customHeight="1">
      <c r="A9865" s="426"/>
    </row>
    <row r="9866" spans="1:1" s="427" customFormat="1" ht="12" hidden="1" customHeight="1">
      <c r="A9866" s="426"/>
    </row>
    <row r="9867" spans="1:1" s="427" customFormat="1" ht="12" hidden="1" customHeight="1">
      <c r="A9867" s="426"/>
    </row>
    <row r="9868" spans="1:1" s="427" customFormat="1" ht="12" hidden="1" customHeight="1">
      <c r="A9868" s="426"/>
    </row>
    <row r="9869" spans="1:1" s="427" customFormat="1" ht="12" hidden="1" customHeight="1">
      <c r="A9869" s="426"/>
    </row>
    <row r="9870" spans="1:1" s="427" customFormat="1" ht="12" hidden="1" customHeight="1">
      <c r="A9870" s="426"/>
    </row>
    <row r="9871" spans="1:1" s="427" customFormat="1" ht="12" hidden="1" customHeight="1">
      <c r="A9871" s="426"/>
    </row>
    <row r="9872" spans="1:1" s="427" customFormat="1" ht="12" hidden="1" customHeight="1">
      <c r="A9872" s="426"/>
    </row>
    <row r="9873" spans="1:1" s="427" customFormat="1" ht="12" hidden="1" customHeight="1">
      <c r="A9873" s="426"/>
    </row>
    <row r="9874" spans="1:1" s="427" customFormat="1" ht="12" hidden="1" customHeight="1">
      <c r="A9874" s="426"/>
    </row>
    <row r="9875" spans="1:1" s="427" customFormat="1" ht="12" hidden="1" customHeight="1">
      <c r="A9875" s="426"/>
    </row>
    <row r="9876" spans="1:1" s="427" customFormat="1" ht="12" hidden="1" customHeight="1">
      <c r="A9876" s="426"/>
    </row>
    <row r="9877" spans="1:1" s="427" customFormat="1" ht="12" hidden="1" customHeight="1">
      <c r="A9877" s="426"/>
    </row>
    <row r="9878" spans="1:1" s="427" customFormat="1" ht="12" hidden="1" customHeight="1">
      <c r="A9878" s="426"/>
    </row>
    <row r="9879" spans="1:1" s="427" customFormat="1" ht="12" hidden="1" customHeight="1">
      <c r="A9879" s="426"/>
    </row>
    <row r="9880" spans="1:1" s="427" customFormat="1" ht="12" hidden="1" customHeight="1">
      <c r="A9880" s="426"/>
    </row>
    <row r="9881" spans="1:1" s="427" customFormat="1" ht="12" hidden="1" customHeight="1">
      <c r="A9881" s="426"/>
    </row>
    <row r="9882" spans="1:1" s="427" customFormat="1" ht="12" hidden="1" customHeight="1">
      <c r="A9882" s="426"/>
    </row>
    <row r="9883" spans="1:1" s="427" customFormat="1" ht="12" hidden="1" customHeight="1">
      <c r="A9883" s="426"/>
    </row>
    <row r="9884" spans="1:1" s="427" customFormat="1" ht="12" hidden="1" customHeight="1">
      <c r="A9884" s="426"/>
    </row>
    <row r="9885" spans="1:1" s="427" customFormat="1" ht="12" hidden="1" customHeight="1">
      <c r="A9885" s="426"/>
    </row>
    <row r="9886" spans="1:1" s="427" customFormat="1" ht="12" hidden="1" customHeight="1">
      <c r="A9886" s="426"/>
    </row>
    <row r="9887" spans="1:1" s="427" customFormat="1" ht="12" hidden="1" customHeight="1">
      <c r="A9887" s="426"/>
    </row>
    <row r="9888" spans="1:1" s="427" customFormat="1" ht="12" hidden="1" customHeight="1">
      <c r="A9888" s="426"/>
    </row>
    <row r="9889" spans="1:1" s="427" customFormat="1" ht="12" hidden="1" customHeight="1">
      <c r="A9889" s="426"/>
    </row>
    <row r="9890" spans="1:1" s="427" customFormat="1" ht="12" hidden="1" customHeight="1">
      <c r="A9890" s="426"/>
    </row>
    <row r="9891" spans="1:1" s="427" customFormat="1" ht="12" hidden="1" customHeight="1">
      <c r="A9891" s="426"/>
    </row>
    <row r="9892" spans="1:1" s="427" customFormat="1" ht="12" hidden="1" customHeight="1">
      <c r="A9892" s="426"/>
    </row>
    <row r="9893" spans="1:1" s="427" customFormat="1" ht="12" hidden="1" customHeight="1">
      <c r="A9893" s="426"/>
    </row>
    <row r="9894" spans="1:1" s="427" customFormat="1" ht="12" hidden="1" customHeight="1">
      <c r="A9894" s="426"/>
    </row>
    <row r="9895" spans="1:1" s="427" customFormat="1" ht="12" hidden="1" customHeight="1">
      <c r="A9895" s="426"/>
    </row>
    <row r="9896" spans="1:1" s="427" customFormat="1" ht="12" hidden="1" customHeight="1">
      <c r="A9896" s="426"/>
    </row>
    <row r="9897" spans="1:1" s="427" customFormat="1" ht="12" hidden="1" customHeight="1">
      <c r="A9897" s="426"/>
    </row>
    <row r="9898" spans="1:1" s="427" customFormat="1" ht="12" hidden="1" customHeight="1">
      <c r="A9898" s="426"/>
    </row>
    <row r="9899" spans="1:1" s="427" customFormat="1" ht="12" hidden="1" customHeight="1">
      <c r="A9899" s="426"/>
    </row>
    <row r="9900" spans="1:1" s="427" customFormat="1" ht="12" hidden="1" customHeight="1">
      <c r="A9900" s="426"/>
    </row>
    <row r="9901" spans="1:1" s="427" customFormat="1" ht="12" hidden="1" customHeight="1">
      <c r="A9901" s="426"/>
    </row>
    <row r="9902" spans="1:1" s="427" customFormat="1" ht="12" hidden="1" customHeight="1">
      <c r="A9902" s="426"/>
    </row>
    <row r="9903" spans="1:1" s="427" customFormat="1" ht="12" hidden="1" customHeight="1">
      <c r="A9903" s="426"/>
    </row>
    <row r="9904" spans="1:1" s="427" customFormat="1" ht="12" hidden="1" customHeight="1">
      <c r="A9904" s="426"/>
    </row>
    <row r="9905" spans="1:1" s="427" customFormat="1" ht="12" hidden="1" customHeight="1">
      <c r="A9905" s="426"/>
    </row>
    <row r="9906" spans="1:1" s="427" customFormat="1" ht="12" hidden="1" customHeight="1">
      <c r="A9906" s="426"/>
    </row>
    <row r="9907" spans="1:1" s="427" customFormat="1" ht="12" hidden="1" customHeight="1">
      <c r="A9907" s="426"/>
    </row>
    <row r="9908" spans="1:1" s="427" customFormat="1" ht="12" hidden="1" customHeight="1">
      <c r="A9908" s="426"/>
    </row>
    <row r="9909" spans="1:1" s="427" customFormat="1" ht="12" hidden="1" customHeight="1">
      <c r="A9909" s="426"/>
    </row>
    <row r="9910" spans="1:1" s="427" customFormat="1" ht="12" hidden="1" customHeight="1">
      <c r="A9910" s="426"/>
    </row>
    <row r="9911" spans="1:1" s="427" customFormat="1" ht="12" hidden="1" customHeight="1">
      <c r="A9911" s="426"/>
    </row>
    <row r="9912" spans="1:1" s="427" customFormat="1" ht="12" hidden="1" customHeight="1">
      <c r="A9912" s="426"/>
    </row>
    <row r="9913" spans="1:1" s="427" customFormat="1" ht="12" hidden="1" customHeight="1">
      <c r="A9913" s="426"/>
    </row>
    <row r="9914" spans="1:1" s="427" customFormat="1" ht="12" hidden="1" customHeight="1">
      <c r="A9914" s="426"/>
    </row>
    <row r="9915" spans="1:1" s="427" customFormat="1" ht="12" hidden="1" customHeight="1">
      <c r="A9915" s="426"/>
    </row>
    <row r="9916" spans="1:1" s="427" customFormat="1" ht="12" hidden="1" customHeight="1">
      <c r="A9916" s="426"/>
    </row>
    <row r="9917" spans="1:1" s="427" customFormat="1" ht="12" hidden="1" customHeight="1">
      <c r="A9917" s="426"/>
    </row>
    <row r="9918" spans="1:1" s="427" customFormat="1" ht="12" hidden="1" customHeight="1">
      <c r="A9918" s="426"/>
    </row>
    <row r="9919" spans="1:1" s="427" customFormat="1" ht="12" hidden="1" customHeight="1">
      <c r="A9919" s="426"/>
    </row>
    <row r="9920" spans="1:1" s="427" customFormat="1" ht="12" hidden="1" customHeight="1">
      <c r="A9920" s="426"/>
    </row>
    <row r="9921" spans="1:1" s="427" customFormat="1" ht="12" hidden="1" customHeight="1">
      <c r="A9921" s="426"/>
    </row>
    <row r="9922" spans="1:1" s="427" customFormat="1" ht="12" hidden="1" customHeight="1">
      <c r="A9922" s="426"/>
    </row>
    <row r="9923" spans="1:1" s="427" customFormat="1" ht="12" hidden="1" customHeight="1">
      <c r="A9923" s="426"/>
    </row>
    <row r="9924" spans="1:1" s="427" customFormat="1" ht="12" hidden="1" customHeight="1">
      <c r="A9924" s="426"/>
    </row>
    <row r="9925" spans="1:1" s="427" customFormat="1" ht="12" hidden="1" customHeight="1">
      <c r="A9925" s="426"/>
    </row>
    <row r="9926" spans="1:1" s="427" customFormat="1" ht="12" hidden="1" customHeight="1">
      <c r="A9926" s="426"/>
    </row>
    <row r="9927" spans="1:1" s="427" customFormat="1" ht="12" hidden="1" customHeight="1">
      <c r="A9927" s="426"/>
    </row>
    <row r="9928" spans="1:1" s="427" customFormat="1" ht="12" hidden="1" customHeight="1">
      <c r="A9928" s="426"/>
    </row>
    <row r="9929" spans="1:1" s="427" customFormat="1" ht="12" hidden="1" customHeight="1">
      <c r="A9929" s="426"/>
    </row>
    <row r="9930" spans="1:1" s="427" customFormat="1" ht="12" hidden="1" customHeight="1">
      <c r="A9930" s="426"/>
    </row>
    <row r="9931" spans="1:1" s="427" customFormat="1" ht="12" hidden="1" customHeight="1">
      <c r="A9931" s="426"/>
    </row>
    <row r="9932" spans="1:1" s="427" customFormat="1" ht="12" hidden="1" customHeight="1">
      <c r="A9932" s="426"/>
    </row>
    <row r="9933" spans="1:1" s="427" customFormat="1" ht="12" hidden="1" customHeight="1">
      <c r="A9933" s="426"/>
    </row>
    <row r="9934" spans="1:1" s="427" customFormat="1" ht="12" hidden="1" customHeight="1">
      <c r="A9934" s="426"/>
    </row>
    <row r="9935" spans="1:1" s="427" customFormat="1" ht="12" hidden="1" customHeight="1">
      <c r="A9935" s="426"/>
    </row>
    <row r="9936" spans="1:1" s="427" customFormat="1" ht="12" hidden="1" customHeight="1">
      <c r="A9936" s="426"/>
    </row>
    <row r="9937" spans="1:1" s="427" customFormat="1" ht="12" hidden="1" customHeight="1">
      <c r="A9937" s="426"/>
    </row>
    <row r="9938" spans="1:1" s="427" customFormat="1" ht="12" hidden="1" customHeight="1">
      <c r="A9938" s="426"/>
    </row>
    <row r="9939" spans="1:1" s="427" customFormat="1" ht="12" hidden="1" customHeight="1">
      <c r="A9939" s="426"/>
    </row>
    <row r="9940" spans="1:1" s="427" customFormat="1" ht="12" hidden="1" customHeight="1">
      <c r="A9940" s="426"/>
    </row>
    <row r="9941" spans="1:1" s="427" customFormat="1" ht="12" hidden="1" customHeight="1">
      <c r="A9941" s="426"/>
    </row>
    <row r="9942" spans="1:1" s="427" customFormat="1" ht="12" hidden="1" customHeight="1">
      <c r="A9942" s="426"/>
    </row>
    <row r="9943" spans="1:1" s="427" customFormat="1" ht="12" hidden="1" customHeight="1">
      <c r="A9943" s="426"/>
    </row>
    <row r="9944" spans="1:1" s="427" customFormat="1" ht="12" hidden="1" customHeight="1">
      <c r="A9944" s="426"/>
    </row>
    <row r="9945" spans="1:1" s="427" customFormat="1" ht="12" hidden="1" customHeight="1">
      <c r="A9945" s="426"/>
    </row>
    <row r="9946" spans="1:1" s="427" customFormat="1" ht="12" hidden="1" customHeight="1">
      <c r="A9946" s="426"/>
    </row>
    <row r="9947" spans="1:1" s="427" customFormat="1" ht="12" hidden="1" customHeight="1">
      <c r="A9947" s="426"/>
    </row>
    <row r="9948" spans="1:1" s="427" customFormat="1" ht="12" hidden="1" customHeight="1">
      <c r="A9948" s="426"/>
    </row>
    <row r="9949" spans="1:1" s="427" customFormat="1" ht="12" hidden="1" customHeight="1">
      <c r="A9949" s="426"/>
    </row>
    <row r="9950" spans="1:1" s="427" customFormat="1" ht="12" hidden="1" customHeight="1">
      <c r="A9950" s="426"/>
    </row>
    <row r="9951" spans="1:1" s="427" customFormat="1" ht="12" hidden="1" customHeight="1">
      <c r="A9951" s="426"/>
    </row>
    <row r="9952" spans="1:1" s="427" customFormat="1" ht="12" hidden="1" customHeight="1">
      <c r="A9952" s="426"/>
    </row>
    <row r="9953" spans="1:1" s="427" customFormat="1" ht="12" hidden="1" customHeight="1">
      <c r="A9953" s="426"/>
    </row>
    <row r="9954" spans="1:1" s="427" customFormat="1" ht="12" hidden="1" customHeight="1">
      <c r="A9954" s="426"/>
    </row>
    <row r="9955" spans="1:1" s="427" customFormat="1" ht="12" hidden="1" customHeight="1">
      <c r="A9955" s="426"/>
    </row>
    <row r="9956" spans="1:1" s="427" customFormat="1" ht="12" hidden="1" customHeight="1">
      <c r="A9956" s="426"/>
    </row>
    <row r="9957" spans="1:1" s="427" customFormat="1" ht="12" hidden="1" customHeight="1">
      <c r="A9957" s="426"/>
    </row>
    <row r="9958" spans="1:1" s="427" customFormat="1" ht="12" hidden="1" customHeight="1">
      <c r="A9958" s="426"/>
    </row>
    <row r="9959" spans="1:1" s="427" customFormat="1" ht="12" hidden="1" customHeight="1">
      <c r="A9959" s="426"/>
    </row>
    <row r="9960" spans="1:1" s="427" customFormat="1" ht="12" hidden="1" customHeight="1">
      <c r="A9960" s="426"/>
    </row>
    <row r="9961" spans="1:1" s="427" customFormat="1" ht="12" hidden="1" customHeight="1">
      <c r="A9961" s="426"/>
    </row>
    <row r="9962" spans="1:1" s="427" customFormat="1" ht="12" hidden="1" customHeight="1">
      <c r="A9962" s="426"/>
    </row>
    <row r="9963" spans="1:1" s="427" customFormat="1" ht="12" hidden="1" customHeight="1">
      <c r="A9963" s="426"/>
    </row>
    <row r="9964" spans="1:1" s="427" customFormat="1" ht="12" hidden="1" customHeight="1">
      <c r="A9964" s="426"/>
    </row>
    <row r="9965" spans="1:1" s="427" customFormat="1" ht="12" hidden="1" customHeight="1">
      <c r="A9965" s="426"/>
    </row>
    <row r="9966" spans="1:1" s="427" customFormat="1" ht="12" hidden="1" customHeight="1">
      <c r="A9966" s="426"/>
    </row>
    <row r="9967" spans="1:1" s="427" customFormat="1" ht="12" hidden="1" customHeight="1">
      <c r="A9967" s="426"/>
    </row>
    <row r="9968" spans="1:1" s="427" customFormat="1" ht="12" hidden="1" customHeight="1">
      <c r="A9968" s="426"/>
    </row>
    <row r="9969" spans="1:1" s="427" customFormat="1" ht="12" hidden="1" customHeight="1">
      <c r="A9969" s="426"/>
    </row>
    <row r="9970" spans="1:1" s="427" customFormat="1" ht="12" hidden="1" customHeight="1">
      <c r="A9970" s="426"/>
    </row>
    <row r="9971" spans="1:1" s="427" customFormat="1" ht="12" hidden="1" customHeight="1">
      <c r="A9971" s="426"/>
    </row>
    <row r="9972" spans="1:1" s="427" customFormat="1" ht="12" hidden="1" customHeight="1">
      <c r="A9972" s="426"/>
    </row>
    <row r="9973" spans="1:1" s="427" customFormat="1" ht="12" hidden="1" customHeight="1">
      <c r="A9973" s="426"/>
    </row>
    <row r="9974" spans="1:1" s="427" customFormat="1" ht="12" hidden="1" customHeight="1">
      <c r="A9974" s="426"/>
    </row>
    <row r="9975" spans="1:1" s="427" customFormat="1" ht="12" hidden="1" customHeight="1">
      <c r="A9975" s="426"/>
    </row>
    <row r="9976" spans="1:1" s="427" customFormat="1" ht="12" hidden="1" customHeight="1">
      <c r="A9976" s="426"/>
    </row>
    <row r="9977" spans="1:1" s="427" customFormat="1" ht="12" hidden="1" customHeight="1">
      <c r="A9977" s="426"/>
    </row>
    <row r="9978" spans="1:1" s="427" customFormat="1" ht="12" hidden="1" customHeight="1">
      <c r="A9978" s="426"/>
    </row>
    <row r="9979" spans="1:1" s="427" customFormat="1" ht="12" hidden="1" customHeight="1">
      <c r="A9979" s="426"/>
    </row>
    <row r="9980" spans="1:1" s="427" customFormat="1" ht="12" hidden="1" customHeight="1">
      <c r="A9980" s="426"/>
    </row>
    <row r="9981" spans="1:1" s="427" customFormat="1" ht="12" hidden="1" customHeight="1">
      <c r="A9981" s="426"/>
    </row>
    <row r="9982" spans="1:1" s="427" customFormat="1" ht="12" hidden="1" customHeight="1">
      <c r="A9982" s="426"/>
    </row>
    <row r="9983" spans="1:1" s="427" customFormat="1" ht="12" hidden="1" customHeight="1">
      <c r="A9983" s="426"/>
    </row>
    <row r="9984" spans="1:1" s="427" customFormat="1" ht="12" hidden="1" customHeight="1">
      <c r="A9984" s="426"/>
    </row>
    <row r="9985" spans="1:1" s="427" customFormat="1" ht="12" hidden="1" customHeight="1">
      <c r="A9985" s="426"/>
    </row>
    <row r="9986" spans="1:1" s="427" customFormat="1" ht="12" hidden="1" customHeight="1">
      <c r="A9986" s="426"/>
    </row>
    <row r="9987" spans="1:1" s="427" customFormat="1" ht="12" hidden="1" customHeight="1">
      <c r="A9987" s="426"/>
    </row>
    <row r="9988" spans="1:1" s="427" customFormat="1" ht="12" hidden="1" customHeight="1">
      <c r="A9988" s="426"/>
    </row>
    <row r="9989" spans="1:1" s="427" customFormat="1" ht="12" hidden="1" customHeight="1">
      <c r="A9989" s="426"/>
    </row>
    <row r="9990" spans="1:1" s="427" customFormat="1" ht="12" hidden="1" customHeight="1">
      <c r="A9990" s="426"/>
    </row>
    <row r="9991" spans="1:1" s="427" customFormat="1" ht="12" hidden="1" customHeight="1">
      <c r="A9991" s="426"/>
    </row>
    <row r="9992" spans="1:1" s="427" customFormat="1" ht="12" hidden="1" customHeight="1">
      <c r="A9992" s="426"/>
    </row>
    <row r="9993" spans="1:1" s="427" customFormat="1" ht="12" hidden="1" customHeight="1">
      <c r="A9993" s="426"/>
    </row>
    <row r="9994" spans="1:1" s="427" customFormat="1" ht="12" hidden="1" customHeight="1">
      <c r="A9994" s="426"/>
    </row>
    <row r="9995" spans="1:1" s="427" customFormat="1" ht="12" hidden="1" customHeight="1">
      <c r="A9995" s="426"/>
    </row>
    <row r="9996" spans="1:1" s="427" customFormat="1" ht="12" hidden="1" customHeight="1">
      <c r="A9996" s="426"/>
    </row>
    <row r="9997" spans="1:1" s="427" customFormat="1" ht="12" hidden="1" customHeight="1">
      <c r="A9997" s="426"/>
    </row>
    <row r="9998" spans="1:1" s="427" customFormat="1" ht="12" hidden="1" customHeight="1">
      <c r="A9998" s="426"/>
    </row>
    <row r="9999" spans="1:1" s="427" customFormat="1" ht="12" hidden="1" customHeight="1">
      <c r="A9999" s="426"/>
    </row>
    <row r="10000" spans="1:1" s="427" customFormat="1" ht="12" hidden="1" customHeight="1">
      <c r="A10000" s="426"/>
    </row>
    <row r="10001" spans="1:1" s="427" customFormat="1" ht="12" hidden="1" customHeight="1">
      <c r="A10001" s="426"/>
    </row>
    <row r="10002" spans="1:1" s="427" customFormat="1" ht="12" hidden="1" customHeight="1">
      <c r="A10002" s="426"/>
    </row>
    <row r="10003" spans="1:1" s="427" customFormat="1" ht="12" hidden="1" customHeight="1">
      <c r="A10003" s="426"/>
    </row>
    <row r="10004" spans="1:1" s="427" customFormat="1" ht="12" hidden="1" customHeight="1">
      <c r="A10004" s="426"/>
    </row>
    <row r="10005" spans="1:1" s="427" customFormat="1" ht="12" hidden="1" customHeight="1">
      <c r="A10005" s="426"/>
    </row>
    <row r="10006" spans="1:1" s="427" customFormat="1" ht="12" hidden="1" customHeight="1">
      <c r="A10006" s="426"/>
    </row>
    <row r="10007" spans="1:1" s="427" customFormat="1" ht="12" hidden="1" customHeight="1">
      <c r="A10007" s="426"/>
    </row>
    <row r="10008" spans="1:1" s="427" customFormat="1" ht="12" hidden="1" customHeight="1">
      <c r="A10008" s="426"/>
    </row>
    <row r="10009" spans="1:1" s="427" customFormat="1" ht="12" hidden="1" customHeight="1">
      <c r="A10009" s="426"/>
    </row>
    <row r="10010" spans="1:1" s="427" customFormat="1" ht="12" hidden="1" customHeight="1">
      <c r="A10010" s="426"/>
    </row>
    <row r="10011" spans="1:1" s="427" customFormat="1" ht="12" hidden="1" customHeight="1">
      <c r="A10011" s="426"/>
    </row>
    <row r="10012" spans="1:1" s="427" customFormat="1" ht="12" hidden="1" customHeight="1">
      <c r="A10012" s="426"/>
    </row>
    <row r="10013" spans="1:1" s="427" customFormat="1" ht="12" hidden="1" customHeight="1">
      <c r="A10013" s="426"/>
    </row>
    <row r="10014" spans="1:1" s="427" customFormat="1" ht="12" hidden="1" customHeight="1">
      <c r="A10014" s="426"/>
    </row>
    <row r="10015" spans="1:1" s="427" customFormat="1" ht="12" hidden="1" customHeight="1">
      <c r="A10015" s="426"/>
    </row>
    <row r="10016" spans="1:1" s="427" customFormat="1" ht="12" hidden="1" customHeight="1">
      <c r="A10016" s="426"/>
    </row>
    <row r="10017" spans="1:1" s="427" customFormat="1" ht="12" hidden="1" customHeight="1">
      <c r="A10017" s="426"/>
    </row>
    <row r="10018" spans="1:1" s="427" customFormat="1" ht="12" hidden="1" customHeight="1">
      <c r="A10018" s="426"/>
    </row>
    <row r="10019" spans="1:1" s="427" customFormat="1" ht="12" hidden="1" customHeight="1">
      <c r="A10019" s="426"/>
    </row>
    <row r="10020" spans="1:1" s="427" customFormat="1" ht="12" hidden="1" customHeight="1">
      <c r="A10020" s="426"/>
    </row>
    <row r="10021" spans="1:1" s="427" customFormat="1" ht="12" hidden="1" customHeight="1">
      <c r="A10021" s="426"/>
    </row>
    <row r="10022" spans="1:1" s="427" customFormat="1" ht="12" hidden="1" customHeight="1">
      <c r="A10022" s="426"/>
    </row>
    <row r="10023" spans="1:1" s="427" customFormat="1" ht="12" hidden="1" customHeight="1">
      <c r="A10023" s="426"/>
    </row>
    <row r="10024" spans="1:1" s="427" customFormat="1" ht="12" hidden="1" customHeight="1">
      <c r="A10024" s="426"/>
    </row>
    <row r="10025" spans="1:1" s="427" customFormat="1" ht="12" hidden="1" customHeight="1">
      <c r="A10025" s="426"/>
    </row>
    <row r="10026" spans="1:1" s="427" customFormat="1" ht="12" hidden="1" customHeight="1">
      <c r="A10026" s="426"/>
    </row>
    <row r="10027" spans="1:1" s="427" customFormat="1" ht="12" hidden="1" customHeight="1">
      <c r="A10027" s="426"/>
    </row>
    <row r="10028" spans="1:1" s="427" customFormat="1" ht="12" hidden="1" customHeight="1">
      <c r="A10028" s="426"/>
    </row>
    <row r="10029" spans="1:1" s="427" customFormat="1" ht="12" hidden="1" customHeight="1">
      <c r="A10029" s="426"/>
    </row>
    <row r="10030" spans="1:1" s="427" customFormat="1" ht="12" hidden="1" customHeight="1">
      <c r="A10030" s="426"/>
    </row>
    <row r="10031" spans="1:1" s="427" customFormat="1" ht="12" hidden="1" customHeight="1">
      <c r="A10031" s="426"/>
    </row>
    <row r="10032" spans="1:1" s="427" customFormat="1" ht="12" hidden="1" customHeight="1">
      <c r="A10032" s="426"/>
    </row>
    <row r="10033" spans="1:1" s="427" customFormat="1" ht="12" hidden="1" customHeight="1">
      <c r="A10033" s="426"/>
    </row>
    <row r="10034" spans="1:1" s="427" customFormat="1" ht="12" hidden="1" customHeight="1">
      <c r="A10034" s="426"/>
    </row>
    <row r="10035" spans="1:1" s="427" customFormat="1" ht="12" hidden="1" customHeight="1">
      <c r="A10035" s="426"/>
    </row>
    <row r="10036" spans="1:1" s="427" customFormat="1" ht="12" hidden="1" customHeight="1">
      <c r="A10036" s="426"/>
    </row>
    <row r="10037" spans="1:1" s="427" customFormat="1" ht="12" hidden="1" customHeight="1">
      <c r="A10037" s="426"/>
    </row>
    <row r="10038" spans="1:1" s="427" customFormat="1" ht="12" hidden="1" customHeight="1">
      <c r="A10038" s="426"/>
    </row>
    <row r="10039" spans="1:1" s="427" customFormat="1" ht="12" hidden="1" customHeight="1">
      <c r="A10039" s="426"/>
    </row>
    <row r="10040" spans="1:1" s="427" customFormat="1" ht="12" hidden="1" customHeight="1">
      <c r="A10040" s="426"/>
    </row>
    <row r="10041" spans="1:1" s="427" customFormat="1" ht="12" hidden="1" customHeight="1">
      <c r="A10041" s="426"/>
    </row>
    <row r="10042" spans="1:1" s="427" customFormat="1" ht="12" hidden="1" customHeight="1">
      <c r="A10042" s="426"/>
    </row>
    <row r="10043" spans="1:1" s="427" customFormat="1" ht="12" hidden="1" customHeight="1">
      <c r="A10043" s="426"/>
    </row>
    <row r="10044" spans="1:1" s="427" customFormat="1" ht="12" hidden="1" customHeight="1">
      <c r="A10044" s="426"/>
    </row>
    <row r="10045" spans="1:1" s="427" customFormat="1" ht="12" hidden="1" customHeight="1">
      <c r="A10045" s="426"/>
    </row>
    <row r="10046" spans="1:1" s="427" customFormat="1" ht="12" hidden="1" customHeight="1">
      <c r="A10046" s="426"/>
    </row>
    <row r="10047" spans="1:1" s="427" customFormat="1" ht="12" hidden="1" customHeight="1">
      <c r="A10047" s="426"/>
    </row>
    <row r="10048" spans="1:1" s="427" customFormat="1" ht="12" hidden="1" customHeight="1">
      <c r="A10048" s="426"/>
    </row>
    <row r="10049" spans="1:1" s="427" customFormat="1" ht="12" hidden="1" customHeight="1">
      <c r="A10049" s="426"/>
    </row>
    <row r="10050" spans="1:1" s="427" customFormat="1" ht="12" hidden="1" customHeight="1">
      <c r="A10050" s="426"/>
    </row>
    <row r="10051" spans="1:1" s="427" customFormat="1" ht="12" hidden="1" customHeight="1">
      <c r="A10051" s="426"/>
    </row>
    <row r="10052" spans="1:1" s="427" customFormat="1" ht="12" hidden="1" customHeight="1">
      <c r="A10052" s="426"/>
    </row>
    <row r="10053" spans="1:1" s="427" customFormat="1" ht="12" hidden="1" customHeight="1">
      <c r="A10053" s="426"/>
    </row>
    <row r="10054" spans="1:1" s="427" customFormat="1" ht="12" hidden="1" customHeight="1">
      <c r="A10054" s="426"/>
    </row>
    <row r="10055" spans="1:1" s="427" customFormat="1" ht="12" hidden="1" customHeight="1">
      <c r="A10055" s="426"/>
    </row>
    <row r="10056" spans="1:1" s="427" customFormat="1" ht="12" hidden="1" customHeight="1">
      <c r="A10056" s="426"/>
    </row>
    <row r="10057" spans="1:1" s="427" customFormat="1" ht="12" hidden="1" customHeight="1">
      <c r="A10057" s="426"/>
    </row>
    <row r="10058" spans="1:1" s="427" customFormat="1" ht="12" hidden="1" customHeight="1">
      <c r="A10058" s="426"/>
    </row>
    <row r="10059" spans="1:1" s="427" customFormat="1" ht="12" hidden="1" customHeight="1">
      <c r="A10059" s="426"/>
    </row>
    <row r="10060" spans="1:1" s="427" customFormat="1" ht="12" hidden="1" customHeight="1">
      <c r="A10060" s="426"/>
    </row>
    <row r="10061" spans="1:1" s="427" customFormat="1" ht="12" hidden="1" customHeight="1">
      <c r="A10061" s="426"/>
    </row>
    <row r="10062" spans="1:1" s="427" customFormat="1" ht="12" hidden="1" customHeight="1">
      <c r="A10062" s="426"/>
    </row>
    <row r="10063" spans="1:1" s="427" customFormat="1" ht="12" hidden="1" customHeight="1">
      <c r="A10063" s="426"/>
    </row>
    <row r="10064" spans="1:1" s="427" customFormat="1" ht="12" hidden="1" customHeight="1">
      <c r="A10064" s="426"/>
    </row>
    <row r="10065" spans="1:1" s="427" customFormat="1" ht="12" hidden="1" customHeight="1">
      <c r="A10065" s="426"/>
    </row>
    <row r="10066" spans="1:1" s="427" customFormat="1" ht="12" hidden="1" customHeight="1">
      <c r="A10066" s="426"/>
    </row>
    <row r="10067" spans="1:1" s="427" customFormat="1" ht="12" hidden="1" customHeight="1">
      <c r="A10067" s="426"/>
    </row>
    <row r="10068" spans="1:1" s="427" customFormat="1" ht="12" hidden="1" customHeight="1">
      <c r="A10068" s="426"/>
    </row>
    <row r="10069" spans="1:1" s="427" customFormat="1" ht="12" hidden="1" customHeight="1">
      <c r="A10069" s="426"/>
    </row>
    <row r="10070" spans="1:1" s="427" customFormat="1" ht="12" hidden="1" customHeight="1">
      <c r="A10070" s="426"/>
    </row>
    <row r="10071" spans="1:1" s="427" customFormat="1" ht="12" hidden="1" customHeight="1">
      <c r="A10071" s="426"/>
    </row>
    <row r="10072" spans="1:1" s="427" customFormat="1" ht="12" hidden="1" customHeight="1">
      <c r="A10072" s="426"/>
    </row>
    <row r="10073" spans="1:1" s="427" customFormat="1" ht="12" hidden="1" customHeight="1">
      <c r="A10073" s="426"/>
    </row>
    <row r="10074" spans="1:1" s="427" customFormat="1" ht="12" hidden="1" customHeight="1">
      <c r="A10074" s="426"/>
    </row>
    <row r="10075" spans="1:1" s="427" customFormat="1" ht="12" hidden="1" customHeight="1">
      <c r="A10075" s="426"/>
    </row>
    <row r="10076" spans="1:1" s="427" customFormat="1" ht="12" hidden="1" customHeight="1">
      <c r="A10076" s="426"/>
    </row>
    <row r="10077" spans="1:1" s="427" customFormat="1" ht="12" hidden="1" customHeight="1">
      <c r="A10077" s="426"/>
    </row>
    <row r="10078" spans="1:1" s="427" customFormat="1" ht="12" hidden="1" customHeight="1">
      <c r="A10078" s="426"/>
    </row>
    <row r="10079" spans="1:1" s="427" customFormat="1" ht="12" hidden="1" customHeight="1">
      <c r="A10079" s="426"/>
    </row>
    <row r="10080" spans="1:1" s="427" customFormat="1" ht="12" hidden="1" customHeight="1">
      <c r="A10080" s="426"/>
    </row>
    <row r="10081" spans="1:1" s="427" customFormat="1" ht="12" hidden="1" customHeight="1">
      <c r="A10081" s="426"/>
    </row>
    <row r="10082" spans="1:1" s="427" customFormat="1" ht="12" hidden="1" customHeight="1">
      <c r="A10082" s="426"/>
    </row>
    <row r="10083" spans="1:1" s="427" customFormat="1" ht="12" hidden="1" customHeight="1">
      <c r="A10083" s="426"/>
    </row>
    <row r="10084" spans="1:1" s="427" customFormat="1" ht="12" hidden="1" customHeight="1">
      <c r="A10084" s="426"/>
    </row>
    <row r="10085" spans="1:1" s="427" customFormat="1" ht="12" hidden="1" customHeight="1">
      <c r="A10085" s="426"/>
    </row>
    <row r="10086" spans="1:1" s="427" customFormat="1" ht="12" hidden="1" customHeight="1">
      <c r="A10086" s="426"/>
    </row>
    <row r="10087" spans="1:1" s="427" customFormat="1" ht="12" hidden="1" customHeight="1">
      <c r="A10087" s="426"/>
    </row>
    <row r="10088" spans="1:1" s="427" customFormat="1" ht="12" hidden="1" customHeight="1">
      <c r="A10088" s="426"/>
    </row>
    <row r="10089" spans="1:1" s="427" customFormat="1" ht="12" hidden="1" customHeight="1">
      <c r="A10089" s="426"/>
    </row>
    <row r="10090" spans="1:1" s="427" customFormat="1" ht="12" hidden="1" customHeight="1">
      <c r="A10090" s="426"/>
    </row>
    <row r="10091" spans="1:1" s="427" customFormat="1" ht="12" hidden="1" customHeight="1">
      <c r="A10091" s="426"/>
    </row>
    <row r="10092" spans="1:1" s="427" customFormat="1" ht="12" hidden="1" customHeight="1">
      <c r="A10092" s="426"/>
    </row>
    <row r="10093" spans="1:1" s="427" customFormat="1" ht="12" hidden="1" customHeight="1">
      <c r="A10093" s="426"/>
    </row>
    <row r="10094" spans="1:1" s="427" customFormat="1" ht="12" hidden="1" customHeight="1">
      <c r="A10094" s="426"/>
    </row>
    <row r="10095" spans="1:1" s="427" customFormat="1" ht="12" hidden="1" customHeight="1">
      <c r="A10095" s="426"/>
    </row>
    <row r="10096" spans="1:1" s="427" customFormat="1" ht="12" hidden="1" customHeight="1">
      <c r="A10096" s="426"/>
    </row>
    <row r="10097" spans="1:1" s="427" customFormat="1" ht="12" hidden="1" customHeight="1">
      <c r="A10097" s="426"/>
    </row>
    <row r="10098" spans="1:1" s="427" customFormat="1" ht="12" hidden="1" customHeight="1">
      <c r="A10098" s="426"/>
    </row>
    <row r="10099" spans="1:1" s="427" customFormat="1" ht="12" hidden="1" customHeight="1">
      <c r="A10099" s="426"/>
    </row>
    <row r="10100" spans="1:1" s="427" customFormat="1" ht="12" hidden="1" customHeight="1">
      <c r="A10100" s="426"/>
    </row>
    <row r="10101" spans="1:1" s="427" customFormat="1" ht="12" hidden="1" customHeight="1">
      <c r="A10101" s="426"/>
    </row>
    <row r="10102" spans="1:1" s="427" customFormat="1" ht="12" hidden="1" customHeight="1">
      <c r="A10102" s="426"/>
    </row>
    <row r="10103" spans="1:1" s="427" customFormat="1" ht="12" hidden="1" customHeight="1">
      <c r="A10103" s="426"/>
    </row>
    <row r="10104" spans="1:1" s="427" customFormat="1" ht="12" hidden="1" customHeight="1">
      <c r="A10104" s="426"/>
    </row>
    <row r="10105" spans="1:1" s="427" customFormat="1" ht="12" hidden="1" customHeight="1">
      <c r="A10105" s="426"/>
    </row>
    <row r="10106" spans="1:1" s="427" customFormat="1" ht="12" hidden="1" customHeight="1">
      <c r="A10106" s="426"/>
    </row>
    <row r="10107" spans="1:1" s="427" customFormat="1" ht="12" hidden="1" customHeight="1">
      <c r="A10107" s="426"/>
    </row>
    <row r="10108" spans="1:1" s="427" customFormat="1" ht="12" hidden="1" customHeight="1">
      <c r="A10108" s="426"/>
    </row>
    <row r="10109" spans="1:1" s="427" customFormat="1" ht="12" hidden="1" customHeight="1">
      <c r="A10109" s="426"/>
    </row>
    <row r="10110" spans="1:1" s="427" customFormat="1" ht="12" hidden="1" customHeight="1">
      <c r="A10110" s="426"/>
    </row>
    <row r="10111" spans="1:1" s="427" customFormat="1" ht="12" hidden="1" customHeight="1">
      <c r="A10111" s="426"/>
    </row>
    <row r="10112" spans="1:1" s="427" customFormat="1" ht="12" hidden="1" customHeight="1">
      <c r="A10112" s="426"/>
    </row>
    <row r="10113" spans="1:1" s="427" customFormat="1" ht="12" hidden="1" customHeight="1">
      <c r="A10113" s="426"/>
    </row>
    <row r="10114" spans="1:1" s="427" customFormat="1" ht="12" hidden="1" customHeight="1">
      <c r="A10114" s="426"/>
    </row>
    <row r="10115" spans="1:1" s="427" customFormat="1" ht="12" hidden="1" customHeight="1">
      <c r="A10115" s="426"/>
    </row>
    <row r="10116" spans="1:1" s="427" customFormat="1" ht="12" hidden="1" customHeight="1">
      <c r="A10116" s="426"/>
    </row>
    <row r="10117" spans="1:1" s="427" customFormat="1" ht="12" hidden="1" customHeight="1">
      <c r="A10117" s="426"/>
    </row>
    <row r="10118" spans="1:1" s="427" customFormat="1" ht="12" hidden="1" customHeight="1">
      <c r="A10118" s="426"/>
    </row>
    <row r="10119" spans="1:1" s="427" customFormat="1" ht="12" hidden="1" customHeight="1">
      <c r="A10119" s="426"/>
    </row>
    <row r="10120" spans="1:1" s="427" customFormat="1" ht="12" hidden="1" customHeight="1">
      <c r="A10120" s="426"/>
    </row>
    <row r="10121" spans="1:1" s="427" customFormat="1" ht="12" hidden="1" customHeight="1">
      <c r="A10121" s="426"/>
    </row>
    <row r="10122" spans="1:1" s="427" customFormat="1" ht="12" hidden="1" customHeight="1">
      <c r="A10122" s="426"/>
    </row>
    <row r="10123" spans="1:1" s="427" customFormat="1" ht="12" hidden="1" customHeight="1">
      <c r="A10123" s="426"/>
    </row>
    <row r="10124" spans="1:1" s="427" customFormat="1" ht="12" hidden="1" customHeight="1">
      <c r="A10124" s="426"/>
    </row>
    <row r="10125" spans="1:1" s="427" customFormat="1" ht="12" hidden="1" customHeight="1">
      <c r="A10125" s="426"/>
    </row>
    <row r="10126" spans="1:1" s="427" customFormat="1" ht="12" hidden="1" customHeight="1">
      <c r="A10126" s="426"/>
    </row>
    <row r="10127" spans="1:1" s="427" customFormat="1" ht="12" hidden="1" customHeight="1">
      <c r="A10127" s="426"/>
    </row>
    <row r="10128" spans="1:1" s="427" customFormat="1" ht="12" hidden="1" customHeight="1">
      <c r="A10128" s="426"/>
    </row>
    <row r="10129" spans="1:1" s="427" customFormat="1" ht="12" hidden="1" customHeight="1">
      <c r="A10129" s="426"/>
    </row>
    <row r="10130" spans="1:1" s="427" customFormat="1" ht="12" hidden="1" customHeight="1">
      <c r="A10130" s="426"/>
    </row>
    <row r="10131" spans="1:1" s="427" customFormat="1" ht="12" hidden="1" customHeight="1">
      <c r="A10131" s="426"/>
    </row>
    <row r="10132" spans="1:1" s="427" customFormat="1" ht="12" hidden="1" customHeight="1">
      <c r="A10132" s="426"/>
    </row>
    <row r="10133" spans="1:1" s="427" customFormat="1" ht="12" hidden="1" customHeight="1">
      <c r="A10133" s="426"/>
    </row>
    <row r="10134" spans="1:1" s="427" customFormat="1" ht="12" hidden="1" customHeight="1">
      <c r="A10134" s="426"/>
    </row>
    <row r="10135" spans="1:1" s="427" customFormat="1" ht="12" hidden="1" customHeight="1">
      <c r="A10135" s="426"/>
    </row>
    <row r="10136" spans="1:1" s="427" customFormat="1" ht="12" hidden="1" customHeight="1">
      <c r="A10136" s="426"/>
    </row>
    <row r="10137" spans="1:1" s="427" customFormat="1" ht="12" hidden="1" customHeight="1">
      <c r="A10137" s="426"/>
    </row>
    <row r="10138" spans="1:1" s="427" customFormat="1" ht="12" hidden="1" customHeight="1">
      <c r="A10138" s="426"/>
    </row>
    <row r="10139" spans="1:1" s="427" customFormat="1" ht="12" hidden="1" customHeight="1">
      <c r="A10139" s="426"/>
    </row>
    <row r="10140" spans="1:1" s="427" customFormat="1" ht="12" hidden="1" customHeight="1">
      <c r="A10140" s="426"/>
    </row>
    <row r="10141" spans="1:1" s="427" customFormat="1" ht="12" hidden="1" customHeight="1">
      <c r="A10141" s="426"/>
    </row>
    <row r="10142" spans="1:1" s="427" customFormat="1" ht="12" hidden="1" customHeight="1">
      <c r="A10142" s="426"/>
    </row>
    <row r="10143" spans="1:1" s="427" customFormat="1" ht="12" hidden="1" customHeight="1">
      <c r="A10143" s="426"/>
    </row>
    <row r="10144" spans="1:1" s="427" customFormat="1" ht="12" hidden="1" customHeight="1">
      <c r="A10144" s="426"/>
    </row>
    <row r="10145" spans="1:1" s="427" customFormat="1" ht="12" hidden="1" customHeight="1">
      <c r="A10145" s="426"/>
    </row>
    <row r="10146" spans="1:1" s="427" customFormat="1" ht="12" hidden="1" customHeight="1">
      <c r="A10146" s="426"/>
    </row>
    <row r="10147" spans="1:1" s="427" customFormat="1" ht="12" hidden="1" customHeight="1">
      <c r="A10147" s="426"/>
    </row>
    <row r="10148" spans="1:1" s="427" customFormat="1" ht="12" hidden="1" customHeight="1">
      <c r="A10148" s="426"/>
    </row>
    <row r="10149" spans="1:1" s="427" customFormat="1" ht="12" hidden="1" customHeight="1">
      <c r="A10149" s="426"/>
    </row>
    <row r="10150" spans="1:1" s="427" customFormat="1" ht="12" hidden="1" customHeight="1">
      <c r="A10150" s="426"/>
    </row>
    <row r="10151" spans="1:1" s="427" customFormat="1" ht="12" hidden="1" customHeight="1">
      <c r="A10151" s="426"/>
    </row>
    <row r="10152" spans="1:1" s="427" customFormat="1" ht="12" hidden="1" customHeight="1">
      <c r="A10152" s="426"/>
    </row>
    <row r="10153" spans="1:1" s="427" customFormat="1" ht="12" hidden="1" customHeight="1">
      <c r="A10153" s="426"/>
    </row>
    <row r="10154" spans="1:1" s="427" customFormat="1" ht="12" hidden="1" customHeight="1">
      <c r="A10154" s="426"/>
    </row>
    <row r="10155" spans="1:1" s="427" customFormat="1" ht="12" hidden="1" customHeight="1">
      <c r="A10155" s="426"/>
    </row>
    <row r="10156" spans="1:1" s="427" customFormat="1" ht="12" hidden="1" customHeight="1">
      <c r="A10156" s="426"/>
    </row>
    <row r="10157" spans="1:1" s="427" customFormat="1" ht="12" hidden="1" customHeight="1">
      <c r="A10157" s="426"/>
    </row>
    <row r="10158" spans="1:1" s="427" customFormat="1" ht="12" hidden="1" customHeight="1">
      <c r="A10158" s="426"/>
    </row>
    <row r="10159" spans="1:1" s="427" customFormat="1" ht="12" hidden="1" customHeight="1">
      <c r="A10159" s="426"/>
    </row>
    <row r="10160" spans="1:1" s="427" customFormat="1" ht="12" hidden="1" customHeight="1">
      <c r="A10160" s="426"/>
    </row>
    <row r="10161" spans="1:1" s="427" customFormat="1" ht="12" hidden="1" customHeight="1">
      <c r="A10161" s="426"/>
    </row>
    <row r="10162" spans="1:1" s="427" customFormat="1" ht="12" hidden="1" customHeight="1">
      <c r="A10162" s="426"/>
    </row>
    <row r="10163" spans="1:1" s="427" customFormat="1" ht="12" hidden="1" customHeight="1">
      <c r="A10163" s="426"/>
    </row>
    <row r="10164" spans="1:1" s="427" customFormat="1" ht="12" hidden="1" customHeight="1">
      <c r="A10164" s="426"/>
    </row>
    <row r="10165" spans="1:1" s="427" customFormat="1" ht="12" hidden="1" customHeight="1">
      <c r="A10165" s="426"/>
    </row>
    <row r="10166" spans="1:1" s="427" customFormat="1" ht="12" hidden="1" customHeight="1">
      <c r="A10166" s="426"/>
    </row>
    <row r="10167" spans="1:1" s="427" customFormat="1" ht="12" hidden="1" customHeight="1">
      <c r="A10167" s="426"/>
    </row>
    <row r="10168" spans="1:1" s="427" customFormat="1" ht="12" hidden="1" customHeight="1">
      <c r="A10168" s="426"/>
    </row>
    <row r="10169" spans="1:1" s="427" customFormat="1" ht="12" hidden="1" customHeight="1">
      <c r="A10169" s="426"/>
    </row>
    <row r="10170" spans="1:1" s="427" customFormat="1" ht="12" hidden="1" customHeight="1">
      <c r="A10170" s="426"/>
    </row>
    <row r="10171" spans="1:1" s="427" customFormat="1" ht="12" hidden="1" customHeight="1">
      <c r="A10171" s="426"/>
    </row>
    <row r="10172" spans="1:1" s="427" customFormat="1" ht="12" hidden="1" customHeight="1">
      <c r="A10172" s="426"/>
    </row>
    <row r="10173" spans="1:1" s="427" customFormat="1" ht="12" hidden="1" customHeight="1">
      <c r="A10173" s="426"/>
    </row>
    <row r="10174" spans="1:1" s="427" customFormat="1" ht="12" hidden="1" customHeight="1">
      <c r="A10174" s="426"/>
    </row>
    <row r="10175" spans="1:1" s="427" customFormat="1" ht="12" hidden="1" customHeight="1">
      <c r="A10175" s="426"/>
    </row>
    <row r="10176" spans="1:1" s="427" customFormat="1" ht="12" hidden="1" customHeight="1">
      <c r="A10176" s="426"/>
    </row>
    <row r="10177" spans="1:1" s="427" customFormat="1" ht="12" hidden="1" customHeight="1">
      <c r="A10177" s="426"/>
    </row>
    <row r="10178" spans="1:1" s="427" customFormat="1" ht="12" hidden="1" customHeight="1">
      <c r="A10178" s="426"/>
    </row>
    <row r="10179" spans="1:1" s="427" customFormat="1" ht="12" hidden="1" customHeight="1">
      <c r="A10179" s="426"/>
    </row>
    <row r="10180" spans="1:1" s="427" customFormat="1" ht="12" hidden="1" customHeight="1">
      <c r="A10180" s="426"/>
    </row>
    <row r="10181" spans="1:1" s="427" customFormat="1" ht="12" hidden="1" customHeight="1">
      <c r="A10181" s="426"/>
    </row>
    <row r="10182" spans="1:1" s="427" customFormat="1" ht="12" hidden="1" customHeight="1">
      <c r="A10182" s="426"/>
    </row>
    <row r="10183" spans="1:1" s="427" customFormat="1" ht="12" hidden="1" customHeight="1">
      <c r="A10183" s="426"/>
    </row>
    <row r="10184" spans="1:1" s="427" customFormat="1" ht="12" hidden="1" customHeight="1">
      <c r="A10184" s="426"/>
    </row>
    <row r="10185" spans="1:1" s="427" customFormat="1" ht="12" hidden="1" customHeight="1">
      <c r="A10185" s="426"/>
    </row>
    <row r="10186" spans="1:1" s="427" customFormat="1" ht="12" hidden="1" customHeight="1">
      <c r="A10186" s="426"/>
    </row>
    <row r="10187" spans="1:1" s="427" customFormat="1" ht="12" hidden="1" customHeight="1">
      <c r="A10187" s="426"/>
    </row>
    <row r="10188" spans="1:1" s="427" customFormat="1" ht="12" hidden="1" customHeight="1">
      <c r="A10188" s="426"/>
    </row>
    <row r="10189" spans="1:1" s="427" customFormat="1" ht="12" hidden="1" customHeight="1">
      <c r="A10189" s="426"/>
    </row>
    <row r="10190" spans="1:1" s="427" customFormat="1" ht="12" hidden="1" customHeight="1">
      <c r="A10190" s="426"/>
    </row>
    <row r="10191" spans="1:1" s="427" customFormat="1" ht="12" hidden="1" customHeight="1">
      <c r="A10191" s="426"/>
    </row>
    <row r="10192" spans="1:1" s="427" customFormat="1" ht="12" hidden="1" customHeight="1">
      <c r="A10192" s="426"/>
    </row>
    <row r="10193" spans="1:1" s="427" customFormat="1" ht="12" hidden="1" customHeight="1">
      <c r="A10193" s="426"/>
    </row>
    <row r="10194" spans="1:1" s="427" customFormat="1" ht="12" hidden="1" customHeight="1">
      <c r="A10194" s="426"/>
    </row>
    <row r="10195" spans="1:1" s="427" customFormat="1" ht="12" hidden="1" customHeight="1">
      <c r="A10195" s="426"/>
    </row>
    <row r="10196" spans="1:1" s="427" customFormat="1" ht="12" hidden="1" customHeight="1">
      <c r="A10196" s="426"/>
    </row>
    <row r="10197" spans="1:1" s="427" customFormat="1" ht="12" hidden="1" customHeight="1">
      <c r="A10197" s="426"/>
    </row>
    <row r="10198" spans="1:1" s="427" customFormat="1" ht="12" hidden="1" customHeight="1">
      <c r="A10198" s="426"/>
    </row>
    <row r="10199" spans="1:1" s="427" customFormat="1" ht="12" hidden="1" customHeight="1">
      <c r="A10199" s="426"/>
    </row>
    <row r="10200" spans="1:1" s="427" customFormat="1" ht="12" hidden="1" customHeight="1">
      <c r="A10200" s="426"/>
    </row>
    <row r="10201" spans="1:1" s="427" customFormat="1" ht="12" hidden="1" customHeight="1">
      <c r="A10201" s="426"/>
    </row>
    <row r="10202" spans="1:1" s="427" customFormat="1" ht="12" hidden="1" customHeight="1">
      <c r="A10202" s="426"/>
    </row>
    <row r="10203" spans="1:1" s="427" customFormat="1" ht="12" hidden="1" customHeight="1">
      <c r="A10203" s="426"/>
    </row>
    <row r="10204" spans="1:1" s="427" customFormat="1" ht="12" hidden="1" customHeight="1">
      <c r="A10204" s="426"/>
    </row>
    <row r="10205" spans="1:1" s="427" customFormat="1" ht="12" hidden="1" customHeight="1">
      <c r="A10205" s="426"/>
    </row>
    <row r="10206" spans="1:1" s="427" customFormat="1" ht="12" hidden="1" customHeight="1">
      <c r="A10206" s="426"/>
    </row>
    <row r="10207" spans="1:1" s="427" customFormat="1" ht="12" hidden="1" customHeight="1">
      <c r="A10207" s="426"/>
    </row>
    <row r="10208" spans="1:1" s="427" customFormat="1" ht="12" hidden="1" customHeight="1">
      <c r="A10208" s="426"/>
    </row>
    <row r="10209" spans="1:1" s="427" customFormat="1" ht="12" hidden="1" customHeight="1">
      <c r="A10209" s="426"/>
    </row>
    <row r="10210" spans="1:1" s="427" customFormat="1" ht="12" hidden="1" customHeight="1">
      <c r="A10210" s="426"/>
    </row>
    <row r="10211" spans="1:1" s="427" customFormat="1" ht="12" hidden="1" customHeight="1">
      <c r="A10211" s="426"/>
    </row>
    <row r="10212" spans="1:1" s="427" customFormat="1" ht="12" hidden="1" customHeight="1">
      <c r="A10212" s="426"/>
    </row>
    <row r="10213" spans="1:1" s="427" customFormat="1" ht="12" hidden="1" customHeight="1">
      <c r="A10213" s="426"/>
    </row>
    <row r="10214" spans="1:1" s="427" customFormat="1" ht="12" hidden="1" customHeight="1">
      <c r="A10214" s="426"/>
    </row>
    <row r="10215" spans="1:1" s="427" customFormat="1" ht="12" hidden="1" customHeight="1">
      <c r="A10215" s="426"/>
    </row>
    <row r="10216" spans="1:1" s="427" customFormat="1" ht="12" hidden="1" customHeight="1">
      <c r="A10216" s="426"/>
    </row>
    <row r="10217" spans="1:1" s="427" customFormat="1" ht="12" hidden="1" customHeight="1">
      <c r="A10217" s="426"/>
    </row>
    <row r="10218" spans="1:1" s="427" customFormat="1" ht="12" hidden="1" customHeight="1">
      <c r="A10218" s="426"/>
    </row>
    <row r="10219" spans="1:1" s="427" customFormat="1" ht="12" hidden="1" customHeight="1">
      <c r="A10219" s="426"/>
    </row>
    <row r="10220" spans="1:1" s="427" customFormat="1" ht="12" hidden="1" customHeight="1">
      <c r="A10220" s="426"/>
    </row>
    <row r="10221" spans="1:1" s="427" customFormat="1" ht="12" hidden="1" customHeight="1">
      <c r="A10221" s="426"/>
    </row>
    <row r="10222" spans="1:1" s="427" customFormat="1" ht="12" hidden="1" customHeight="1">
      <c r="A10222" s="426"/>
    </row>
    <row r="10223" spans="1:1" s="427" customFormat="1" ht="12" hidden="1" customHeight="1">
      <c r="A10223" s="426"/>
    </row>
    <row r="10224" spans="1:1" s="427" customFormat="1" ht="12" hidden="1" customHeight="1">
      <c r="A10224" s="426"/>
    </row>
    <row r="10225" spans="1:1" s="427" customFormat="1" ht="12" hidden="1" customHeight="1">
      <c r="A10225" s="426"/>
    </row>
    <row r="10226" spans="1:1" s="427" customFormat="1" ht="12" hidden="1" customHeight="1">
      <c r="A10226" s="426"/>
    </row>
    <row r="10227" spans="1:1" s="427" customFormat="1" ht="12" hidden="1" customHeight="1">
      <c r="A10227" s="426"/>
    </row>
    <row r="10228" spans="1:1" s="427" customFormat="1" ht="12" hidden="1" customHeight="1">
      <c r="A10228" s="426"/>
    </row>
    <row r="10229" spans="1:1" s="427" customFormat="1" ht="12" hidden="1" customHeight="1">
      <c r="A10229" s="426"/>
    </row>
    <row r="10230" spans="1:1" s="427" customFormat="1" ht="12" hidden="1" customHeight="1">
      <c r="A10230" s="426"/>
    </row>
    <row r="10231" spans="1:1" s="427" customFormat="1" ht="12" hidden="1" customHeight="1">
      <c r="A10231" s="426"/>
    </row>
    <row r="10232" spans="1:1" s="427" customFormat="1" ht="12" hidden="1" customHeight="1">
      <c r="A10232" s="426"/>
    </row>
    <row r="10233" spans="1:1" s="427" customFormat="1" ht="12" hidden="1" customHeight="1">
      <c r="A10233" s="426"/>
    </row>
    <row r="10234" spans="1:1" s="427" customFormat="1" ht="12" hidden="1" customHeight="1">
      <c r="A10234" s="426"/>
    </row>
    <row r="10235" spans="1:1" s="427" customFormat="1" ht="12" hidden="1" customHeight="1">
      <c r="A10235" s="426"/>
    </row>
    <row r="10236" spans="1:1" s="427" customFormat="1" ht="12" hidden="1" customHeight="1">
      <c r="A10236" s="426"/>
    </row>
    <row r="10237" spans="1:1" s="427" customFormat="1" ht="12" hidden="1" customHeight="1">
      <c r="A10237" s="426"/>
    </row>
    <row r="10238" spans="1:1" s="427" customFormat="1" ht="12" hidden="1" customHeight="1">
      <c r="A10238" s="426"/>
    </row>
    <row r="10239" spans="1:1" s="427" customFormat="1" ht="12" hidden="1" customHeight="1">
      <c r="A10239" s="426"/>
    </row>
    <row r="10240" spans="1:1" s="427" customFormat="1" ht="12" hidden="1" customHeight="1">
      <c r="A10240" s="426"/>
    </row>
    <row r="10241" spans="1:1" s="427" customFormat="1" ht="12" hidden="1" customHeight="1">
      <c r="A10241" s="426"/>
    </row>
    <row r="10242" spans="1:1" s="427" customFormat="1" ht="12" hidden="1" customHeight="1">
      <c r="A10242" s="426"/>
    </row>
    <row r="10243" spans="1:1" s="427" customFormat="1" ht="12" hidden="1" customHeight="1">
      <c r="A10243" s="426"/>
    </row>
    <row r="10244" spans="1:1" s="427" customFormat="1" ht="12" hidden="1" customHeight="1">
      <c r="A10244" s="426"/>
    </row>
    <row r="10245" spans="1:1" s="427" customFormat="1" ht="12" hidden="1" customHeight="1">
      <c r="A10245" s="426"/>
    </row>
    <row r="10246" spans="1:1" s="427" customFormat="1" ht="12" hidden="1" customHeight="1">
      <c r="A10246" s="426"/>
    </row>
    <row r="10247" spans="1:1" s="427" customFormat="1" ht="12" hidden="1" customHeight="1">
      <c r="A10247" s="426"/>
    </row>
    <row r="10248" spans="1:1" s="427" customFormat="1" ht="12" hidden="1" customHeight="1">
      <c r="A10248" s="426"/>
    </row>
    <row r="10249" spans="1:1" s="427" customFormat="1" ht="12" hidden="1" customHeight="1">
      <c r="A10249" s="426"/>
    </row>
    <row r="10250" spans="1:1" s="427" customFormat="1" ht="12" hidden="1" customHeight="1">
      <c r="A10250" s="426"/>
    </row>
    <row r="10251" spans="1:1" s="427" customFormat="1" ht="12" hidden="1" customHeight="1">
      <c r="A10251" s="426"/>
    </row>
    <row r="10252" spans="1:1" s="427" customFormat="1" ht="12" hidden="1" customHeight="1">
      <c r="A10252" s="426"/>
    </row>
    <row r="10253" spans="1:1" s="427" customFormat="1" ht="12" hidden="1" customHeight="1">
      <c r="A10253" s="426"/>
    </row>
    <row r="10254" spans="1:1" s="427" customFormat="1" ht="12" hidden="1" customHeight="1">
      <c r="A10254" s="426"/>
    </row>
    <row r="10255" spans="1:1" s="427" customFormat="1" ht="12" hidden="1" customHeight="1">
      <c r="A10255" s="426"/>
    </row>
    <row r="10256" spans="1:1" s="427" customFormat="1" ht="12" hidden="1" customHeight="1">
      <c r="A10256" s="426"/>
    </row>
    <row r="10257" spans="1:1" s="427" customFormat="1" ht="12" hidden="1" customHeight="1">
      <c r="A10257" s="426"/>
    </row>
    <row r="10258" spans="1:1" s="427" customFormat="1" ht="12" hidden="1" customHeight="1">
      <c r="A10258" s="426"/>
    </row>
    <row r="10259" spans="1:1" s="427" customFormat="1" ht="12" hidden="1" customHeight="1">
      <c r="A10259" s="426"/>
    </row>
    <row r="10260" spans="1:1" s="427" customFormat="1" ht="12" hidden="1" customHeight="1">
      <c r="A10260" s="426"/>
    </row>
    <row r="10261" spans="1:1" s="427" customFormat="1" ht="12" hidden="1" customHeight="1">
      <c r="A10261" s="426"/>
    </row>
    <row r="10262" spans="1:1" s="427" customFormat="1" ht="12" hidden="1" customHeight="1">
      <c r="A10262" s="426"/>
    </row>
    <row r="10263" spans="1:1" s="427" customFormat="1" ht="12" hidden="1" customHeight="1">
      <c r="A10263" s="426"/>
    </row>
    <row r="10264" spans="1:1" s="427" customFormat="1" ht="12" hidden="1" customHeight="1">
      <c r="A10264" s="426"/>
    </row>
    <row r="10265" spans="1:1" s="427" customFormat="1" ht="12" hidden="1" customHeight="1">
      <c r="A10265" s="426"/>
    </row>
    <row r="10266" spans="1:1" s="427" customFormat="1" ht="12" hidden="1" customHeight="1">
      <c r="A10266" s="426"/>
    </row>
    <row r="10267" spans="1:1" s="427" customFormat="1" ht="12" hidden="1" customHeight="1">
      <c r="A10267" s="426"/>
    </row>
    <row r="10268" spans="1:1" s="427" customFormat="1" ht="12" hidden="1" customHeight="1">
      <c r="A10268" s="426"/>
    </row>
    <row r="10269" spans="1:1" s="427" customFormat="1" ht="12" hidden="1" customHeight="1">
      <c r="A10269" s="426"/>
    </row>
    <row r="10270" spans="1:1" s="427" customFormat="1" ht="12" hidden="1" customHeight="1">
      <c r="A10270" s="426"/>
    </row>
    <row r="10271" spans="1:1" s="427" customFormat="1" ht="12" hidden="1" customHeight="1">
      <c r="A10271" s="426"/>
    </row>
    <row r="10272" spans="1:1" s="427" customFormat="1" ht="12" hidden="1" customHeight="1">
      <c r="A10272" s="426"/>
    </row>
    <row r="10273" spans="1:1" s="427" customFormat="1" ht="12" hidden="1" customHeight="1">
      <c r="A10273" s="426"/>
    </row>
    <row r="10274" spans="1:1" s="427" customFormat="1" ht="12" hidden="1" customHeight="1">
      <c r="A10274" s="426"/>
    </row>
    <row r="10275" spans="1:1" s="427" customFormat="1" ht="12" hidden="1" customHeight="1">
      <c r="A10275" s="426"/>
    </row>
    <row r="10276" spans="1:1" s="427" customFormat="1" ht="12" hidden="1" customHeight="1">
      <c r="A10276" s="426"/>
    </row>
    <row r="10277" spans="1:1" s="427" customFormat="1" ht="12" hidden="1" customHeight="1">
      <c r="A10277" s="426"/>
    </row>
    <row r="10278" spans="1:1" s="427" customFormat="1" ht="12" hidden="1" customHeight="1">
      <c r="A10278" s="426"/>
    </row>
    <row r="10279" spans="1:1" s="427" customFormat="1" ht="12" hidden="1" customHeight="1">
      <c r="A10279" s="426"/>
    </row>
    <row r="10280" spans="1:1" s="427" customFormat="1" ht="12" hidden="1" customHeight="1">
      <c r="A10280" s="426"/>
    </row>
    <row r="10281" spans="1:1" s="427" customFormat="1" ht="12" hidden="1" customHeight="1">
      <c r="A10281" s="426"/>
    </row>
    <row r="10282" spans="1:1" s="427" customFormat="1" ht="12" hidden="1" customHeight="1">
      <c r="A10282" s="426"/>
    </row>
    <row r="10283" spans="1:1" s="427" customFormat="1" ht="12" hidden="1" customHeight="1">
      <c r="A10283" s="426"/>
    </row>
    <row r="10284" spans="1:1" s="427" customFormat="1" ht="12" hidden="1" customHeight="1">
      <c r="A10284" s="426"/>
    </row>
    <row r="10285" spans="1:1" s="427" customFormat="1" ht="12" hidden="1" customHeight="1">
      <c r="A10285" s="426"/>
    </row>
    <row r="10286" spans="1:1" s="427" customFormat="1" ht="12" hidden="1" customHeight="1">
      <c r="A10286" s="426"/>
    </row>
    <row r="10287" spans="1:1" s="427" customFormat="1" ht="12" hidden="1" customHeight="1">
      <c r="A10287" s="426"/>
    </row>
    <row r="10288" spans="1:1" s="427" customFormat="1" ht="12" hidden="1" customHeight="1">
      <c r="A10288" s="426"/>
    </row>
    <row r="10289" spans="1:1" s="427" customFormat="1" ht="12" hidden="1" customHeight="1">
      <c r="A10289" s="426"/>
    </row>
    <row r="10290" spans="1:1" s="427" customFormat="1" ht="12" hidden="1" customHeight="1">
      <c r="A10290" s="426"/>
    </row>
    <row r="10291" spans="1:1" s="427" customFormat="1" ht="12" hidden="1" customHeight="1">
      <c r="A10291" s="426"/>
    </row>
    <row r="10292" spans="1:1" s="427" customFormat="1" ht="12" hidden="1" customHeight="1">
      <c r="A10292" s="426"/>
    </row>
    <row r="10293" spans="1:1" s="427" customFormat="1" ht="12" hidden="1" customHeight="1">
      <c r="A10293" s="426"/>
    </row>
    <row r="10294" spans="1:1" s="427" customFormat="1" ht="12" hidden="1" customHeight="1">
      <c r="A10294" s="426"/>
    </row>
    <row r="10295" spans="1:1" s="427" customFormat="1" ht="12" hidden="1" customHeight="1">
      <c r="A10295" s="426"/>
    </row>
    <row r="10296" spans="1:1" s="427" customFormat="1" ht="12" hidden="1" customHeight="1">
      <c r="A10296" s="426"/>
    </row>
    <row r="10297" spans="1:1" s="427" customFormat="1" ht="12" hidden="1" customHeight="1">
      <c r="A10297" s="426"/>
    </row>
    <row r="10298" spans="1:1" s="427" customFormat="1" ht="12" hidden="1" customHeight="1">
      <c r="A10298" s="426"/>
    </row>
    <row r="10299" spans="1:1" s="427" customFormat="1" ht="12" hidden="1" customHeight="1">
      <c r="A10299" s="426"/>
    </row>
    <row r="10300" spans="1:1" s="427" customFormat="1" ht="12" hidden="1" customHeight="1">
      <c r="A10300" s="426"/>
    </row>
    <row r="10301" spans="1:1" s="427" customFormat="1" ht="12" hidden="1" customHeight="1">
      <c r="A10301" s="426"/>
    </row>
    <row r="10302" spans="1:1" s="427" customFormat="1" ht="12" hidden="1" customHeight="1">
      <c r="A10302" s="426"/>
    </row>
    <row r="10303" spans="1:1" s="427" customFormat="1" ht="12" hidden="1" customHeight="1">
      <c r="A10303" s="426"/>
    </row>
    <row r="10304" spans="1:1" s="427" customFormat="1" ht="12" hidden="1" customHeight="1">
      <c r="A10304" s="426"/>
    </row>
    <row r="10305" spans="1:1" s="427" customFormat="1" ht="12" hidden="1" customHeight="1">
      <c r="A10305" s="426"/>
    </row>
    <row r="10306" spans="1:1" s="427" customFormat="1" ht="12" hidden="1" customHeight="1">
      <c r="A10306" s="426"/>
    </row>
    <row r="10307" spans="1:1" s="427" customFormat="1" ht="12" hidden="1" customHeight="1">
      <c r="A10307" s="426"/>
    </row>
    <row r="10308" spans="1:1" s="427" customFormat="1" ht="12" hidden="1" customHeight="1">
      <c r="A10308" s="426"/>
    </row>
    <row r="10309" spans="1:1" s="427" customFormat="1" ht="12" hidden="1" customHeight="1">
      <c r="A10309" s="426"/>
    </row>
    <row r="10310" spans="1:1" s="427" customFormat="1" ht="12" hidden="1" customHeight="1">
      <c r="A10310" s="426"/>
    </row>
    <row r="10311" spans="1:1" s="427" customFormat="1" ht="12" hidden="1" customHeight="1">
      <c r="A10311" s="426"/>
    </row>
    <row r="10312" spans="1:1" s="427" customFormat="1" ht="12" hidden="1" customHeight="1">
      <c r="A10312" s="426"/>
    </row>
    <row r="10313" spans="1:1" s="427" customFormat="1" ht="12" hidden="1" customHeight="1">
      <c r="A10313" s="426"/>
    </row>
    <row r="10314" spans="1:1" s="427" customFormat="1" ht="12" hidden="1" customHeight="1">
      <c r="A10314" s="426"/>
    </row>
    <row r="10315" spans="1:1" s="427" customFormat="1" ht="12" hidden="1" customHeight="1">
      <c r="A10315" s="426"/>
    </row>
    <row r="10316" spans="1:1" s="427" customFormat="1" ht="12" hidden="1" customHeight="1">
      <c r="A10316" s="426"/>
    </row>
    <row r="10317" spans="1:1" s="427" customFormat="1" ht="12" hidden="1" customHeight="1">
      <c r="A10317" s="426"/>
    </row>
    <row r="10318" spans="1:1" s="427" customFormat="1" ht="12" hidden="1" customHeight="1">
      <c r="A10318" s="426"/>
    </row>
    <row r="10319" spans="1:1" s="427" customFormat="1" ht="12" hidden="1" customHeight="1">
      <c r="A10319" s="426"/>
    </row>
    <row r="10320" spans="1:1" s="427" customFormat="1" ht="12" hidden="1" customHeight="1">
      <c r="A10320" s="426"/>
    </row>
    <row r="10321" spans="1:1" s="427" customFormat="1" ht="12" hidden="1" customHeight="1">
      <c r="A10321" s="426"/>
    </row>
    <row r="10322" spans="1:1" s="427" customFormat="1" ht="12" hidden="1" customHeight="1">
      <c r="A10322" s="426"/>
    </row>
    <row r="10323" spans="1:1" s="427" customFormat="1" ht="12" hidden="1" customHeight="1">
      <c r="A10323" s="426"/>
    </row>
    <row r="10324" spans="1:1" s="427" customFormat="1" ht="12" hidden="1" customHeight="1">
      <c r="A10324" s="426"/>
    </row>
    <row r="10325" spans="1:1" s="427" customFormat="1" ht="12" hidden="1" customHeight="1">
      <c r="A10325" s="426"/>
    </row>
    <row r="10326" spans="1:1" s="427" customFormat="1" ht="12" hidden="1" customHeight="1">
      <c r="A10326" s="426"/>
    </row>
    <row r="10327" spans="1:1" s="427" customFormat="1" ht="12" hidden="1" customHeight="1">
      <c r="A10327" s="426"/>
    </row>
    <row r="10328" spans="1:1" s="427" customFormat="1" ht="12" hidden="1" customHeight="1">
      <c r="A10328" s="426"/>
    </row>
    <row r="10329" spans="1:1" s="427" customFormat="1" ht="12" hidden="1" customHeight="1">
      <c r="A10329" s="426"/>
    </row>
    <row r="10330" spans="1:1" s="427" customFormat="1" ht="12" hidden="1" customHeight="1">
      <c r="A10330" s="426"/>
    </row>
    <row r="10331" spans="1:1" s="427" customFormat="1" ht="12" hidden="1" customHeight="1">
      <c r="A10331" s="426"/>
    </row>
    <row r="10332" spans="1:1" s="427" customFormat="1" ht="12" hidden="1" customHeight="1">
      <c r="A10332" s="426"/>
    </row>
    <row r="10333" spans="1:1" s="427" customFormat="1" ht="12" hidden="1" customHeight="1">
      <c r="A10333" s="426"/>
    </row>
    <row r="10334" spans="1:1" s="427" customFormat="1" ht="12" hidden="1" customHeight="1">
      <c r="A10334" s="426"/>
    </row>
    <row r="10335" spans="1:1" s="427" customFormat="1" ht="12" hidden="1" customHeight="1">
      <c r="A10335" s="426"/>
    </row>
    <row r="10336" spans="1:1" s="427" customFormat="1" ht="12" hidden="1" customHeight="1">
      <c r="A10336" s="426"/>
    </row>
    <row r="10337" spans="1:1" s="427" customFormat="1" ht="12" hidden="1" customHeight="1">
      <c r="A10337" s="426"/>
    </row>
    <row r="10338" spans="1:1" s="427" customFormat="1" ht="12" hidden="1" customHeight="1">
      <c r="A10338" s="426"/>
    </row>
    <row r="10339" spans="1:1" s="427" customFormat="1" ht="12" hidden="1" customHeight="1">
      <c r="A10339" s="426"/>
    </row>
    <row r="10340" spans="1:1" s="427" customFormat="1" ht="12" hidden="1" customHeight="1">
      <c r="A10340" s="426"/>
    </row>
    <row r="10341" spans="1:1" s="427" customFormat="1" ht="12" hidden="1" customHeight="1">
      <c r="A10341" s="426"/>
    </row>
    <row r="10342" spans="1:1" s="427" customFormat="1" ht="12" hidden="1" customHeight="1">
      <c r="A10342" s="426"/>
    </row>
    <row r="10343" spans="1:1" s="427" customFormat="1" ht="12" hidden="1" customHeight="1">
      <c r="A10343" s="426"/>
    </row>
    <row r="10344" spans="1:1" s="427" customFormat="1" ht="12" hidden="1" customHeight="1">
      <c r="A10344" s="426"/>
    </row>
    <row r="10345" spans="1:1" s="427" customFormat="1" ht="12" hidden="1" customHeight="1">
      <c r="A10345" s="426"/>
    </row>
    <row r="10346" spans="1:1" s="427" customFormat="1" ht="12" hidden="1" customHeight="1">
      <c r="A10346" s="426"/>
    </row>
    <row r="10347" spans="1:1" s="427" customFormat="1" ht="12" hidden="1" customHeight="1">
      <c r="A10347" s="426"/>
    </row>
    <row r="10348" spans="1:1" s="427" customFormat="1" ht="12" hidden="1" customHeight="1">
      <c r="A10348" s="426"/>
    </row>
    <row r="10349" spans="1:1" s="427" customFormat="1" ht="12" hidden="1" customHeight="1">
      <c r="A10349" s="426"/>
    </row>
    <row r="10350" spans="1:1" s="427" customFormat="1" ht="12" hidden="1" customHeight="1">
      <c r="A10350" s="426"/>
    </row>
    <row r="10351" spans="1:1" s="427" customFormat="1" ht="12" hidden="1" customHeight="1">
      <c r="A10351" s="426"/>
    </row>
    <row r="10352" spans="1:1" s="427" customFormat="1" ht="12" hidden="1" customHeight="1">
      <c r="A10352" s="426"/>
    </row>
    <row r="10353" spans="1:1" s="427" customFormat="1" ht="12" hidden="1" customHeight="1">
      <c r="A10353" s="426"/>
    </row>
    <row r="10354" spans="1:1" s="427" customFormat="1" ht="12" hidden="1" customHeight="1">
      <c r="A10354" s="426"/>
    </row>
    <row r="10355" spans="1:1" s="427" customFormat="1" ht="12" hidden="1" customHeight="1">
      <c r="A10355" s="426"/>
    </row>
    <row r="10356" spans="1:1" s="427" customFormat="1" ht="12" hidden="1" customHeight="1">
      <c r="A10356" s="426"/>
    </row>
    <row r="10357" spans="1:1" s="427" customFormat="1" ht="12" hidden="1" customHeight="1">
      <c r="A10357" s="426"/>
    </row>
    <row r="10358" spans="1:1" s="427" customFormat="1" ht="12" hidden="1" customHeight="1">
      <c r="A10358" s="426"/>
    </row>
    <row r="10359" spans="1:1" s="427" customFormat="1" ht="12" hidden="1" customHeight="1">
      <c r="A10359" s="426"/>
    </row>
    <row r="10360" spans="1:1" s="427" customFormat="1" ht="12" hidden="1" customHeight="1">
      <c r="A10360" s="426"/>
    </row>
    <row r="10361" spans="1:1" s="427" customFormat="1" ht="12" hidden="1" customHeight="1">
      <c r="A10361" s="426"/>
    </row>
    <row r="10362" spans="1:1" s="427" customFormat="1" ht="12" hidden="1" customHeight="1">
      <c r="A10362" s="426"/>
    </row>
    <row r="10363" spans="1:1" s="427" customFormat="1" ht="12" hidden="1" customHeight="1">
      <c r="A10363" s="426"/>
    </row>
    <row r="10364" spans="1:1" s="427" customFormat="1" ht="12" hidden="1" customHeight="1">
      <c r="A10364" s="426"/>
    </row>
    <row r="10365" spans="1:1" s="427" customFormat="1" ht="12" hidden="1" customHeight="1">
      <c r="A10365" s="426"/>
    </row>
    <row r="10366" spans="1:1" s="427" customFormat="1" ht="12" hidden="1" customHeight="1">
      <c r="A10366" s="426"/>
    </row>
    <row r="10367" spans="1:1" s="427" customFormat="1" ht="12" hidden="1" customHeight="1">
      <c r="A10367" s="426"/>
    </row>
    <row r="10368" spans="1:1" s="427" customFormat="1" ht="12" hidden="1" customHeight="1">
      <c r="A10368" s="426"/>
    </row>
    <row r="10369" spans="1:1" s="427" customFormat="1" ht="12" hidden="1" customHeight="1">
      <c r="A10369" s="426"/>
    </row>
    <row r="10370" spans="1:1" s="427" customFormat="1" ht="12" hidden="1" customHeight="1">
      <c r="A10370" s="426"/>
    </row>
    <row r="10371" spans="1:1" s="427" customFormat="1" ht="12" hidden="1" customHeight="1">
      <c r="A10371" s="426"/>
    </row>
    <row r="10372" spans="1:1" s="427" customFormat="1" ht="12" hidden="1" customHeight="1">
      <c r="A10372" s="426"/>
    </row>
    <row r="10373" spans="1:1" s="427" customFormat="1" ht="12" hidden="1" customHeight="1">
      <c r="A10373" s="426"/>
    </row>
    <row r="10374" spans="1:1" s="427" customFormat="1" ht="12" hidden="1" customHeight="1">
      <c r="A10374" s="426"/>
    </row>
    <row r="10375" spans="1:1" s="427" customFormat="1" ht="12" hidden="1" customHeight="1">
      <c r="A10375" s="426"/>
    </row>
    <row r="10376" spans="1:1" s="427" customFormat="1" ht="12" hidden="1" customHeight="1">
      <c r="A10376" s="426"/>
    </row>
    <row r="10377" spans="1:1" s="427" customFormat="1" ht="12" hidden="1" customHeight="1">
      <c r="A10377" s="426"/>
    </row>
    <row r="10378" spans="1:1" s="427" customFormat="1" ht="12" hidden="1" customHeight="1">
      <c r="A10378" s="426"/>
    </row>
    <row r="10379" spans="1:1" s="427" customFormat="1" ht="12" hidden="1" customHeight="1">
      <c r="A10379" s="426"/>
    </row>
    <row r="10380" spans="1:1" s="427" customFormat="1" ht="12" hidden="1" customHeight="1">
      <c r="A10380" s="426"/>
    </row>
    <row r="10381" spans="1:1" s="427" customFormat="1" ht="12" hidden="1" customHeight="1">
      <c r="A10381" s="426"/>
    </row>
    <row r="10382" spans="1:1" s="427" customFormat="1" ht="12" hidden="1" customHeight="1">
      <c r="A10382" s="426"/>
    </row>
    <row r="10383" spans="1:1" s="427" customFormat="1" ht="12" hidden="1" customHeight="1">
      <c r="A10383" s="426"/>
    </row>
    <row r="10384" spans="1:1" s="427" customFormat="1" ht="12" hidden="1" customHeight="1">
      <c r="A10384" s="426"/>
    </row>
    <row r="10385" spans="1:1" s="427" customFormat="1" ht="12" hidden="1" customHeight="1">
      <c r="A10385" s="426"/>
    </row>
    <row r="10386" spans="1:1" s="427" customFormat="1" ht="12" hidden="1" customHeight="1">
      <c r="A10386" s="426"/>
    </row>
    <row r="10387" spans="1:1" s="427" customFormat="1" ht="12" hidden="1" customHeight="1">
      <c r="A10387" s="426"/>
    </row>
    <row r="10388" spans="1:1" s="427" customFormat="1" ht="12" hidden="1" customHeight="1">
      <c r="A10388" s="426"/>
    </row>
    <row r="10389" spans="1:1" s="427" customFormat="1" ht="12" hidden="1" customHeight="1">
      <c r="A10389" s="426"/>
    </row>
    <row r="10390" spans="1:1" s="427" customFormat="1" ht="12" hidden="1" customHeight="1">
      <c r="A10390" s="426"/>
    </row>
    <row r="10391" spans="1:1" s="427" customFormat="1" ht="12" hidden="1" customHeight="1">
      <c r="A10391" s="426"/>
    </row>
    <row r="10392" spans="1:1" s="427" customFormat="1" ht="12" hidden="1" customHeight="1">
      <c r="A10392" s="426"/>
    </row>
    <row r="10393" spans="1:1" s="427" customFormat="1" ht="12" hidden="1" customHeight="1">
      <c r="A10393" s="426"/>
    </row>
    <row r="10394" spans="1:1" s="427" customFormat="1" ht="12" hidden="1" customHeight="1">
      <c r="A10394" s="426"/>
    </row>
    <row r="10395" spans="1:1" s="427" customFormat="1" ht="12" hidden="1" customHeight="1">
      <c r="A10395" s="426"/>
    </row>
    <row r="10396" spans="1:1" s="427" customFormat="1" ht="12" hidden="1" customHeight="1">
      <c r="A10396" s="426"/>
    </row>
    <row r="10397" spans="1:1" s="427" customFormat="1" ht="12" hidden="1" customHeight="1">
      <c r="A10397" s="426"/>
    </row>
    <row r="10398" spans="1:1" s="427" customFormat="1" ht="12" hidden="1" customHeight="1">
      <c r="A10398" s="426"/>
    </row>
    <row r="10399" spans="1:1" s="427" customFormat="1" ht="12" hidden="1" customHeight="1">
      <c r="A10399" s="426"/>
    </row>
    <row r="10400" spans="1:1" s="427" customFormat="1" ht="12" hidden="1" customHeight="1">
      <c r="A10400" s="426"/>
    </row>
    <row r="10401" spans="1:1" s="427" customFormat="1" ht="12" hidden="1" customHeight="1">
      <c r="A10401" s="426"/>
    </row>
    <row r="10402" spans="1:1" s="427" customFormat="1" ht="12" hidden="1" customHeight="1">
      <c r="A10402" s="426"/>
    </row>
    <row r="10403" spans="1:1" s="427" customFormat="1" ht="12" hidden="1" customHeight="1">
      <c r="A10403" s="426"/>
    </row>
    <row r="10404" spans="1:1" s="427" customFormat="1" ht="12" hidden="1" customHeight="1">
      <c r="A10404" s="426"/>
    </row>
    <row r="10405" spans="1:1" s="427" customFormat="1" ht="12" hidden="1" customHeight="1">
      <c r="A10405" s="426"/>
    </row>
    <row r="10406" spans="1:1" s="427" customFormat="1" ht="12" hidden="1" customHeight="1">
      <c r="A10406" s="426"/>
    </row>
    <row r="10407" spans="1:1" s="427" customFormat="1" ht="12" hidden="1" customHeight="1">
      <c r="A10407" s="426"/>
    </row>
    <row r="10408" spans="1:1" s="427" customFormat="1" ht="12" hidden="1" customHeight="1">
      <c r="A10408" s="426"/>
    </row>
    <row r="10409" spans="1:1" s="427" customFormat="1" ht="12" hidden="1" customHeight="1">
      <c r="A10409" s="426"/>
    </row>
    <row r="10410" spans="1:1" s="427" customFormat="1" ht="12" hidden="1" customHeight="1">
      <c r="A10410" s="426"/>
    </row>
    <row r="10411" spans="1:1" s="427" customFormat="1" ht="12" hidden="1" customHeight="1">
      <c r="A10411" s="426"/>
    </row>
    <row r="10412" spans="1:1" s="427" customFormat="1" ht="12" hidden="1" customHeight="1">
      <c r="A10412" s="426"/>
    </row>
    <row r="10413" spans="1:1" s="427" customFormat="1" ht="12" hidden="1" customHeight="1">
      <c r="A10413" s="426"/>
    </row>
    <row r="10414" spans="1:1" s="427" customFormat="1" ht="12" hidden="1" customHeight="1">
      <c r="A10414" s="426"/>
    </row>
    <row r="10415" spans="1:1" s="427" customFormat="1" ht="12" hidden="1" customHeight="1">
      <c r="A10415" s="426"/>
    </row>
    <row r="10416" spans="1:1" s="427" customFormat="1" ht="12" hidden="1" customHeight="1">
      <c r="A10416" s="426"/>
    </row>
    <row r="10417" spans="1:1" s="427" customFormat="1" ht="12" hidden="1" customHeight="1">
      <c r="A10417" s="426"/>
    </row>
    <row r="10418" spans="1:1" s="427" customFormat="1" ht="12" hidden="1" customHeight="1">
      <c r="A10418" s="426"/>
    </row>
    <row r="10419" spans="1:1" s="427" customFormat="1" ht="12" hidden="1" customHeight="1">
      <c r="A10419" s="426"/>
    </row>
    <row r="10420" spans="1:1" s="427" customFormat="1" ht="12" hidden="1" customHeight="1">
      <c r="A10420" s="426"/>
    </row>
    <row r="10421" spans="1:1" s="427" customFormat="1" ht="12" hidden="1" customHeight="1">
      <c r="A10421" s="426"/>
    </row>
    <row r="10422" spans="1:1" s="427" customFormat="1" ht="12" hidden="1" customHeight="1">
      <c r="A10422" s="426"/>
    </row>
    <row r="10423" spans="1:1" s="427" customFormat="1" ht="12" hidden="1" customHeight="1">
      <c r="A10423" s="426"/>
    </row>
    <row r="10424" spans="1:1" s="427" customFormat="1" ht="12" hidden="1" customHeight="1">
      <c r="A10424" s="426"/>
    </row>
    <row r="10425" spans="1:1" s="427" customFormat="1" ht="12" hidden="1" customHeight="1">
      <c r="A10425" s="426"/>
    </row>
    <row r="10426" spans="1:1" s="427" customFormat="1" ht="12" hidden="1" customHeight="1">
      <c r="A10426" s="426"/>
    </row>
    <row r="10427" spans="1:1" s="427" customFormat="1" ht="12" hidden="1" customHeight="1">
      <c r="A10427" s="426"/>
    </row>
    <row r="10428" spans="1:1" s="427" customFormat="1" ht="12" hidden="1" customHeight="1">
      <c r="A10428" s="426"/>
    </row>
    <row r="10429" spans="1:1" s="427" customFormat="1" ht="12" hidden="1" customHeight="1">
      <c r="A10429" s="426"/>
    </row>
    <row r="10430" spans="1:1" s="427" customFormat="1" ht="12" hidden="1" customHeight="1">
      <c r="A10430" s="426"/>
    </row>
    <row r="10431" spans="1:1" s="427" customFormat="1" ht="12" hidden="1" customHeight="1">
      <c r="A10431" s="426"/>
    </row>
    <row r="10432" spans="1:1" s="427" customFormat="1" ht="12" hidden="1" customHeight="1">
      <c r="A10432" s="426"/>
    </row>
    <row r="10433" spans="1:1" s="427" customFormat="1" ht="12" hidden="1" customHeight="1">
      <c r="A10433" s="426"/>
    </row>
    <row r="10434" spans="1:1" s="427" customFormat="1" ht="12" hidden="1" customHeight="1">
      <c r="A10434" s="426"/>
    </row>
    <row r="10435" spans="1:1" s="427" customFormat="1" ht="12" hidden="1" customHeight="1">
      <c r="A10435" s="426"/>
    </row>
    <row r="10436" spans="1:1" s="427" customFormat="1" ht="12" hidden="1" customHeight="1">
      <c r="A10436" s="426"/>
    </row>
    <row r="10437" spans="1:1" s="427" customFormat="1" ht="12" hidden="1" customHeight="1">
      <c r="A10437" s="426"/>
    </row>
    <row r="10438" spans="1:1" s="427" customFormat="1" ht="12" hidden="1" customHeight="1">
      <c r="A10438" s="426"/>
    </row>
    <row r="10439" spans="1:1" s="427" customFormat="1" ht="12" hidden="1" customHeight="1">
      <c r="A10439" s="426"/>
    </row>
    <row r="10440" spans="1:1" s="427" customFormat="1" ht="12" hidden="1" customHeight="1">
      <c r="A10440" s="426"/>
    </row>
    <row r="10441" spans="1:1" s="427" customFormat="1" ht="12" hidden="1" customHeight="1">
      <c r="A10441" s="426"/>
    </row>
    <row r="10442" spans="1:1" s="427" customFormat="1" ht="12" hidden="1" customHeight="1">
      <c r="A10442" s="426"/>
    </row>
    <row r="10443" spans="1:1" s="427" customFormat="1" ht="12" hidden="1" customHeight="1">
      <c r="A10443" s="426"/>
    </row>
    <row r="10444" spans="1:1" s="427" customFormat="1" ht="12" hidden="1" customHeight="1">
      <c r="A10444" s="426"/>
    </row>
    <row r="10445" spans="1:1" s="427" customFormat="1" ht="12" hidden="1" customHeight="1">
      <c r="A10445" s="426"/>
    </row>
    <row r="10446" spans="1:1" s="427" customFormat="1" ht="12" hidden="1" customHeight="1">
      <c r="A10446" s="426"/>
    </row>
    <row r="10447" spans="1:1" s="427" customFormat="1" ht="12" hidden="1" customHeight="1">
      <c r="A10447" s="426"/>
    </row>
    <row r="10448" spans="1:1" s="427" customFormat="1" ht="12" hidden="1" customHeight="1">
      <c r="A10448" s="426"/>
    </row>
    <row r="10449" spans="1:1" s="427" customFormat="1" ht="12" hidden="1" customHeight="1">
      <c r="A10449" s="426"/>
    </row>
    <row r="10450" spans="1:1" s="427" customFormat="1" ht="12" hidden="1" customHeight="1">
      <c r="A10450" s="426"/>
    </row>
    <row r="10451" spans="1:1" s="427" customFormat="1" ht="12" hidden="1" customHeight="1">
      <c r="A10451" s="426"/>
    </row>
    <row r="10452" spans="1:1" s="427" customFormat="1" ht="12" hidden="1" customHeight="1">
      <c r="A10452" s="426"/>
    </row>
    <row r="10453" spans="1:1" s="427" customFormat="1" ht="12" hidden="1" customHeight="1">
      <c r="A10453" s="426"/>
    </row>
    <row r="10454" spans="1:1" s="427" customFormat="1" ht="12" hidden="1" customHeight="1">
      <c r="A10454" s="426"/>
    </row>
    <row r="10455" spans="1:1" s="427" customFormat="1" ht="12" hidden="1" customHeight="1">
      <c r="A10455" s="426"/>
    </row>
    <row r="10456" spans="1:1" s="427" customFormat="1" ht="12" hidden="1" customHeight="1">
      <c r="A10456" s="426"/>
    </row>
    <row r="10457" spans="1:1" s="427" customFormat="1" ht="12" hidden="1" customHeight="1">
      <c r="A10457" s="426"/>
    </row>
    <row r="10458" spans="1:1" s="427" customFormat="1" ht="12" hidden="1" customHeight="1">
      <c r="A10458" s="426"/>
    </row>
    <row r="10459" spans="1:1" s="427" customFormat="1" ht="12" hidden="1" customHeight="1">
      <c r="A10459" s="426"/>
    </row>
    <row r="10460" spans="1:1" s="427" customFormat="1" ht="12" hidden="1" customHeight="1">
      <c r="A10460" s="426"/>
    </row>
    <row r="10461" spans="1:1" s="427" customFormat="1" ht="12" hidden="1" customHeight="1">
      <c r="A10461" s="426"/>
    </row>
    <row r="10462" spans="1:1" s="427" customFormat="1" ht="12" hidden="1" customHeight="1">
      <c r="A10462" s="426"/>
    </row>
    <row r="10463" spans="1:1" s="427" customFormat="1" ht="12" hidden="1" customHeight="1">
      <c r="A10463" s="426"/>
    </row>
    <row r="10464" spans="1:1" s="427" customFormat="1" ht="12" hidden="1" customHeight="1">
      <c r="A10464" s="426"/>
    </row>
    <row r="10465" spans="1:1" s="427" customFormat="1" ht="12" hidden="1" customHeight="1">
      <c r="A10465" s="426"/>
    </row>
    <row r="10466" spans="1:1" s="427" customFormat="1" ht="12" hidden="1" customHeight="1">
      <c r="A10466" s="426"/>
    </row>
    <row r="10467" spans="1:1" s="427" customFormat="1" ht="12" hidden="1" customHeight="1">
      <c r="A10467" s="426"/>
    </row>
    <row r="10468" spans="1:1" s="427" customFormat="1" ht="12" hidden="1" customHeight="1">
      <c r="A10468" s="426"/>
    </row>
    <row r="10469" spans="1:1" s="427" customFormat="1" ht="12" hidden="1" customHeight="1">
      <c r="A10469" s="426"/>
    </row>
    <row r="10470" spans="1:1" s="427" customFormat="1" ht="12" hidden="1" customHeight="1">
      <c r="A10470" s="426"/>
    </row>
    <row r="10471" spans="1:1" s="427" customFormat="1" ht="12" hidden="1" customHeight="1">
      <c r="A10471" s="426"/>
    </row>
    <row r="10472" spans="1:1" s="427" customFormat="1" ht="12" hidden="1" customHeight="1">
      <c r="A10472" s="426"/>
    </row>
    <row r="10473" spans="1:1" s="427" customFormat="1" ht="12" hidden="1" customHeight="1">
      <c r="A10473" s="426"/>
    </row>
    <row r="10474" spans="1:1" s="427" customFormat="1" ht="12" hidden="1" customHeight="1">
      <c r="A10474" s="426"/>
    </row>
    <row r="10475" spans="1:1" s="427" customFormat="1" ht="12" hidden="1" customHeight="1">
      <c r="A10475" s="426"/>
    </row>
    <row r="10476" spans="1:1" s="427" customFormat="1" ht="12" hidden="1" customHeight="1">
      <c r="A10476" s="426"/>
    </row>
    <row r="10477" spans="1:1" s="427" customFormat="1" ht="12" hidden="1" customHeight="1">
      <c r="A10477" s="426"/>
    </row>
    <row r="10478" spans="1:1" s="427" customFormat="1" ht="12" hidden="1" customHeight="1">
      <c r="A10478" s="426"/>
    </row>
    <row r="10479" spans="1:1" s="427" customFormat="1" ht="12" hidden="1" customHeight="1">
      <c r="A10479" s="426"/>
    </row>
    <row r="10480" spans="1:1" s="427" customFormat="1" ht="12" hidden="1" customHeight="1">
      <c r="A10480" s="426"/>
    </row>
    <row r="10481" spans="1:1" s="427" customFormat="1" ht="12" hidden="1" customHeight="1">
      <c r="A10481" s="426"/>
    </row>
    <row r="10482" spans="1:1" s="427" customFormat="1" ht="12" hidden="1" customHeight="1">
      <c r="A10482" s="426"/>
    </row>
    <row r="10483" spans="1:1" s="427" customFormat="1" ht="12" hidden="1" customHeight="1">
      <c r="A10483" s="426"/>
    </row>
    <row r="10484" spans="1:1" s="427" customFormat="1" ht="12" hidden="1" customHeight="1">
      <c r="A10484" s="426"/>
    </row>
    <row r="10485" spans="1:1" s="427" customFormat="1" ht="12" hidden="1" customHeight="1">
      <c r="A10485" s="426"/>
    </row>
    <row r="10486" spans="1:1" s="427" customFormat="1" ht="12" hidden="1" customHeight="1">
      <c r="A10486" s="426"/>
    </row>
    <row r="10487" spans="1:1" s="427" customFormat="1" ht="12" hidden="1" customHeight="1">
      <c r="A10487" s="426"/>
    </row>
    <row r="10488" spans="1:1" s="427" customFormat="1" ht="12" hidden="1" customHeight="1">
      <c r="A10488" s="426"/>
    </row>
    <row r="10489" spans="1:1" s="427" customFormat="1" ht="12" hidden="1" customHeight="1">
      <c r="A10489" s="426"/>
    </row>
    <row r="10490" spans="1:1" s="427" customFormat="1" ht="12" hidden="1" customHeight="1">
      <c r="A10490" s="426"/>
    </row>
    <row r="10491" spans="1:1" s="427" customFormat="1" ht="12" hidden="1" customHeight="1">
      <c r="A10491" s="426"/>
    </row>
    <row r="10492" spans="1:1" s="427" customFormat="1" ht="12" hidden="1" customHeight="1">
      <c r="A10492" s="426"/>
    </row>
    <row r="10493" spans="1:1" s="427" customFormat="1" ht="12" hidden="1" customHeight="1">
      <c r="A10493" s="426"/>
    </row>
    <row r="10494" spans="1:1" s="427" customFormat="1" ht="12" hidden="1" customHeight="1">
      <c r="A10494" s="426"/>
    </row>
    <row r="10495" spans="1:1" s="427" customFormat="1" ht="12" hidden="1" customHeight="1">
      <c r="A10495" s="426"/>
    </row>
    <row r="10496" spans="1:1" s="427" customFormat="1" ht="12" hidden="1" customHeight="1">
      <c r="A10496" s="426"/>
    </row>
    <row r="10497" spans="1:1" s="427" customFormat="1" ht="12" hidden="1" customHeight="1">
      <c r="A10497" s="426"/>
    </row>
    <row r="10498" spans="1:1" s="427" customFormat="1" ht="12" hidden="1" customHeight="1">
      <c r="A10498" s="426"/>
    </row>
    <row r="10499" spans="1:1" s="427" customFormat="1" ht="12" hidden="1" customHeight="1">
      <c r="A10499" s="426"/>
    </row>
    <row r="10500" spans="1:1" s="427" customFormat="1" ht="12" hidden="1" customHeight="1">
      <c r="A10500" s="426"/>
    </row>
    <row r="10501" spans="1:1" s="427" customFormat="1" ht="12" hidden="1" customHeight="1">
      <c r="A10501" s="426"/>
    </row>
    <row r="10502" spans="1:1" s="427" customFormat="1" ht="12" hidden="1" customHeight="1">
      <c r="A10502" s="426"/>
    </row>
    <row r="10503" spans="1:1" s="427" customFormat="1" ht="12" hidden="1" customHeight="1">
      <c r="A10503" s="426"/>
    </row>
    <row r="10504" spans="1:1" s="427" customFormat="1" ht="12" hidden="1" customHeight="1">
      <c r="A10504" s="426"/>
    </row>
    <row r="10505" spans="1:1" s="427" customFormat="1" ht="12" hidden="1" customHeight="1">
      <c r="A10505" s="426"/>
    </row>
    <row r="10506" spans="1:1" s="427" customFormat="1" ht="12" hidden="1" customHeight="1">
      <c r="A10506" s="426"/>
    </row>
    <row r="10507" spans="1:1" s="427" customFormat="1" ht="12" hidden="1" customHeight="1">
      <c r="A10507" s="426"/>
    </row>
    <row r="10508" spans="1:1" s="427" customFormat="1" ht="12" hidden="1" customHeight="1">
      <c r="A10508" s="426"/>
    </row>
    <row r="10509" spans="1:1" s="427" customFormat="1" ht="12" hidden="1" customHeight="1">
      <c r="A10509" s="426"/>
    </row>
    <row r="10510" spans="1:1" s="427" customFormat="1" ht="12" hidden="1" customHeight="1">
      <c r="A10510" s="426"/>
    </row>
    <row r="10511" spans="1:1" s="427" customFormat="1" ht="12" hidden="1" customHeight="1">
      <c r="A10511" s="426"/>
    </row>
    <row r="10512" spans="1:1" s="427" customFormat="1" ht="12" hidden="1" customHeight="1">
      <c r="A10512" s="426"/>
    </row>
    <row r="10513" spans="1:1" s="427" customFormat="1" ht="12" hidden="1" customHeight="1">
      <c r="A10513" s="426"/>
    </row>
    <row r="10514" spans="1:1" s="427" customFormat="1" ht="12" hidden="1" customHeight="1">
      <c r="A10514" s="426"/>
    </row>
    <row r="10515" spans="1:1" s="427" customFormat="1" ht="12" hidden="1" customHeight="1">
      <c r="A10515" s="426"/>
    </row>
    <row r="10516" spans="1:1" s="427" customFormat="1" ht="12" hidden="1" customHeight="1">
      <c r="A10516" s="426"/>
    </row>
    <row r="10517" spans="1:1" s="427" customFormat="1" ht="12" hidden="1" customHeight="1">
      <c r="A10517" s="426"/>
    </row>
    <row r="10518" spans="1:1" s="427" customFormat="1" ht="12" hidden="1" customHeight="1">
      <c r="A10518" s="426"/>
    </row>
    <row r="10519" spans="1:1" s="427" customFormat="1" ht="12" hidden="1" customHeight="1">
      <c r="A10519" s="426"/>
    </row>
    <row r="10520" spans="1:1" s="427" customFormat="1" ht="12" hidden="1" customHeight="1">
      <c r="A10520" s="426"/>
    </row>
    <row r="10521" spans="1:1" s="427" customFormat="1" ht="12" hidden="1" customHeight="1">
      <c r="A10521" s="426"/>
    </row>
    <row r="10522" spans="1:1" s="427" customFormat="1" ht="12" hidden="1" customHeight="1">
      <c r="A10522" s="426"/>
    </row>
    <row r="10523" spans="1:1" s="427" customFormat="1" ht="12" hidden="1" customHeight="1">
      <c r="A10523" s="426"/>
    </row>
    <row r="10524" spans="1:1" s="427" customFormat="1" ht="12" hidden="1" customHeight="1">
      <c r="A10524" s="426"/>
    </row>
    <row r="10525" spans="1:1" s="427" customFormat="1" ht="12" hidden="1" customHeight="1">
      <c r="A10525" s="426"/>
    </row>
    <row r="10526" spans="1:1" s="427" customFormat="1" ht="12" hidden="1" customHeight="1">
      <c r="A10526" s="426"/>
    </row>
    <row r="10527" spans="1:1" s="427" customFormat="1" ht="12" hidden="1" customHeight="1">
      <c r="A10527" s="426"/>
    </row>
    <row r="10528" spans="1:1" s="427" customFormat="1" ht="12" hidden="1" customHeight="1">
      <c r="A10528" s="426"/>
    </row>
    <row r="10529" spans="1:1" s="427" customFormat="1" ht="12" hidden="1" customHeight="1">
      <c r="A10529" s="426"/>
    </row>
    <row r="10530" spans="1:1" s="427" customFormat="1" ht="12" hidden="1" customHeight="1">
      <c r="A10530" s="426"/>
    </row>
    <row r="10531" spans="1:1" s="427" customFormat="1" ht="12" hidden="1" customHeight="1">
      <c r="A10531" s="426"/>
    </row>
    <row r="10532" spans="1:1" s="427" customFormat="1" ht="12" hidden="1" customHeight="1">
      <c r="A10532" s="426"/>
    </row>
    <row r="10533" spans="1:1" s="427" customFormat="1" ht="12" hidden="1" customHeight="1">
      <c r="A10533" s="426"/>
    </row>
    <row r="10534" spans="1:1" s="427" customFormat="1" ht="12" hidden="1" customHeight="1">
      <c r="A10534" s="426"/>
    </row>
    <row r="10535" spans="1:1" s="427" customFormat="1" ht="12" hidden="1" customHeight="1">
      <c r="A10535" s="426"/>
    </row>
    <row r="10536" spans="1:1" s="427" customFormat="1" ht="12" hidden="1" customHeight="1">
      <c r="A10536" s="426"/>
    </row>
    <row r="10537" spans="1:1" s="427" customFormat="1" ht="12" hidden="1" customHeight="1">
      <c r="A10537" s="426"/>
    </row>
    <row r="10538" spans="1:1" s="427" customFormat="1" ht="12" hidden="1" customHeight="1">
      <c r="A10538" s="426"/>
    </row>
    <row r="10539" spans="1:1" s="427" customFormat="1" ht="12" hidden="1" customHeight="1">
      <c r="A10539" s="426"/>
    </row>
    <row r="10540" spans="1:1" s="427" customFormat="1" ht="12" hidden="1" customHeight="1">
      <c r="A10540" s="426"/>
    </row>
    <row r="10541" spans="1:1" s="427" customFormat="1" ht="12" hidden="1" customHeight="1">
      <c r="A10541" s="426"/>
    </row>
    <row r="10542" spans="1:1" s="427" customFormat="1" ht="12" hidden="1" customHeight="1">
      <c r="A10542" s="426"/>
    </row>
    <row r="10543" spans="1:1" s="427" customFormat="1" ht="12" hidden="1" customHeight="1">
      <c r="A10543" s="426"/>
    </row>
    <row r="10544" spans="1:1" s="427" customFormat="1" ht="12" hidden="1" customHeight="1">
      <c r="A10544" s="426"/>
    </row>
    <row r="10545" spans="1:1" s="427" customFormat="1" ht="12" hidden="1" customHeight="1">
      <c r="A10545" s="426"/>
    </row>
    <row r="10546" spans="1:1" s="427" customFormat="1" ht="12" hidden="1" customHeight="1">
      <c r="A10546" s="426"/>
    </row>
    <row r="10547" spans="1:1" s="427" customFormat="1" ht="12" hidden="1" customHeight="1">
      <c r="A10547" s="426"/>
    </row>
    <row r="10548" spans="1:1" s="427" customFormat="1" ht="12" hidden="1" customHeight="1">
      <c r="A10548" s="426"/>
    </row>
    <row r="10549" spans="1:1" s="427" customFormat="1" ht="12" hidden="1" customHeight="1">
      <c r="A10549" s="426"/>
    </row>
    <row r="10550" spans="1:1" s="427" customFormat="1" ht="12" hidden="1" customHeight="1">
      <c r="A10550" s="426"/>
    </row>
    <row r="10551" spans="1:1" s="427" customFormat="1" ht="12" hidden="1" customHeight="1">
      <c r="A10551" s="426"/>
    </row>
    <row r="10552" spans="1:1" s="427" customFormat="1" ht="12" hidden="1" customHeight="1">
      <c r="A10552" s="426"/>
    </row>
    <row r="10553" spans="1:1" s="427" customFormat="1" ht="12" hidden="1" customHeight="1">
      <c r="A10553" s="426"/>
    </row>
    <row r="10554" spans="1:1" s="427" customFormat="1" ht="12" hidden="1" customHeight="1">
      <c r="A10554" s="426"/>
    </row>
    <row r="10555" spans="1:1" s="427" customFormat="1" ht="12" hidden="1" customHeight="1">
      <c r="A10555" s="426"/>
    </row>
    <row r="10556" spans="1:1" s="427" customFormat="1" ht="12" hidden="1" customHeight="1">
      <c r="A10556" s="426"/>
    </row>
    <row r="10557" spans="1:1" s="427" customFormat="1" ht="12" hidden="1" customHeight="1">
      <c r="A10557" s="426"/>
    </row>
    <row r="10558" spans="1:1" s="427" customFormat="1" ht="12" hidden="1" customHeight="1">
      <c r="A10558" s="426"/>
    </row>
    <row r="10559" spans="1:1" s="427" customFormat="1" ht="12" hidden="1" customHeight="1">
      <c r="A10559" s="426"/>
    </row>
    <row r="10560" spans="1:1" s="427" customFormat="1" ht="12" hidden="1" customHeight="1">
      <c r="A10560" s="426"/>
    </row>
    <row r="10561" spans="1:1" s="427" customFormat="1" ht="12" hidden="1" customHeight="1">
      <c r="A10561" s="426"/>
    </row>
    <row r="10562" spans="1:1" s="427" customFormat="1" ht="12" hidden="1" customHeight="1">
      <c r="A10562" s="426"/>
    </row>
    <row r="10563" spans="1:1" s="427" customFormat="1" ht="12" hidden="1" customHeight="1">
      <c r="A10563" s="426"/>
    </row>
    <row r="10564" spans="1:1" s="427" customFormat="1" ht="12" hidden="1" customHeight="1">
      <c r="A10564" s="426"/>
    </row>
    <row r="10565" spans="1:1" s="427" customFormat="1" ht="12" hidden="1" customHeight="1">
      <c r="A10565" s="426"/>
    </row>
    <row r="10566" spans="1:1" s="427" customFormat="1" ht="12" hidden="1" customHeight="1">
      <c r="A10566" s="426"/>
    </row>
    <row r="10567" spans="1:1" s="427" customFormat="1" ht="12" hidden="1" customHeight="1">
      <c r="A10567" s="426"/>
    </row>
    <row r="10568" spans="1:1" s="427" customFormat="1" ht="12" hidden="1" customHeight="1">
      <c r="A10568" s="426"/>
    </row>
    <row r="10569" spans="1:1" s="427" customFormat="1" ht="12" hidden="1" customHeight="1">
      <c r="A10569" s="426"/>
    </row>
    <row r="10570" spans="1:1" s="427" customFormat="1" ht="12" hidden="1" customHeight="1">
      <c r="A10570" s="426"/>
    </row>
    <row r="10571" spans="1:1" s="427" customFormat="1" ht="12" hidden="1" customHeight="1">
      <c r="A10571" s="426"/>
    </row>
    <row r="10572" spans="1:1" s="427" customFormat="1" ht="12" hidden="1" customHeight="1">
      <c r="A10572" s="426"/>
    </row>
    <row r="10573" spans="1:1" s="427" customFormat="1" ht="12" hidden="1" customHeight="1">
      <c r="A10573" s="426"/>
    </row>
    <row r="10574" spans="1:1" s="427" customFormat="1" ht="12" hidden="1" customHeight="1">
      <c r="A10574" s="426"/>
    </row>
    <row r="10575" spans="1:1" s="427" customFormat="1" ht="12" hidden="1" customHeight="1">
      <c r="A10575" s="426"/>
    </row>
    <row r="10576" spans="1:1" s="427" customFormat="1" ht="12" hidden="1" customHeight="1">
      <c r="A10576" s="426"/>
    </row>
    <row r="10577" spans="1:1" s="427" customFormat="1" ht="12" hidden="1" customHeight="1">
      <c r="A10577" s="426"/>
    </row>
    <row r="10578" spans="1:1" s="427" customFormat="1" ht="12" hidden="1" customHeight="1">
      <c r="A10578" s="426"/>
    </row>
    <row r="10579" spans="1:1" s="427" customFormat="1" ht="12" hidden="1" customHeight="1">
      <c r="A10579" s="426"/>
    </row>
    <row r="10580" spans="1:1" s="427" customFormat="1" ht="12" hidden="1" customHeight="1">
      <c r="A10580" s="426"/>
    </row>
    <row r="10581" spans="1:1" s="427" customFormat="1" ht="12" hidden="1" customHeight="1">
      <c r="A10581" s="426"/>
    </row>
    <row r="10582" spans="1:1" s="427" customFormat="1" ht="12" hidden="1" customHeight="1">
      <c r="A10582" s="426"/>
    </row>
    <row r="10583" spans="1:1" s="427" customFormat="1" ht="12" hidden="1" customHeight="1">
      <c r="A10583" s="426"/>
    </row>
    <row r="10584" spans="1:1" s="427" customFormat="1" ht="12" hidden="1" customHeight="1">
      <c r="A10584" s="426"/>
    </row>
    <row r="10585" spans="1:1" s="427" customFormat="1" ht="12" hidden="1" customHeight="1">
      <c r="A10585" s="426"/>
    </row>
    <row r="10586" spans="1:1" s="427" customFormat="1" ht="12" hidden="1" customHeight="1">
      <c r="A10586" s="426"/>
    </row>
    <row r="10587" spans="1:1" s="427" customFormat="1" ht="12" hidden="1" customHeight="1">
      <c r="A10587" s="426"/>
    </row>
    <row r="10588" spans="1:1" s="427" customFormat="1" ht="12" hidden="1" customHeight="1">
      <c r="A10588" s="426"/>
    </row>
    <row r="10589" spans="1:1" s="427" customFormat="1" ht="12" hidden="1" customHeight="1">
      <c r="A10589" s="426"/>
    </row>
    <row r="10590" spans="1:1" s="427" customFormat="1" ht="12" hidden="1" customHeight="1">
      <c r="A10590" s="426"/>
    </row>
    <row r="10591" spans="1:1" s="427" customFormat="1" ht="12" hidden="1" customHeight="1">
      <c r="A10591" s="426"/>
    </row>
    <row r="10592" spans="1:1" s="427" customFormat="1" ht="12" hidden="1" customHeight="1">
      <c r="A10592" s="426"/>
    </row>
    <row r="10593" spans="1:1" s="427" customFormat="1" ht="12" hidden="1" customHeight="1">
      <c r="A10593" s="426"/>
    </row>
    <row r="10594" spans="1:1" s="427" customFormat="1" ht="12" hidden="1" customHeight="1">
      <c r="A10594" s="426"/>
    </row>
    <row r="10595" spans="1:1" s="427" customFormat="1" ht="12" hidden="1" customHeight="1">
      <c r="A10595" s="426"/>
    </row>
    <row r="10596" spans="1:1" s="427" customFormat="1" ht="12" hidden="1" customHeight="1">
      <c r="A10596" s="426"/>
    </row>
    <row r="10597" spans="1:1" s="427" customFormat="1" ht="12" hidden="1" customHeight="1">
      <c r="A10597" s="426"/>
    </row>
    <row r="10598" spans="1:1" s="427" customFormat="1" ht="12" hidden="1" customHeight="1">
      <c r="A10598" s="426"/>
    </row>
    <row r="10599" spans="1:1" s="427" customFormat="1" ht="12" hidden="1" customHeight="1">
      <c r="A10599" s="426"/>
    </row>
    <row r="10600" spans="1:1" s="427" customFormat="1" ht="12" hidden="1" customHeight="1">
      <c r="A10600" s="426"/>
    </row>
    <row r="10601" spans="1:1" s="427" customFormat="1" ht="12" hidden="1" customHeight="1">
      <c r="A10601" s="426"/>
    </row>
    <row r="10602" spans="1:1" s="427" customFormat="1" ht="12" hidden="1" customHeight="1">
      <c r="A10602" s="426"/>
    </row>
    <row r="10603" spans="1:1" s="427" customFormat="1" ht="12" hidden="1" customHeight="1">
      <c r="A10603" s="426"/>
    </row>
    <row r="10604" spans="1:1" s="427" customFormat="1" ht="12" hidden="1" customHeight="1">
      <c r="A10604" s="426"/>
    </row>
    <row r="10605" spans="1:1" s="427" customFormat="1" ht="12" hidden="1" customHeight="1">
      <c r="A10605" s="426"/>
    </row>
    <row r="10606" spans="1:1" s="427" customFormat="1" ht="12" hidden="1" customHeight="1">
      <c r="A10606" s="426"/>
    </row>
    <row r="10607" spans="1:1" s="427" customFormat="1" ht="12" hidden="1" customHeight="1">
      <c r="A10607" s="426"/>
    </row>
    <row r="10608" spans="1:1" s="427" customFormat="1" ht="12" hidden="1" customHeight="1">
      <c r="A10608" s="426"/>
    </row>
    <row r="10609" spans="1:1" s="427" customFormat="1" ht="12" hidden="1" customHeight="1">
      <c r="A10609" s="426"/>
    </row>
    <row r="10610" spans="1:1" s="427" customFormat="1" ht="12" hidden="1" customHeight="1">
      <c r="A10610" s="426"/>
    </row>
    <row r="10611" spans="1:1" s="427" customFormat="1" ht="12" hidden="1" customHeight="1">
      <c r="A10611" s="426"/>
    </row>
    <row r="10612" spans="1:1" s="427" customFormat="1" ht="12" hidden="1" customHeight="1">
      <c r="A10612" s="426"/>
    </row>
    <row r="10613" spans="1:1" s="427" customFormat="1" ht="12" hidden="1" customHeight="1">
      <c r="A10613" s="426"/>
    </row>
    <row r="10614" spans="1:1" s="427" customFormat="1" ht="12" hidden="1" customHeight="1">
      <c r="A10614" s="426"/>
    </row>
    <row r="10615" spans="1:1" s="427" customFormat="1" ht="12" hidden="1" customHeight="1">
      <c r="A10615" s="426"/>
    </row>
    <row r="10616" spans="1:1" s="427" customFormat="1" ht="12" hidden="1" customHeight="1">
      <c r="A10616" s="426"/>
    </row>
    <row r="10617" spans="1:1" s="427" customFormat="1" ht="12" hidden="1" customHeight="1">
      <c r="A10617" s="426"/>
    </row>
    <row r="10618" spans="1:1" s="427" customFormat="1" ht="12" hidden="1" customHeight="1">
      <c r="A10618" s="426"/>
    </row>
    <row r="10619" spans="1:1" s="427" customFormat="1" ht="12" hidden="1" customHeight="1">
      <c r="A10619" s="426"/>
    </row>
    <row r="10620" spans="1:1" s="427" customFormat="1" ht="12" hidden="1" customHeight="1">
      <c r="A10620" s="426"/>
    </row>
    <row r="10621" spans="1:1" s="427" customFormat="1" ht="12" hidden="1" customHeight="1">
      <c r="A10621" s="426"/>
    </row>
    <row r="10622" spans="1:1" s="427" customFormat="1" ht="12" hidden="1" customHeight="1">
      <c r="A10622" s="426"/>
    </row>
    <row r="10623" spans="1:1" s="427" customFormat="1" ht="12" hidden="1" customHeight="1">
      <c r="A10623" s="426"/>
    </row>
    <row r="10624" spans="1:1" s="427" customFormat="1" ht="12" hidden="1" customHeight="1">
      <c r="A10624" s="426"/>
    </row>
    <row r="10625" spans="1:1" s="427" customFormat="1" ht="12" hidden="1" customHeight="1">
      <c r="A10625" s="426"/>
    </row>
    <row r="10626" spans="1:1" s="427" customFormat="1" ht="12" hidden="1" customHeight="1">
      <c r="A10626" s="426"/>
    </row>
    <row r="10627" spans="1:1" s="427" customFormat="1" ht="12" hidden="1" customHeight="1">
      <c r="A10627" s="426"/>
    </row>
    <row r="10628" spans="1:1" s="427" customFormat="1" ht="12" hidden="1" customHeight="1">
      <c r="A10628" s="426"/>
    </row>
    <row r="10629" spans="1:1" s="427" customFormat="1" ht="12" hidden="1" customHeight="1">
      <c r="A10629" s="426"/>
    </row>
    <row r="10630" spans="1:1" s="427" customFormat="1" ht="12" hidden="1" customHeight="1">
      <c r="A10630" s="426"/>
    </row>
    <row r="10631" spans="1:1" s="427" customFormat="1" ht="12" hidden="1" customHeight="1">
      <c r="A10631" s="426"/>
    </row>
    <row r="10632" spans="1:1" s="427" customFormat="1" ht="12" hidden="1" customHeight="1">
      <c r="A10632" s="426"/>
    </row>
    <row r="10633" spans="1:1" s="427" customFormat="1" ht="12" hidden="1" customHeight="1">
      <c r="A10633" s="426"/>
    </row>
    <row r="10634" spans="1:1" s="427" customFormat="1" ht="12" hidden="1" customHeight="1">
      <c r="A10634" s="426"/>
    </row>
    <row r="10635" spans="1:1" s="427" customFormat="1" ht="12" hidden="1" customHeight="1">
      <c r="A10635" s="426"/>
    </row>
    <row r="10636" spans="1:1" s="427" customFormat="1" ht="12" hidden="1" customHeight="1">
      <c r="A10636" s="426"/>
    </row>
    <row r="10637" spans="1:1" s="427" customFormat="1" ht="12" hidden="1" customHeight="1">
      <c r="A10637" s="426"/>
    </row>
    <row r="10638" spans="1:1" s="427" customFormat="1" ht="12" hidden="1" customHeight="1">
      <c r="A10638" s="426"/>
    </row>
    <row r="10639" spans="1:1" s="427" customFormat="1" ht="12" hidden="1" customHeight="1">
      <c r="A10639" s="426"/>
    </row>
    <row r="10640" spans="1:1" s="427" customFormat="1" ht="12" hidden="1" customHeight="1">
      <c r="A10640" s="426"/>
    </row>
    <row r="10641" spans="1:1" s="427" customFormat="1" ht="12" hidden="1" customHeight="1">
      <c r="A10641" s="426"/>
    </row>
    <row r="10642" spans="1:1" s="427" customFormat="1" ht="12" hidden="1" customHeight="1">
      <c r="A10642" s="426"/>
    </row>
    <row r="10643" spans="1:1" s="427" customFormat="1" ht="12" hidden="1" customHeight="1">
      <c r="A10643" s="426"/>
    </row>
    <row r="10644" spans="1:1" s="427" customFormat="1" ht="12" hidden="1" customHeight="1">
      <c r="A10644" s="426"/>
    </row>
    <row r="10645" spans="1:1" s="427" customFormat="1" ht="12" hidden="1" customHeight="1">
      <c r="A10645" s="426"/>
    </row>
    <row r="10646" spans="1:1" s="427" customFormat="1" ht="12" hidden="1" customHeight="1">
      <c r="A10646" s="426"/>
    </row>
    <row r="10647" spans="1:1" s="427" customFormat="1" ht="12" hidden="1" customHeight="1">
      <c r="A10647" s="426"/>
    </row>
    <row r="10648" spans="1:1" s="427" customFormat="1" ht="12" hidden="1" customHeight="1">
      <c r="A10648" s="426"/>
    </row>
    <row r="10649" spans="1:1" s="427" customFormat="1" ht="12" hidden="1" customHeight="1">
      <c r="A10649" s="426"/>
    </row>
    <row r="10650" spans="1:1" s="427" customFormat="1" ht="12" hidden="1" customHeight="1">
      <c r="A10650" s="426"/>
    </row>
    <row r="10651" spans="1:1" s="427" customFormat="1" ht="12" hidden="1" customHeight="1">
      <c r="A10651" s="426"/>
    </row>
    <row r="10652" spans="1:1" s="427" customFormat="1" ht="12" hidden="1" customHeight="1">
      <c r="A10652" s="426"/>
    </row>
    <row r="10653" spans="1:1" s="427" customFormat="1" ht="12" hidden="1" customHeight="1">
      <c r="A10653" s="426"/>
    </row>
    <row r="10654" spans="1:1" s="427" customFormat="1" ht="12" hidden="1" customHeight="1">
      <c r="A10654" s="426"/>
    </row>
    <row r="10655" spans="1:1" s="427" customFormat="1" ht="12" hidden="1" customHeight="1">
      <c r="A10655" s="426"/>
    </row>
    <row r="10656" spans="1:1" s="427" customFormat="1" ht="12" hidden="1" customHeight="1">
      <c r="A10656" s="426"/>
    </row>
    <row r="10657" spans="1:1" s="427" customFormat="1" ht="12" hidden="1" customHeight="1">
      <c r="A10657" s="426"/>
    </row>
    <row r="10658" spans="1:1" s="427" customFormat="1" ht="12" hidden="1" customHeight="1">
      <c r="A10658" s="426"/>
    </row>
    <row r="10659" spans="1:1" s="427" customFormat="1" ht="12" hidden="1" customHeight="1">
      <c r="A10659" s="426"/>
    </row>
    <row r="10660" spans="1:1" s="427" customFormat="1" ht="12" hidden="1" customHeight="1">
      <c r="A10660" s="426"/>
    </row>
    <row r="10661" spans="1:1" s="427" customFormat="1" ht="12" hidden="1" customHeight="1">
      <c r="A10661" s="426"/>
    </row>
    <row r="10662" spans="1:1" s="427" customFormat="1" ht="12" hidden="1" customHeight="1">
      <c r="A10662" s="426"/>
    </row>
    <row r="10663" spans="1:1" s="427" customFormat="1" ht="12" hidden="1" customHeight="1">
      <c r="A10663" s="426"/>
    </row>
    <row r="10664" spans="1:1" s="427" customFormat="1" ht="12" hidden="1" customHeight="1">
      <c r="A10664" s="426"/>
    </row>
    <row r="10665" spans="1:1" s="427" customFormat="1" ht="12" hidden="1" customHeight="1">
      <c r="A10665" s="426"/>
    </row>
    <row r="10666" spans="1:1" s="427" customFormat="1" ht="12" hidden="1" customHeight="1">
      <c r="A10666" s="426"/>
    </row>
    <row r="10667" spans="1:1" s="427" customFormat="1" ht="12" hidden="1" customHeight="1">
      <c r="A10667" s="426"/>
    </row>
    <row r="10668" spans="1:1" s="427" customFormat="1" ht="12" hidden="1" customHeight="1">
      <c r="A10668" s="426"/>
    </row>
    <row r="10669" spans="1:1" s="427" customFormat="1" ht="12" hidden="1" customHeight="1">
      <c r="A10669" s="426"/>
    </row>
    <row r="10670" spans="1:1" s="427" customFormat="1" ht="12" hidden="1" customHeight="1">
      <c r="A10670" s="426"/>
    </row>
    <row r="10671" spans="1:1" s="427" customFormat="1" ht="12" hidden="1" customHeight="1">
      <c r="A10671" s="426"/>
    </row>
    <row r="10672" spans="1:1" s="427" customFormat="1" ht="12" hidden="1" customHeight="1">
      <c r="A10672" s="426"/>
    </row>
    <row r="10673" spans="1:1" s="427" customFormat="1" ht="12" hidden="1" customHeight="1">
      <c r="A10673" s="426"/>
    </row>
    <row r="10674" spans="1:1" s="427" customFormat="1" ht="12" hidden="1" customHeight="1">
      <c r="A10674" s="426"/>
    </row>
    <row r="10675" spans="1:1" s="427" customFormat="1" ht="12" hidden="1" customHeight="1">
      <c r="A10675" s="426"/>
    </row>
    <row r="10676" spans="1:1" s="427" customFormat="1" ht="12" hidden="1" customHeight="1">
      <c r="A10676" s="426"/>
    </row>
    <row r="10677" spans="1:1" s="427" customFormat="1" ht="12" hidden="1" customHeight="1">
      <c r="A10677" s="426"/>
    </row>
    <row r="10678" spans="1:1" s="427" customFormat="1" ht="12" hidden="1" customHeight="1">
      <c r="A10678" s="426"/>
    </row>
    <row r="10679" spans="1:1" s="427" customFormat="1" ht="12" hidden="1" customHeight="1">
      <c r="A10679" s="426"/>
    </row>
    <row r="10680" spans="1:1" s="427" customFormat="1" ht="12" hidden="1" customHeight="1">
      <c r="A10680" s="426"/>
    </row>
    <row r="10681" spans="1:1" s="427" customFormat="1" ht="12" hidden="1" customHeight="1">
      <c r="A10681" s="426"/>
    </row>
    <row r="10682" spans="1:1" s="427" customFormat="1" ht="12" hidden="1" customHeight="1">
      <c r="A10682" s="426"/>
    </row>
    <row r="10683" spans="1:1" s="427" customFormat="1" ht="12" hidden="1" customHeight="1">
      <c r="A10683" s="426"/>
    </row>
    <row r="10684" spans="1:1" s="427" customFormat="1" ht="12" hidden="1" customHeight="1">
      <c r="A10684" s="426"/>
    </row>
    <row r="10685" spans="1:1" s="427" customFormat="1" ht="12" hidden="1" customHeight="1">
      <c r="A10685" s="426"/>
    </row>
    <row r="10686" spans="1:1" s="427" customFormat="1" ht="12" hidden="1" customHeight="1">
      <c r="A10686" s="426"/>
    </row>
    <row r="10687" spans="1:1" s="427" customFormat="1" ht="12" hidden="1" customHeight="1">
      <c r="A10687" s="426"/>
    </row>
    <row r="10688" spans="1:1" s="427" customFormat="1" ht="12" hidden="1" customHeight="1">
      <c r="A10688" s="426"/>
    </row>
    <row r="10689" spans="1:1" s="427" customFormat="1" ht="12" hidden="1" customHeight="1">
      <c r="A10689" s="426"/>
    </row>
    <row r="10690" spans="1:1" s="427" customFormat="1" ht="12" hidden="1" customHeight="1">
      <c r="A10690" s="426"/>
    </row>
    <row r="10691" spans="1:1" s="427" customFormat="1" ht="12" hidden="1" customHeight="1">
      <c r="A10691" s="426"/>
    </row>
    <row r="10692" spans="1:1" s="427" customFormat="1" ht="12" hidden="1" customHeight="1">
      <c r="A10692" s="426"/>
    </row>
    <row r="10693" spans="1:1" s="427" customFormat="1" ht="12" hidden="1" customHeight="1">
      <c r="A10693" s="426"/>
    </row>
    <row r="10694" spans="1:1" s="427" customFormat="1" ht="12" hidden="1" customHeight="1">
      <c r="A10694" s="426"/>
    </row>
    <row r="10695" spans="1:1" s="427" customFormat="1" ht="12" hidden="1" customHeight="1">
      <c r="A10695" s="426"/>
    </row>
    <row r="10696" spans="1:1" s="427" customFormat="1" ht="12" hidden="1" customHeight="1">
      <c r="A10696" s="426"/>
    </row>
    <row r="10697" spans="1:1" s="427" customFormat="1" ht="12" hidden="1" customHeight="1">
      <c r="A10697" s="426"/>
    </row>
    <row r="10698" spans="1:1" s="427" customFormat="1" ht="12" hidden="1" customHeight="1">
      <c r="A10698" s="426"/>
    </row>
    <row r="10699" spans="1:1" s="427" customFormat="1" ht="12" hidden="1" customHeight="1">
      <c r="A10699" s="426"/>
    </row>
    <row r="10700" spans="1:1" s="427" customFormat="1" ht="12" hidden="1" customHeight="1">
      <c r="A10700" s="426"/>
    </row>
    <row r="10701" spans="1:1" s="427" customFormat="1" ht="12" hidden="1" customHeight="1">
      <c r="A10701" s="426"/>
    </row>
    <row r="10702" spans="1:1" s="427" customFormat="1" ht="12" hidden="1" customHeight="1">
      <c r="A10702" s="426"/>
    </row>
    <row r="10703" spans="1:1" s="427" customFormat="1" ht="12" hidden="1" customHeight="1">
      <c r="A10703" s="426"/>
    </row>
    <row r="10704" spans="1:1" s="427" customFormat="1" ht="12" hidden="1" customHeight="1">
      <c r="A10704" s="426"/>
    </row>
    <row r="10705" spans="1:1" s="427" customFormat="1" ht="12" hidden="1" customHeight="1">
      <c r="A10705" s="426"/>
    </row>
    <row r="10706" spans="1:1" s="427" customFormat="1" ht="12" hidden="1" customHeight="1">
      <c r="A10706" s="426"/>
    </row>
    <row r="10707" spans="1:1" s="427" customFormat="1" ht="12" hidden="1" customHeight="1">
      <c r="A10707" s="426"/>
    </row>
    <row r="10708" spans="1:1" s="427" customFormat="1" ht="12" hidden="1" customHeight="1">
      <c r="A10708" s="426"/>
    </row>
    <row r="10709" spans="1:1" s="427" customFormat="1" ht="12" hidden="1" customHeight="1">
      <c r="A10709" s="426"/>
    </row>
    <row r="10710" spans="1:1" s="427" customFormat="1" ht="12" hidden="1" customHeight="1">
      <c r="A10710" s="426"/>
    </row>
    <row r="10711" spans="1:1" s="427" customFormat="1" ht="12" hidden="1" customHeight="1">
      <c r="A10711" s="426"/>
    </row>
    <row r="10712" spans="1:1" s="427" customFormat="1" ht="12" hidden="1" customHeight="1">
      <c r="A10712" s="426"/>
    </row>
    <row r="10713" spans="1:1" s="427" customFormat="1" ht="12" hidden="1" customHeight="1">
      <c r="A10713" s="426"/>
    </row>
    <row r="10714" spans="1:1" s="427" customFormat="1" ht="12" hidden="1" customHeight="1">
      <c r="A10714" s="426"/>
    </row>
    <row r="10715" spans="1:1" s="427" customFormat="1" ht="12" hidden="1" customHeight="1">
      <c r="A10715" s="426"/>
    </row>
    <row r="10716" spans="1:1" s="427" customFormat="1" ht="12" hidden="1" customHeight="1">
      <c r="A10716" s="426"/>
    </row>
    <row r="10717" spans="1:1" s="427" customFormat="1" ht="12" hidden="1" customHeight="1">
      <c r="A10717" s="426"/>
    </row>
    <row r="10718" spans="1:1" s="427" customFormat="1" ht="12" hidden="1" customHeight="1">
      <c r="A10718" s="426"/>
    </row>
    <row r="10719" spans="1:1" s="427" customFormat="1" ht="12" hidden="1" customHeight="1">
      <c r="A10719" s="426"/>
    </row>
    <row r="10720" spans="1:1" s="427" customFormat="1" ht="12" hidden="1" customHeight="1">
      <c r="A10720" s="426"/>
    </row>
    <row r="10721" spans="1:1" s="427" customFormat="1" ht="12" hidden="1" customHeight="1">
      <c r="A10721" s="426"/>
    </row>
    <row r="10722" spans="1:1" s="427" customFormat="1" ht="12" hidden="1" customHeight="1">
      <c r="A10722" s="426"/>
    </row>
    <row r="10723" spans="1:1" s="427" customFormat="1" ht="12" hidden="1" customHeight="1">
      <c r="A10723" s="426"/>
    </row>
    <row r="10724" spans="1:1" s="427" customFormat="1" ht="12" hidden="1" customHeight="1">
      <c r="A10724" s="426"/>
    </row>
    <row r="10725" spans="1:1" s="427" customFormat="1" ht="12" hidden="1" customHeight="1">
      <c r="A10725" s="426"/>
    </row>
    <row r="10726" spans="1:1" s="427" customFormat="1" ht="12" hidden="1" customHeight="1">
      <c r="A10726" s="426"/>
    </row>
    <row r="10727" spans="1:1" s="427" customFormat="1" ht="12" hidden="1" customHeight="1">
      <c r="A10727" s="426"/>
    </row>
    <row r="10728" spans="1:1" s="427" customFormat="1" ht="12" hidden="1" customHeight="1">
      <c r="A10728" s="426"/>
    </row>
    <row r="10729" spans="1:1" s="427" customFormat="1" ht="12" hidden="1" customHeight="1">
      <c r="A10729" s="426"/>
    </row>
    <row r="10730" spans="1:1" s="427" customFormat="1" ht="12" hidden="1" customHeight="1">
      <c r="A10730" s="426"/>
    </row>
    <row r="10731" spans="1:1" s="427" customFormat="1" ht="12" hidden="1" customHeight="1">
      <c r="A10731" s="426"/>
    </row>
    <row r="10732" spans="1:1" s="427" customFormat="1" ht="12" hidden="1" customHeight="1">
      <c r="A10732" s="426"/>
    </row>
    <row r="10733" spans="1:1" s="427" customFormat="1" ht="12" hidden="1" customHeight="1">
      <c r="A10733" s="426"/>
    </row>
    <row r="10734" spans="1:1" s="427" customFormat="1" ht="12" hidden="1" customHeight="1">
      <c r="A10734" s="426"/>
    </row>
    <row r="10735" spans="1:1" s="427" customFormat="1" ht="12" hidden="1" customHeight="1">
      <c r="A10735" s="426"/>
    </row>
    <row r="10736" spans="1:1" s="427" customFormat="1" ht="12" hidden="1" customHeight="1">
      <c r="A10736" s="426"/>
    </row>
    <row r="10737" spans="1:1" s="427" customFormat="1" ht="12" hidden="1" customHeight="1">
      <c r="A10737" s="426"/>
    </row>
    <row r="10738" spans="1:1" s="427" customFormat="1" ht="12" hidden="1" customHeight="1">
      <c r="A10738" s="426"/>
    </row>
    <row r="10739" spans="1:1" s="427" customFormat="1" ht="12" hidden="1" customHeight="1">
      <c r="A10739" s="426"/>
    </row>
    <row r="10740" spans="1:1" s="427" customFormat="1" ht="12" hidden="1" customHeight="1">
      <c r="A10740" s="426"/>
    </row>
    <row r="10741" spans="1:1" s="427" customFormat="1" ht="12" hidden="1" customHeight="1">
      <c r="A10741" s="426"/>
    </row>
    <row r="10742" spans="1:1" s="427" customFormat="1" ht="12" hidden="1" customHeight="1">
      <c r="A10742" s="426"/>
    </row>
    <row r="10743" spans="1:1" s="427" customFormat="1" ht="12" hidden="1" customHeight="1">
      <c r="A10743" s="426"/>
    </row>
    <row r="10744" spans="1:1" s="427" customFormat="1" ht="12" hidden="1" customHeight="1">
      <c r="A10744" s="426"/>
    </row>
    <row r="10745" spans="1:1" s="427" customFormat="1" ht="12" hidden="1" customHeight="1">
      <c r="A10745" s="426"/>
    </row>
    <row r="10746" spans="1:1" s="427" customFormat="1" ht="12" hidden="1" customHeight="1">
      <c r="A10746" s="426"/>
    </row>
    <row r="10747" spans="1:1" s="427" customFormat="1" ht="12" hidden="1" customHeight="1">
      <c r="A10747" s="426"/>
    </row>
    <row r="10748" spans="1:1" s="427" customFormat="1" ht="12" hidden="1" customHeight="1">
      <c r="A10748" s="426"/>
    </row>
    <row r="10749" spans="1:1" s="427" customFormat="1" ht="12" hidden="1" customHeight="1">
      <c r="A10749" s="426"/>
    </row>
    <row r="10750" spans="1:1" s="427" customFormat="1" ht="12" hidden="1" customHeight="1">
      <c r="A10750" s="426"/>
    </row>
    <row r="10751" spans="1:1" s="427" customFormat="1" ht="12" hidden="1" customHeight="1">
      <c r="A10751" s="426"/>
    </row>
    <row r="10752" spans="1:1" s="427" customFormat="1" ht="12" hidden="1" customHeight="1">
      <c r="A10752" s="426"/>
    </row>
    <row r="10753" spans="1:1" s="427" customFormat="1" ht="12" hidden="1" customHeight="1">
      <c r="A10753" s="426"/>
    </row>
    <row r="10754" spans="1:1" s="427" customFormat="1" ht="12" hidden="1" customHeight="1">
      <c r="A10754" s="426"/>
    </row>
    <row r="10755" spans="1:1" s="427" customFormat="1" ht="12" hidden="1" customHeight="1">
      <c r="A10755" s="426"/>
    </row>
    <row r="10756" spans="1:1" s="427" customFormat="1" ht="12" hidden="1" customHeight="1">
      <c r="A10756" s="426"/>
    </row>
    <row r="10757" spans="1:1" s="427" customFormat="1" ht="12" hidden="1" customHeight="1">
      <c r="A10757" s="426"/>
    </row>
    <row r="10758" spans="1:1" s="427" customFormat="1" ht="12" hidden="1" customHeight="1">
      <c r="A10758" s="426"/>
    </row>
    <row r="10759" spans="1:1" s="427" customFormat="1" ht="12" hidden="1" customHeight="1">
      <c r="A10759" s="426"/>
    </row>
    <row r="10760" spans="1:1" s="427" customFormat="1" ht="12" hidden="1" customHeight="1">
      <c r="A10760" s="426"/>
    </row>
    <row r="10761" spans="1:1" s="427" customFormat="1" ht="12" hidden="1" customHeight="1">
      <c r="A10761" s="426"/>
    </row>
    <row r="10762" spans="1:1" s="427" customFormat="1" ht="12" hidden="1" customHeight="1">
      <c r="A10762" s="426"/>
    </row>
    <row r="10763" spans="1:1" s="427" customFormat="1" ht="12" hidden="1" customHeight="1">
      <c r="A10763" s="426"/>
    </row>
    <row r="10764" spans="1:1" s="427" customFormat="1" ht="12" hidden="1" customHeight="1">
      <c r="A10764" s="426"/>
    </row>
    <row r="10765" spans="1:1" s="427" customFormat="1" ht="12" hidden="1" customHeight="1">
      <c r="A10765" s="426"/>
    </row>
    <row r="10766" spans="1:1" s="427" customFormat="1" ht="12" hidden="1" customHeight="1">
      <c r="A10766" s="426"/>
    </row>
    <row r="10767" spans="1:1" s="427" customFormat="1" ht="12" hidden="1" customHeight="1">
      <c r="A10767" s="426"/>
    </row>
    <row r="10768" spans="1:1" s="427" customFormat="1" ht="12" hidden="1" customHeight="1">
      <c r="A10768" s="426"/>
    </row>
    <row r="10769" spans="1:1" s="427" customFormat="1" ht="12" hidden="1" customHeight="1">
      <c r="A10769" s="426"/>
    </row>
    <row r="10770" spans="1:1" s="427" customFormat="1" ht="12" hidden="1" customHeight="1">
      <c r="A10770" s="426"/>
    </row>
    <row r="10771" spans="1:1" s="427" customFormat="1" ht="12" hidden="1" customHeight="1">
      <c r="A10771" s="426"/>
    </row>
    <row r="10772" spans="1:1" s="427" customFormat="1" ht="12" hidden="1" customHeight="1">
      <c r="A10772" s="426"/>
    </row>
    <row r="10773" spans="1:1" s="427" customFormat="1" ht="12" hidden="1" customHeight="1">
      <c r="A10773" s="426"/>
    </row>
    <row r="10774" spans="1:1" s="427" customFormat="1" ht="12" hidden="1" customHeight="1">
      <c r="A10774" s="426"/>
    </row>
    <row r="10775" spans="1:1" s="427" customFormat="1" ht="12" hidden="1" customHeight="1">
      <c r="A10775" s="426"/>
    </row>
    <row r="10776" spans="1:1" s="427" customFormat="1" ht="12" hidden="1" customHeight="1">
      <c r="A10776" s="426"/>
    </row>
    <row r="10777" spans="1:1" s="427" customFormat="1" ht="12" hidden="1" customHeight="1">
      <c r="A10777" s="426"/>
    </row>
    <row r="10778" spans="1:1" s="427" customFormat="1" ht="12" hidden="1" customHeight="1">
      <c r="A10778" s="426"/>
    </row>
    <row r="10779" spans="1:1" s="427" customFormat="1" ht="12" hidden="1" customHeight="1">
      <c r="A10779" s="426"/>
    </row>
    <row r="10780" spans="1:1" s="427" customFormat="1" ht="12" hidden="1" customHeight="1">
      <c r="A10780" s="426"/>
    </row>
    <row r="10781" spans="1:1" s="427" customFormat="1" ht="12" hidden="1" customHeight="1">
      <c r="A10781" s="426"/>
    </row>
    <row r="10782" spans="1:1" s="427" customFormat="1" ht="12" hidden="1" customHeight="1">
      <c r="A10782" s="426"/>
    </row>
    <row r="10783" spans="1:1" s="427" customFormat="1" ht="12" hidden="1" customHeight="1">
      <c r="A10783" s="426"/>
    </row>
    <row r="10784" spans="1:1" s="427" customFormat="1" ht="12" hidden="1" customHeight="1">
      <c r="A10784" s="426"/>
    </row>
    <row r="10785" spans="1:1" s="427" customFormat="1" ht="12" hidden="1" customHeight="1">
      <c r="A10785" s="426"/>
    </row>
    <row r="10786" spans="1:1" s="427" customFormat="1" ht="12" hidden="1" customHeight="1">
      <c r="A10786" s="426"/>
    </row>
    <row r="10787" spans="1:1" s="427" customFormat="1" ht="12" hidden="1" customHeight="1">
      <c r="A10787" s="426"/>
    </row>
    <row r="10788" spans="1:1" s="427" customFormat="1" ht="12" hidden="1" customHeight="1">
      <c r="A10788" s="426"/>
    </row>
    <row r="10789" spans="1:1" s="427" customFormat="1" ht="12" hidden="1" customHeight="1">
      <c r="A10789" s="426"/>
    </row>
    <row r="10790" spans="1:1" s="427" customFormat="1" ht="12" hidden="1" customHeight="1">
      <c r="A10790" s="426"/>
    </row>
    <row r="10791" spans="1:1" s="427" customFormat="1" ht="12" hidden="1" customHeight="1">
      <c r="A10791" s="426"/>
    </row>
    <row r="10792" spans="1:1" s="427" customFormat="1" ht="12" hidden="1" customHeight="1">
      <c r="A10792" s="426"/>
    </row>
    <row r="10793" spans="1:1" s="427" customFormat="1" ht="12" hidden="1" customHeight="1">
      <c r="A10793" s="426"/>
    </row>
    <row r="10794" spans="1:1" s="427" customFormat="1" ht="12" hidden="1" customHeight="1">
      <c r="A10794" s="426"/>
    </row>
    <row r="10795" spans="1:1" s="427" customFormat="1" ht="12" hidden="1" customHeight="1">
      <c r="A10795" s="426"/>
    </row>
    <row r="10796" spans="1:1" s="427" customFormat="1" ht="12" hidden="1" customHeight="1">
      <c r="A10796" s="426"/>
    </row>
    <row r="10797" spans="1:1" s="427" customFormat="1" ht="12" hidden="1" customHeight="1">
      <c r="A10797" s="426"/>
    </row>
    <row r="10798" spans="1:1" s="427" customFormat="1" ht="12" hidden="1" customHeight="1">
      <c r="A10798" s="426"/>
    </row>
    <row r="10799" spans="1:1" s="427" customFormat="1" ht="12" hidden="1" customHeight="1">
      <c r="A10799" s="426"/>
    </row>
    <row r="10800" spans="1:1" s="427" customFormat="1" ht="12" hidden="1" customHeight="1">
      <c r="A10800" s="426"/>
    </row>
    <row r="10801" spans="1:1" s="427" customFormat="1" ht="12" hidden="1" customHeight="1">
      <c r="A10801" s="426"/>
    </row>
    <row r="10802" spans="1:1" s="427" customFormat="1" ht="12" hidden="1" customHeight="1">
      <c r="A10802" s="426"/>
    </row>
    <row r="10803" spans="1:1" s="427" customFormat="1" ht="12" hidden="1" customHeight="1">
      <c r="A10803" s="426"/>
    </row>
    <row r="10804" spans="1:1" s="427" customFormat="1" ht="12" hidden="1" customHeight="1">
      <c r="A10804" s="426"/>
    </row>
    <row r="10805" spans="1:1" s="427" customFormat="1" ht="12" hidden="1" customHeight="1">
      <c r="A10805" s="426"/>
    </row>
    <row r="10806" spans="1:1" s="427" customFormat="1" ht="12" hidden="1" customHeight="1">
      <c r="A10806" s="426"/>
    </row>
    <row r="10807" spans="1:1" s="427" customFormat="1" ht="12" hidden="1" customHeight="1">
      <c r="A10807" s="426"/>
    </row>
    <row r="10808" spans="1:1" s="427" customFormat="1" ht="12" hidden="1" customHeight="1">
      <c r="A10808" s="426"/>
    </row>
    <row r="10809" spans="1:1" s="427" customFormat="1" ht="12" hidden="1" customHeight="1">
      <c r="A10809" s="426"/>
    </row>
    <row r="10810" spans="1:1" s="427" customFormat="1" ht="12" hidden="1" customHeight="1">
      <c r="A10810" s="426"/>
    </row>
    <row r="10811" spans="1:1" s="427" customFormat="1" ht="12" hidden="1" customHeight="1">
      <c r="A10811" s="426"/>
    </row>
    <row r="10812" spans="1:1" s="427" customFormat="1" ht="12" hidden="1" customHeight="1">
      <c r="A10812" s="426"/>
    </row>
    <row r="10813" spans="1:1" s="427" customFormat="1" ht="12" hidden="1" customHeight="1">
      <c r="A10813" s="426"/>
    </row>
    <row r="10814" spans="1:1" s="427" customFormat="1" ht="12" hidden="1" customHeight="1">
      <c r="A10814" s="426"/>
    </row>
    <row r="10815" spans="1:1" s="427" customFormat="1" ht="12" hidden="1" customHeight="1">
      <c r="A10815" s="426"/>
    </row>
    <row r="10816" spans="1:1" s="427" customFormat="1" ht="12" hidden="1" customHeight="1">
      <c r="A10816" s="426"/>
    </row>
    <row r="10817" spans="1:1" s="427" customFormat="1" ht="12" hidden="1" customHeight="1">
      <c r="A10817" s="426"/>
    </row>
    <row r="10818" spans="1:1" s="427" customFormat="1" ht="12" hidden="1" customHeight="1">
      <c r="A10818" s="426"/>
    </row>
    <row r="10819" spans="1:1" s="427" customFormat="1" ht="12" hidden="1" customHeight="1">
      <c r="A10819" s="426"/>
    </row>
    <row r="10820" spans="1:1" s="427" customFormat="1" ht="12" hidden="1" customHeight="1">
      <c r="A10820" s="426"/>
    </row>
    <row r="10821" spans="1:1" s="427" customFormat="1" ht="12" hidden="1" customHeight="1">
      <c r="A10821" s="426"/>
    </row>
    <row r="10822" spans="1:1" s="427" customFormat="1" ht="12" hidden="1" customHeight="1">
      <c r="A10822" s="426"/>
    </row>
    <row r="10823" spans="1:1" s="427" customFormat="1" ht="12" hidden="1" customHeight="1">
      <c r="A10823" s="426"/>
    </row>
    <row r="10824" spans="1:1" s="427" customFormat="1" ht="12" hidden="1" customHeight="1">
      <c r="A10824" s="426"/>
    </row>
    <row r="10825" spans="1:1" s="427" customFormat="1" ht="12" hidden="1" customHeight="1">
      <c r="A10825" s="426"/>
    </row>
    <row r="10826" spans="1:1" s="427" customFormat="1" ht="12" hidden="1" customHeight="1">
      <c r="A10826" s="426"/>
    </row>
    <row r="10827" spans="1:1" s="427" customFormat="1" ht="12" hidden="1" customHeight="1">
      <c r="A10827" s="426"/>
    </row>
    <row r="10828" spans="1:1" s="427" customFormat="1" ht="12" hidden="1" customHeight="1">
      <c r="A10828" s="426"/>
    </row>
    <row r="10829" spans="1:1" s="427" customFormat="1" ht="12" hidden="1" customHeight="1">
      <c r="A10829" s="426"/>
    </row>
    <row r="10830" spans="1:1" s="427" customFormat="1" ht="12" hidden="1" customHeight="1">
      <c r="A10830" s="426"/>
    </row>
    <row r="10831" spans="1:1" s="427" customFormat="1" ht="12" hidden="1" customHeight="1">
      <c r="A10831" s="426"/>
    </row>
    <row r="10832" spans="1:1" s="427" customFormat="1" ht="12" hidden="1" customHeight="1">
      <c r="A10832" s="426"/>
    </row>
    <row r="10833" spans="1:1" s="427" customFormat="1" ht="12" hidden="1" customHeight="1">
      <c r="A10833" s="426"/>
    </row>
    <row r="10834" spans="1:1" s="427" customFormat="1" ht="12" hidden="1" customHeight="1">
      <c r="A10834" s="426"/>
    </row>
    <row r="10835" spans="1:1" s="427" customFormat="1" ht="12" hidden="1" customHeight="1">
      <c r="A10835" s="426"/>
    </row>
    <row r="10836" spans="1:1" s="427" customFormat="1" ht="12" hidden="1" customHeight="1">
      <c r="A10836" s="426"/>
    </row>
    <row r="10837" spans="1:1" s="427" customFormat="1" ht="12" hidden="1" customHeight="1">
      <c r="A10837" s="426"/>
    </row>
    <row r="10838" spans="1:1" s="427" customFormat="1" ht="12" hidden="1" customHeight="1">
      <c r="A10838" s="426"/>
    </row>
    <row r="10839" spans="1:1" s="427" customFormat="1" ht="12" hidden="1" customHeight="1">
      <c r="A10839" s="426"/>
    </row>
    <row r="10840" spans="1:1" s="427" customFormat="1" ht="12" hidden="1" customHeight="1">
      <c r="A10840" s="426"/>
    </row>
    <row r="10841" spans="1:1" s="427" customFormat="1" ht="12" hidden="1" customHeight="1">
      <c r="A10841" s="426"/>
    </row>
    <row r="10842" spans="1:1" s="427" customFormat="1" ht="12" hidden="1" customHeight="1">
      <c r="A10842" s="426"/>
    </row>
    <row r="10843" spans="1:1" s="427" customFormat="1" ht="12" hidden="1" customHeight="1">
      <c r="A10843" s="426"/>
    </row>
    <row r="10844" spans="1:1" s="427" customFormat="1" ht="12" hidden="1" customHeight="1">
      <c r="A10844" s="426"/>
    </row>
    <row r="10845" spans="1:1" s="427" customFormat="1" ht="12" hidden="1" customHeight="1">
      <c r="A10845" s="426"/>
    </row>
    <row r="10846" spans="1:1" s="427" customFormat="1" ht="12" hidden="1" customHeight="1">
      <c r="A10846" s="426"/>
    </row>
    <row r="10847" spans="1:1" s="427" customFormat="1" ht="12" hidden="1" customHeight="1">
      <c r="A10847" s="426"/>
    </row>
    <row r="10848" spans="1:1" s="427" customFormat="1" ht="12" hidden="1" customHeight="1">
      <c r="A10848" s="426"/>
    </row>
    <row r="10849" spans="1:1" s="427" customFormat="1" ht="12" hidden="1" customHeight="1">
      <c r="A10849" s="426"/>
    </row>
    <row r="10850" spans="1:1" s="427" customFormat="1" ht="12" hidden="1" customHeight="1">
      <c r="A10850" s="426"/>
    </row>
    <row r="10851" spans="1:1" s="427" customFormat="1" ht="12" hidden="1" customHeight="1">
      <c r="A10851" s="426"/>
    </row>
    <row r="10852" spans="1:1" s="427" customFormat="1" ht="12" hidden="1" customHeight="1">
      <c r="A10852" s="426"/>
    </row>
    <row r="10853" spans="1:1" s="427" customFormat="1" ht="12" hidden="1" customHeight="1">
      <c r="A10853" s="426"/>
    </row>
    <row r="10854" spans="1:1" s="427" customFormat="1" ht="12" hidden="1" customHeight="1">
      <c r="A10854" s="426"/>
    </row>
    <row r="10855" spans="1:1" s="427" customFormat="1" ht="12" hidden="1" customHeight="1">
      <c r="A10855" s="426"/>
    </row>
    <row r="10856" spans="1:1" s="427" customFormat="1" ht="12" hidden="1" customHeight="1">
      <c r="A10856" s="426"/>
    </row>
    <row r="10857" spans="1:1" s="427" customFormat="1" ht="12" hidden="1" customHeight="1">
      <c r="A10857" s="426"/>
    </row>
    <row r="10858" spans="1:1" s="427" customFormat="1" ht="12" hidden="1" customHeight="1">
      <c r="A10858" s="426"/>
    </row>
    <row r="10859" spans="1:1" s="427" customFormat="1" ht="12" hidden="1" customHeight="1">
      <c r="A10859" s="426"/>
    </row>
    <row r="10860" spans="1:1" s="427" customFormat="1" ht="12" hidden="1" customHeight="1">
      <c r="A10860" s="426"/>
    </row>
    <row r="10861" spans="1:1" s="427" customFormat="1" ht="12" hidden="1" customHeight="1">
      <c r="A10861" s="426"/>
    </row>
    <row r="10862" spans="1:1" s="427" customFormat="1" ht="12" hidden="1" customHeight="1">
      <c r="A10862" s="426"/>
    </row>
    <row r="10863" spans="1:1" s="427" customFormat="1" ht="12" hidden="1" customHeight="1">
      <c r="A10863" s="426"/>
    </row>
    <row r="10864" spans="1:1" s="427" customFormat="1" ht="12" hidden="1" customHeight="1">
      <c r="A10864" s="426"/>
    </row>
    <row r="10865" spans="1:1" s="427" customFormat="1" ht="12" hidden="1" customHeight="1">
      <c r="A10865" s="426"/>
    </row>
    <row r="10866" spans="1:1" s="427" customFormat="1" ht="12" hidden="1" customHeight="1">
      <c r="A10866" s="426"/>
    </row>
    <row r="10867" spans="1:1" s="427" customFormat="1" ht="12" hidden="1" customHeight="1">
      <c r="A10867" s="426"/>
    </row>
    <row r="10868" spans="1:1" s="427" customFormat="1" ht="12" hidden="1" customHeight="1">
      <c r="A10868" s="426"/>
    </row>
    <row r="10869" spans="1:1" s="427" customFormat="1" ht="12" hidden="1" customHeight="1">
      <c r="A10869" s="426"/>
    </row>
    <row r="10870" spans="1:1" s="427" customFormat="1" ht="12" hidden="1" customHeight="1">
      <c r="A10870" s="426"/>
    </row>
    <row r="10871" spans="1:1" s="427" customFormat="1" ht="12" hidden="1" customHeight="1">
      <c r="A10871" s="426"/>
    </row>
    <row r="10872" spans="1:1" s="427" customFormat="1" ht="12" hidden="1" customHeight="1">
      <c r="A10872" s="426"/>
    </row>
    <row r="10873" spans="1:1" s="427" customFormat="1" ht="12" hidden="1" customHeight="1">
      <c r="A10873" s="426"/>
    </row>
    <row r="10874" spans="1:1" s="427" customFormat="1" ht="12" hidden="1" customHeight="1">
      <c r="A10874" s="426"/>
    </row>
    <row r="10875" spans="1:1" s="427" customFormat="1" ht="12" hidden="1" customHeight="1">
      <c r="A10875" s="426"/>
    </row>
    <row r="10876" spans="1:1" s="427" customFormat="1" ht="12" hidden="1" customHeight="1">
      <c r="A10876" s="426"/>
    </row>
    <row r="10877" spans="1:1" s="427" customFormat="1" ht="12" hidden="1" customHeight="1">
      <c r="A10877" s="426"/>
    </row>
    <row r="10878" spans="1:1" s="427" customFormat="1" ht="12" hidden="1" customHeight="1">
      <c r="A10878" s="426"/>
    </row>
    <row r="10879" spans="1:1" s="427" customFormat="1" ht="12" hidden="1" customHeight="1">
      <c r="A10879" s="426"/>
    </row>
    <row r="10880" spans="1:1" s="427" customFormat="1" ht="12" hidden="1" customHeight="1">
      <c r="A10880" s="426"/>
    </row>
    <row r="10881" spans="1:1" s="427" customFormat="1" ht="12" hidden="1" customHeight="1">
      <c r="A10881" s="426"/>
    </row>
    <row r="10882" spans="1:1" s="427" customFormat="1" ht="12" hidden="1" customHeight="1">
      <c r="A10882" s="426"/>
    </row>
    <row r="10883" spans="1:1" s="427" customFormat="1" ht="12" hidden="1" customHeight="1">
      <c r="A10883" s="426"/>
    </row>
    <row r="10884" spans="1:1" s="427" customFormat="1" ht="12" hidden="1" customHeight="1">
      <c r="A10884" s="426"/>
    </row>
    <row r="10885" spans="1:1" s="427" customFormat="1" ht="12" hidden="1" customHeight="1">
      <c r="A10885" s="426"/>
    </row>
    <row r="10886" spans="1:1" s="427" customFormat="1" ht="12" hidden="1" customHeight="1">
      <c r="A10886" s="426"/>
    </row>
    <row r="10887" spans="1:1" s="427" customFormat="1" ht="12" hidden="1" customHeight="1">
      <c r="A10887" s="426"/>
    </row>
    <row r="10888" spans="1:1" s="427" customFormat="1" ht="12" hidden="1" customHeight="1">
      <c r="A10888" s="426"/>
    </row>
    <row r="10889" spans="1:1" s="427" customFormat="1" ht="12" hidden="1" customHeight="1">
      <c r="A10889" s="426"/>
    </row>
    <row r="10890" spans="1:1" s="427" customFormat="1" ht="12" hidden="1" customHeight="1">
      <c r="A10890" s="426"/>
    </row>
    <row r="10891" spans="1:1" s="427" customFormat="1" ht="12" hidden="1" customHeight="1">
      <c r="A10891" s="426"/>
    </row>
    <row r="10892" spans="1:1" s="427" customFormat="1" ht="12" hidden="1" customHeight="1">
      <c r="A10892" s="426"/>
    </row>
    <row r="10893" spans="1:1" s="427" customFormat="1" ht="12" hidden="1" customHeight="1">
      <c r="A10893" s="426"/>
    </row>
    <row r="10894" spans="1:1" s="427" customFormat="1" ht="12" hidden="1" customHeight="1">
      <c r="A10894" s="426"/>
    </row>
    <row r="10895" spans="1:1" s="427" customFormat="1" ht="12" hidden="1" customHeight="1">
      <c r="A10895" s="426"/>
    </row>
    <row r="10896" spans="1:1" s="427" customFormat="1" ht="12" hidden="1" customHeight="1">
      <c r="A10896" s="426"/>
    </row>
    <row r="10897" spans="1:1" s="427" customFormat="1" ht="12" hidden="1" customHeight="1">
      <c r="A10897" s="426"/>
    </row>
    <row r="10898" spans="1:1" s="427" customFormat="1" ht="12" hidden="1" customHeight="1">
      <c r="A10898" s="426"/>
    </row>
    <row r="10899" spans="1:1" s="427" customFormat="1" ht="12" hidden="1" customHeight="1">
      <c r="A10899" s="426"/>
    </row>
    <row r="10900" spans="1:1" s="427" customFormat="1" ht="12" hidden="1" customHeight="1">
      <c r="A10900" s="426"/>
    </row>
    <row r="10901" spans="1:1" s="427" customFormat="1" ht="12" hidden="1" customHeight="1">
      <c r="A10901" s="426"/>
    </row>
    <row r="10902" spans="1:1" s="427" customFormat="1" ht="12" hidden="1" customHeight="1">
      <c r="A10902" s="426"/>
    </row>
    <row r="10903" spans="1:1" s="427" customFormat="1" ht="12" hidden="1" customHeight="1">
      <c r="A10903" s="426"/>
    </row>
    <row r="10904" spans="1:1" s="427" customFormat="1" ht="12" hidden="1" customHeight="1">
      <c r="A10904" s="426"/>
    </row>
    <row r="10905" spans="1:1" s="427" customFormat="1" ht="12" hidden="1" customHeight="1">
      <c r="A10905" s="426"/>
    </row>
    <row r="10906" spans="1:1" s="427" customFormat="1" ht="12" hidden="1" customHeight="1">
      <c r="A10906" s="426"/>
    </row>
    <row r="10907" spans="1:1" s="427" customFormat="1" ht="12" hidden="1" customHeight="1">
      <c r="A10907" s="426"/>
    </row>
    <row r="10908" spans="1:1" s="427" customFormat="1" ht="12" hidden="1" customHeight="1">
      <c r="A10908" s="426"/>
    </row>
    <row r="10909" spans="1:1" s="427" customFormat="1" ht="12" hidden="1" customHeight="1">
      <c r="A10909" s="426"/>
    </row>
    <row r="10910" spans="1:1" s="427" customFormat="1" ht="12" hidden="1" customHeight="1">
      <c r="A10910" s="426"/>
    </row>
    <row r="10911" spans="1:1" s="427" customFormat="1" ht="12" hidden="1" customHeight="1">
      <c r="A10911" s="426"/>
    </row>
    <row r="10912" spans="1:1" s="427" customFormat="1" ht="12" hidden="1" customHeight="1">
      <c r="A10912" s="426"/>
    </row>
    <row r="10913" spans="1:1" s="427" customFormat="1" ht="12" hidden="1" customHeight="1">
      <c r="A10913" s="426"/>
    </row>
    <row r="10914" spans="1:1" s="427" customFormat="1" ht="12" hidden="1" customHeight="1">
      <c r="A10914" s="426"/>
    </row>
    <row r="10915" spans="1:1" s="427" customFormat="1" ht="12" hidden="1" customHeight="1">
      <c r="A10915" s="426"/>
    </row>
    <row r="10916" spans="1:1" s="427" customFormat="1" ht="12" hidden="1" customHeight="1">
      <c r="A10916" s="426"/>
    </row>
    <row r="10917" spans="1:1" s="427" customFormat="1" ht="12" hidden="1" customHeight="1">
      <c r="A10917" s="426"/>
    </row>
    <row r="10918" spans="1:1" s="427" customFormat="1" ht="12" hidden="1" customHeight="1">
      <c r="A10918" s="426"/>
    </row>
    <row r="10919" spans="1:1" s="427" customFormat="1" ht="12" hidden="1" customHeight="1">
      <c r="A10919" s="426"/>
    </row>
    <row r="10920" spans="1:1" s="427" customFormat="1" ht="12" hidden="1" customHeight="1">
      <c r="A10920" s="426"/>
    </row>
    <row r="10921" spans="1:1" s="427" customFormat="1" ht="12" hidden="1" customHeight="1">
      <c r="A10921" s="426"/>
    </row>
    <row r="10922" spans="1:1" s="427" customFormat="1" ht="12" hidden="1" customHeight="1">
      <c r="A10922" s="426"/>
    </row>
    <row r="10923" spans="1:1" s="427" customFormat="1" ht="12" hidden="1" customHeight="1">
      <c r="A10923" s="426"/>
    </row>
    <row r="10924" spans="1:1" s="427" customFormat="1" ht="12" hidden="1" customHeight="1">
      <c r="A10924" s="426"/>
    </row>
    <row r="10925" spans="1:1" s="427" customFormat="1" ht="12" hidden="1" customHeight="1">
      <c r="A10925" s="426"/>
    </row>
    <row r="10926" spans="1:1" s="427" customFormat="1" ht="12" hidden="1" customHeight="1">
      <c r="A10926" s="426"/>
    </row>
    <row r="10927" spans="1:1" s="427" customFormat="1" ht="12" hidden="1" customHeight="1">
      <c r="A10927" s="426"/>
    </row>
    <row r="10928" spans="1:1" s="427" customFormat="1" ht="12" hidden="1" customHeight="1">
      <c r="A10928" s="426"/>
    </row>
    <row r="10929" spans="1:1" s="427" customFormat="1" ht="12" hidden="1" customHeight="1">
      <c r="A10929" s="426"/>
    </row>
    <row r="10930" spans="1:1" s="427" customFormat="1" ht="12" hidden="1" customHeight="1">
      <c r="A10930" s="426"/>
    </row>
    <row r="10931" spans="1:1" s="427" customFormat="1" ht="12" hidden="1" customHeight="1">
      <c r="A10931" s="426"/>
    </row>
    <row r="10932" spans="1:1" s="427" customFormat="1" ht="12" hidden="1" customHeight="1">
      <c r="A10932" s="426"/>
    </row>
    <row r="10933" spans="1:1" s="427" customFormat="1" ht="12" hidden="1" customHeight="1">
      <c r="A10933" s="426"/>
    </row>
    <row r="10934" spans="1:1" s="427" customFormat="1" ht="12" hidden="1" customHeight="1">
      <c r="A10934" s="426"/>
    </row>
    <row r="10935" spans="1:1" s="427" customFormat="1" ht="12" hidden="1" customHeight="1">
      <c r="A10935" s="426"/>
    </row>
    <row r="10936" spans="1:1" s="427" customFormat="1" ht="12" hidden="1" customHeight="1">
      <c r="A10936" s="426"/>
    </row>
    <row r="10937" spans="1:1" s="427" customFormat="1" ht="12" hidden="1" customHeight="1">
      <c r="A10937" s="426"/>
    </row>
    <row r="10938" spans="1:1" s="427" customFormat="1" ht="12" hidden="1" customHeight="1">
      <c r="A10938" s="426"/>
    </row>
    <row r="10939" spans="1:1" s="427" customFormat="1" ht="12" hidden="1" customHeight="1">
      <c r="A10939" s="426"/>
    </row>
    <row r="10940" spans="1:1" s="427" customFormat="1" ht="12" hidden="1" customHeight="1">
      <c r="A10940" s="426"/>
    </row>
    <row r="10941" spans="1:1" s="427" customFormat="1" ht="12" hidden="1" customHeight="1">
      <c r="A10941" s="426"/>
    </row>
    <row r="10942" spans="1:1" s="427" customFormat="1" ht="12" hidden="1" customHeight="1">
      <c r="A10942" s="426"/>
    </row>
    <row r="10943" spans="1:1" s="427" customFormat="1" ht="12" hidden="1" customHeight="1">
      <c r="A10943" s="426"/>
    </row>
    <row r="10944" spans="1:1" s="427" customFormat="1" ht="12" hidden="1" customHeight="1">
      <c r="A10944" s="426"/>
    </row>
    <row r="10945" spans="1:1" s="427" customFormat="1" ht="12" hidden="1" customHeight="1">
      <c r="A10945" s="426"/>
    </row>
    <row r="10946" spans="1:1" s="427" customFormat="1" ht="12" hidden="1" customHeight="1">
      <c r="A10946" s="426"/>
    </row>
    <row r="10947" spans="1:1" s="427" customFormat="1" ht="12" hidden="1" customHeight="1">
      <c r="A10947" s="426"/>
    </row>
    <row r="10948" spans="1:1" s="427" customFormat="1" ht="12" hidden="1" customHeight="1">
      <c r="A10948" s="426"/>
    </row>
    <row r="10949" spans="1:1" s="427" customFormat="1" ht="12" hidden="1" customHeight="1">
      <c r="A10949" s="426"/>
    </row>
    <row r="10950" spans="1:1" s="427" customFormat="1" ht="12" hidden="1" customHeight="1">
      <c r="A10950" s="426"/>
    </row>
    <row r="10951" spans="1:1" s="427" customFormat="1" ht="12" hidden="1" customHeight="1">
      <c r="A10951" s="426"/>
    </row>
    <row r="10952" spans="1:1" s="427" customFormat="1" ht="12" hidden="1" customHeight="1">
      <c r="A10952" s="426"/>
    </row>
    <row r="10953" spans="1:1" s="427" customFormat="1" ht="12" hidden="1" customHeight="1">
      <c r="A10953" s="426"/>
    </row>
    <row r="10954" spans="1:1" s="427" customFormat="1" ht="12" hidden="1" customHeight="1">
      <c r="A10954" s="426"/>
    </row>
    <row r="10955" spans="1:1" s="427" customFormat="1" ht="12" hidden="1" customHeight="1">
      <c r="A10955" s="426"/>
    </row>
    <row r="10956" spans="1:1" s="427" customFormat="1" ht="12" hidden="1" customHeight="1">
      <c r="A10956" s="426"/>
    </row>
    <row r="10957" spans="1:1" s="427" customFormat="1" ht="12" hidden="1" customHeight="1">
      <c r="A10957" s="426"/>
    </row>
    <row r="10958" spans="1:1" s="427" customFormat="1" ht="12" hidden="1" customHeight="1">
      <c r="A10958" s="426"/>
    </row>
    <row r="10959" spans="1:1" s="427" customFormat="1" ht="12" hidden="1" customHeight="1">
      <c r="A10959" s="426"/>
    </row>
    <row r="10960" spans="1:1" s="427" customFormat="1" ht="12" hidden="1" customHeight="1">
      <c r="A10960" s="426"/>
    </row>
    <row r="10961" spans="1:1" s="427" customFormat="1" ht="12" hidden="1" customHeight="1">
      <c r="A10961" s="426"/>
    </row>
    <row r="10962" spans="1:1" s="427" customFormat="1" ht="12" hidden="1" customHeight="1">
      <c r="A10962" s="426"/>
    </row>
    <row r="10963" spans="1:1" s="427" customFormat="1" ht="12" hidden="1" customHeight="1">
      <c r="A10963" s="426"/>
    </row>
    <row r="10964" spans="1:1" s="427" customFormat="1" ht="12" hidden="1" customHeight="1">
      <c r="A10964" s="426"/>
    </row>
    <row r="10965" spans="1:1" s="427" customFormat="1" ht="12" hidden="1" customHeight="1">
      <c r="A10965" s="426"/>
    </row>
    <row r="10966" spans="1:1" s="427" customFormat="1" ht="12" hidden="1" customHeight="1">
      <c r="A10966" s="426"/>
    </row>
    <row r="10967" spans="1:1" s="427" customFormat="1" ht="12" hidden="1" customHeight="1">
      <c r="A10967" s="426"/>
    </row>
    <row r="10968" spans="1:1" s="427" customFormat="1" ht="12" hidden="1" customHeight="1">
      <c r="A10968" s="426"/>
    </row>
    <row r="10969" spans="1:1" s="427" customFormat="1" ht="12" hidden="1" customHeight="1">
      <c r="A10969" s="426"/>
    </row>
    <row r="10970" spans="1:1" s="427" customFormat="1" ht="12" hidden="1" customHeight="1">
      <c r="A10970" s="426"/>
    </row>
    <row r="10971" spans="1:1" s="427" customFormat="1" ht="12" hidden="1" customHeight="1">
      <c r="A10971" s="426"/>
    </row>
    <row r="10972" spans="1:1" s="427" customFormat="1" ht="12" hidden="1" customHeight="1">
      <c r="A10972" s="426"/>
    </row>
    <row r="10973" spans="1:1" s="427" customFormat="1" ht="12" hidden="1" customHeight="1">
      <c r="A10973" s="426"/>
    </row>
    <row r="10974" spans="1:1" s="427" customFormat="1" ht="12" hidden="1" customHeight="1">
      <c r="A10974" s="426"/>
    </row>
    <row r="10975" spans="1:1" s="427" customFormat="1" ht="12" hidden="1" customHeight="1">
      <c r="A10975" s="426"/>
    </row>
    <row r="10976" spans="1:1" s="427" customFormat="1" ht="12" hidden="1" customHeight="1">
      <c r="A10976" s="426"/>
    </row>
    <row r="10977" spans="1:1" s="427" customFormat="1" ht="12" hidden="1" customHeight="1">
      <c r="A10977" s="426"/>
    </row>
    <row r="10978" spans="1:1" s="427" customFormat="1" ht="12" hidden="1" customHeight="1">
      <c r="A10978" s="426"/>
    </row>
    <row r="10979" spans="1:1" s="427" customFormat="1" ht="12" hidden="1" customHeight="1">
      <c r="A10979" s="426"/>
    </row>
    <row r="10980" spans="1:1" s="427" customFormat="1" ht="12" hidden="1" customHeight="1">
      <c r="A10980" s="426"/>
    </row>
    <row r="10981" spans="1:1" s="427" customFormat="1" ht="12" hidden="1" customHeight="1">
      <c r="A10981" s="426"/>
    </row>
    <row r="10982" spans="1:1" s="427" customFormat="1" ht="12" hidden="1" customHeight="1">
      <c r="A10982" s="426"/>
    </row>
    <row r="10983" spans="1:1" s="427" customFormat="1" ht="12" hidden="1" customHeight="1">
      <c r="A10983" s="426"/>
    </row>
    <row r="10984" spans="1:1" s="427" customFormat="1" ht="12" hidden="1" customHeight="1">
      <c r="A10984" s="426"/>
    </row>
    <row r="10985" spans="1:1" s="427" customFormat="1" ht="12" hidden="1" customHeight="1">
      <c r="A10985" s="426"/>
    </row>
    <row r="10986" spans="1:1" s="427" customFormat="1" ht="12" hidden="1" customHeight="1">
      <c r="A10986" s="426"/>
    </row>
    <row r="10987" spans="1:1" s="427" customFormat="1" ht="12" hidden="1" customHeight="1">
      <c r="A10987" s="426"/>
    </row>
    <row r="10988" spans="1:1" s="427" customFormat="1" ht="12" hidden="1" customHeight="1">
      <c r="A10988" s="426"/>
    </row>
    <row r="10989" spans="1:1" s="427" customFormat="1" ht="12" hidden="1" customHeight="1">
      <c r="A10989" s="426"/>
    </row>
    <row r="10990" spans="1:1" s="427" customFormat="1" ht="12" hidden="1" customHeight="1">
      <c r="A10990" s="426"/>
    </row>
    <row r="10991" spans="1:1" s="427" customFormat="1" ht="12" hidden="1" customHeight="1">
      <c r="A10991" s="426"/>
    </row>
    <row r="10992" spans="1:1" s="427" customFormat="1" ht="12" hidden="1" customHeight="1">
      <c r="A10992" s="426"/>
    </row>
    <row r="10993" spans="1:1" s="427" customFormat="1" ht="12" hidden="1" customHeight="1">
      <c r="A10993" s="426"/>
    </row>
    <row r="10994" spans="1:1" s="427" customFormat="1" ht="12" hidden="1" customHeight="1">
      <c r="A10994" s="426"/>
    </row>
    <row r="10995" spans="1:1" s="427" customFormat="1" ht="12" hidden="1" customHeight="1">
      <c r="A10995" s="426"/>
    </row>
    <row r="10996" spans="1:1" s="427" customFormat="1" ht="12" hidden="1" customHeight="1">
      <c r="A10996" s="426"/>
    </row>
    <row r="10997" spans="1:1" s="427" customFormat="1" ht="12" hidden="1" customHeight="1">
      <c r="A10997" s="426"/>
    </row>
    <row r="10998" spans="1:1" s="427" customFormat="1" ht="12" hidden="1" customHeight="1">
      <c r="A10998" s="426"/>
    </row>
    <row r="10999" spans="1:1" s="427" customFormat="1" ht="12" hidden="1" customHeight="1">
      <c r="A10999" s="426"/>
    </row>
    <row r="11000" spans="1:1" s="427" customFormat="1" ht="12" hidden="1" customHeight="1">
      <c r="A11000" s="426"/>
    </row>
    <row r="11001" spans="1:1" s="427" customFormat="1" ht="12" hidden="1" customHeight="1">
      <c r="A11001" s="426"/>
    </row>
    <row r="11002" spans="1:1" s="427" customFormat="1" ht="12" hidden="1" customHeight="1">
      <c r="A11002" s="426"/>
    </row>
    <row r="11003" spans="1:1" s="427" customFormat="1" ht="12" hidden="1" customHeight="1">
      <c r="A11003" s="426"/>
    </row>
    <row r="11004" spans="1:1" s="427" customFormat="1" ht="12" hidden="1" customHeight="1">
      <c r="A11004" s="426"/>
    </row>
    <row r="11005" spans="1:1" s="427" customFormat="1" ht="12" hidden="1" customHeight="1">
      <c r="A11005" s="426"/>
    </row>
    <row r="11006" spans="1:1" s="427" customFormat="1" ht="12" hidden="1" customHeight="1">
      <c r="A11006" s="426"/>
    </row>
    <row r="11007" spans="1:1" s="427" customFormat="1" ht="12" hidden="1" customHeight="1">
      <c r="A11007" s="426"/>
    </row>
    <row r="11008" spans="1:1" s="427" customFormat="1" ht="12" hidden="1" customHeight="1">
      <c r="A11008" s="426"/>
    </row>
    <row r="11009" spans="1:1" s="427" customFormat="1" ht="12" hidden="1" customHeight="1">
      <c r="A11009" s="426"/>
    </row>
    <row r="11010" spans="1:1" s="427" customFormat="1" ht="12" hidden="1" customHeight="1">
      <c r="A11010" s="426"/>
    </row>
    <row r="11011" spans="1:1" s="427" customFormat="1" ht="12" hidden="1" customHeight="1">
      <c r="A11011" s="426"/>
    </row>
    <row r="11012" spans="1:1" s="427" customFormat="1" ht="12" hidden="1" customHeight="1">
      <c r="A11012" s="426"/>
    </row>
    <row r="11013" spans="1:1" s="427" customFormat="1" ht="12" hidden="1" customHeight="1">
      <c r="A11013" s="426"/>
    </row>
    <row r="11014" spans="1:1" s="427" customFormat="1" ht="12" hidden="1" customHeight="1">
      <c r="A11014" s="426"/>
    </row>
    <row r="11015" spans="1:1" s="427" customFormat="1" ht="12" hidden="1" customHeight="1">
      <c r="A11015" s="426"/>
    </row>
    <row r="11016" spans="1:1" s="427" customFormat="1" ht="12" hidden="1" customHeight="1">
      <c r="A11016" s="426"/>
    </row>
    <row r="11017" spans="1:1" s="427" customFormat="1" ht="12" hidden="1" customHeight="1">
      <c r="A11017" s="426"/>
    </row>
    <row r="11018" spans="1:1" s="427" customFormat="1" ht="12" hidden="1" customHeight="1">
      <c r="A11018" s="426"/>
    </row>
    <row r="11019" spans="1:1" s="427" customFormat="1" ht="12" hidden="1" customHeight="1">
      <c r="A11019" s="426"/>
    </row>
    <row r="11020" spans="1:1" s="427" customFormat="1" ht="12" hidden="1" customHeight="1">
      <c r="A11020" s="426"/>
    </row>
    <row r="11021" spans="1:1" s="427" customFormat="1" ht="12" hidden="1" customHeight="1">
      <c r="A11021" s="426"/>
    </row>
    <row r="11022" spans="1:1" s="427" customFormat="1" ht="12" hidden="1" customHeight="1">
      <c r="A11022" s="426"/>
    </row>
    <row r="11023" spans="1:1" s="427" customFormat="1" ht="12" hidden="1" customHeight="1">
      <c r="A11023" s="426"/>
    </row>
    <row r="11024" spans="1:1" s="427" customFormat="1" ht="12" hidden="1" customHeight="1">
      <c r="A11024" s="426"/>
    </row>
    <row r="11025" spans="1:1" s="427" customFormat="1" ht="12" hidden="1" customHeight="1">
      <c r="A11025" s="426"/>
    </row>
    <row r="11026" spans="1:1" s="427" customFormat="1" ht="12" hidden="1" customHeight="1">
      <c r="A11026" s="426"/>
    </row>
    <row r="11027" spans="1:1" s="427" customFormat="1" ht="12" hidden="1" customHeight="1">
      <c r="A11027" s="426"/>
    </row>
    <row r="11028" spans="1:1" s="427" customFormat="1" ht="12" hidden="1" customHeight="1">
      <c r="A11028" s="426"/>
    </row>
    <row r="11029" spans="1:1" s="427" customFormat="1" ht="12" hidden="1" customHeight="1">
      <c r="A11029" s="426"/>
    </row>
    <row r="11030" spans="1:1" s="427" customFormat="1" ht="12" hidden="1" customHeight="1">
      <c r="A11030" s="426"/>
    </row>
    <row r="11031" spans="1:1" s="427" customFormat="1" ht="12" hidden="1" customHeight="1">
      <c r="A11031" s="426"/>
    </row>
    <row r="11032" spans="1:1" s="427" customFormat="1" ht="12" hidden="1" customHeight="1">
      <c r="A11032" s="426"/>
    </row>
    <row r="11033" spans="1:1" s="427" customFormat="1" ht="12" hidden="1" customHeight="1">
      <c r="A11033" s="426"/>
    </row>
    <row r="11034" spans="1:1" s="427" customFormat="1" ht="12" hidden="1" customHeight="1">
      <c r="A11034" s="426"/>
    </row>
    <row r="11035" spans="1:1" s="427" customFormat="1" ht="12" hidden="1" customHeight="1">
      <c r="A11035" s="426"/>
    </row>
    <row r="11036" spans="1:1" s="427" customFormat="1" ht="12" hidden="1" customHeight="1">
      <c r="A11036" s="426"/>
    </row>
    <row r="11037" spans="1:1" s="427" customFormat="1" ht="12" hidden="1" customHeight="1">
      <c r="A11037" s="426"/>
    </row>
    <row r="11038" spans="1:1" s="427" customFormat="1" ht="12" hidden="1" customHeight="1">
      <c r="A11038" s="426"/>
    </row>
    <row r="11039" spans="1:1" s="427" customFormat="1" ht="12" hidden="1" customHeight="1">
      <c r="A11039" s="426"/>
    </row>
    <row r="11040" spans="1:1" s="427" customFormat="1" ht="12" hidden="1" customHeight="1">
      <c r="A11040" s="426"/>
    </row>
    <row r="11041" spans="1:1" s="427" customFormat="1" ht="12" hidden="1" customHeight="1">
      <c r="A11041" s="426"/>
    </row>
    <row r="11042" spans="1:1" s="427" customFormat="1" ht="12" hidden="1" customHeight="1">
      <c r="A11042" s="426"/>
    </row>
    <row r="11043" spans="1:1" s="427" customFormat="1" ht="12" hidden="1" customHeight="1">
      <c r="A11043" s="426"/>
    </row>
    <row r="11044" spans="1:1" s="427" customFormat="1" ht="12" hidden="1" customHeight="1">
      <c r="A11044" s="426"/>
    </row>
    <row r="11045" spans="1:1" s="427" customFormat="1" ht="12" hidden="1" customHeight="1">
      <c r="A11045" s="426"/>
    </row>
    <row r="11046" spans="1:1" s="427" customFormat="1" ht="12" hidden="1" customHeight="1">
      <c r="A11046" s="426"/>
    </row>
    <row r="11047" spans="1:1" s="427" customFormat="1" ht="12" hidden="1" customHeight="1">
      <c r="A11047" s="426"/>
    </row>
    <row r="11048" spans="1:1" s="427" customFormat="1" ht="12" hidden="1" customHeight="1">
      <c r="A11048" s="426"/>
    </row>
    <row r="11049" spans="1:1" s="427" customFormat="1" ht="12" hidden="1" customHeight="1">
      <c r="A11049" s="426"/>
    </row>
    <row r="11050" spans="1:1" s="427" customFormat="1" ht="12" hidden="1" customHeight="1">
      <c r="A11050" s="426"/>
    </row>
    <row r="11051" spans="1:1" s="427" customFormat="1" ht="12" hidden="1" customHeight="1">
      <c r="A11051" s="426"/>
    </row>
    <row r="11052" spans="1:1" s="427" customFormat="1" ht="12" hidden="1" customHeight="1">
      <c r="A11052" s="426"/>
    </row>
    <row r="11053" spans="1:1" s="427" customFormat="1" ht="12" hidden="1" customHeight="1">
      <c r="A11053" s="426"/>
    </row>
    <row r="11054" spans="1:1" s="427" customFormat="1" ht="12" hidden="1" customHeight="1">
      <c r="A11054" s="426"/>
    </row>
    <row r="11055" spans="1:1" s="427" customFormat="1" ht="12" hidden="1" customHeight="1">
      <c r="A11055" s="426"/>
    </row>
    <row r="11056" spans="1:1" s="427" customFormat="1" ht="12" hidden="1" customHeight="1">
      <c r="A11056" s="426"/>
    </row>
    <row r="11057" spans="1:1" s="427" customFormat="1" ht="12" hidden="1" customHeight="1">
      <c r="A11057" s="426"/>
    </row>
    <row r="11058" spans="1:1" s="427" customFormat="1" ht="12" hidden="1" customHeight="1">
      <c r="A11058" s="426"/>
    </row>
    <row r="11059" spans="1:1" s="427" customFormat="1" ht="12" hidden="1" customHeight="1">
      <c r="A11059" s="426"/>
    </row>
    <row r="11060" spans="1:1" s="427" customFormat="1" ht="12" hidden="1" customHeight="1">
      <c r="A11060" s="426"/>
    </row>
    <row r="11061" spans="1:1" s="427" customFormat="1" ht="12" hidden="1" customHeight="1">
      <c r="A11061" s="426"/>
    </row>
    <row r="11062" spans="1:1" s="427" customFormat="1" ht="12" hidden="1" customHeight="1">
      <c r="A11062" s="426"/>
    </row>
    <row r="11063" spans="1:1" s="427" customFormat="1" ht="12" hidden="1" customHeight="1">
      <c r="A11063" s="426"/>
    </row>
    <row r="11064" spans="1:1" s="427" customFormat="1" ht="12" hidden="1" customHeight="1">
      <c r="A11064" s="426"/>
    </row>
    <row r="11065" spans="1:1" s="427" customFormat="1" ht="12" hidden="1" customHeight="1">
      <c r="A11065" s="426"/>
    </row>
    <row r="11066" spans="1:1" s="427" customFormat="1" ht="12" hidden="1" customHeight="1">
      <c r="A11066" s="426"/>
    </row>
    <row r="11067" spans="1:1" s="427" customFormat="1" ht="12" hidden="1" customHeight="1">
      <c r="A11067" s="426"/>
    </row>
    <row r="11068" spans="1:1" s="427" customFormat="1" ht="12" hidden="1" customHeight="1">
      <c r="A11068" s="426"/>
    </row>
    <row r="11069" spans="1:1" s="427" customFormat="1" ht="12" hidden="1" customHeight="1">
      <c r="A11069" s="426"/>
    </row>
    <row r="11070" spans="1:1" s="427" customFormat="1" ht="12" hidden="1" customHeight="1">
      <c r="A11070" s="426"/>
    </row>
    <row r="11071" spans="1:1" s="427" customFormat="1" ht="12" hidden="1" customHeight="1">
      <c r="A11071" s="426"/>
    </row>
    <row r="11072" spans="1:1" s="427" customFormat="1" ht="12" hidden="1" customHeight="1">
      <c r="A11072" s="426"/>
    </row>
    <row r="11073" spans="1:1" s="427" customFormat="1" ht="12" hidden="1" customHeight="1">
      <c r="A11073" s="426"/>
    </row>
    <row r="11074" spans="1:1" s="427" customFormat="1" ht="12" hidden="1" customHeight="1">
      <c r="A11074" s="426"/>
    </row>
    <row r="11075" spans="1:1" s="427" customFormat="1" ht="12" hidden="1" customHeight="1">
      <c r="A11075" s="426"/>
    </row>
    <row r="11076" spans="1:1" s="427" customFormat="1" ht="12" hidden="1" customHeight="1">
      <c r="A11076" s="426"/>
    </row>
    <row r="11077" spans="1:1" s="427" customFormat="1" ht="12" hidden="1" customHeight="1">
      <c r="A11077" s="426"/>
    </row>
    <row r="11078" spans="1:1" s="427" customFormat="1" ht="12" hidden="1" customHeight="1">
      <c r="A11078" s="426"/>
    </row>
    <row r="11079" spans="1:1" s="427" customFormat="1" ht="12" hidden="1" customHeight="1">
      <c r="A11079" s="426"/>
    </row>
    <row r="11080" spans="1:1" s="427" customFormat="1" ht="12" hidden="1" customHeight="1">
      <c r="A11080" s="426"/>
    </row>
    <row r="11081" spans="1:1" s="427" customFormat="1" ht="12" hidden="1" customHeight="1">
      <c r="A11081" s="426"/>
    </row>
    <row r="11082" spans="1:1" s="427" customFormat="1" ht="12" hidden="1" customHeight="1">
      <c r="A11082" s="426"/>
    </row>
    <row r="11083" spans="1:1" s="427" customFormat="1" ht="12" hidden="1" customHeight="1">
      <c r="A11083" s="426"/>
    </row>
    <row r="11084" spans="1:1" s="427" customFormat="1" ht="12" hidden="1" customHeight="1">
      <c r="A11084" s="426"/>
    </row>
    <row r="11085" spans="1:1" s="427" customFormat="1" ht="12" hidden="1" customHeight="1">
      <c r="A11085" s="426"/>
    </row>
    <row r="11086" spans="1:1" s="427" customFormat="1" ht="12" hidden="1" customHeight="1">
      <c r="A11086" s="426"/>
    </row>
    <row r="11087" spans="1:1" s="427" customFormat="1" ht="12" hidden="1" customHeight="1">
      <c r="A11087" s="426"/>
    </row>
    <row r="11088" spans="1:1" s="427" customFormat="1" ht="12" hidden="1" customHeight="1">
      <c r="A11088" s="426"/>
    </row>
    <row r="11089" spans="1:1" s="427" customFormat="1" ht="12" hidden="1" customHeight="1">
      <c r="A11089" s="426"/>
    </row>
    <row r="11090" spans="1:1" s="427" customFormat="1" ht="12" hidden="1" customHeight="1">
      <c r="A11090" s="426"/>
    </row>
    <row r="11091" spans="1:1" s="427" customFormat="1" ht="12" hidden="1" customHeight="1">
      <c r="A11091" s="426"/>
    </row>
    <row r="11092" spans="1:1" s="427" customFormat="1" ht="12" hidden="1" customHeight="1">
      <c r="A11092" s="426"/>
    </row>
    <row r="11093" spans="1:1" s="427" customFormat="1" ht="12" hidden="1" customHeight="1">
      <c r="A11093" s="426"/>
    </row>
    <row r="11094" spans="1:1" s="427" customFormat="1" ht="12" hidden="1" customHeight="1">
      <c r="A11094" s="426"/>
    </row>
    <row r="11095" spans="1:1" s="427" customFormat="1" ht="12" hidden="1" customHeight="1">
      <c r="A11095" s="426"/>
    </row>
    <row r="11096" spans="1:1" s="427" customFormat="1" ht="12" hidden="1" customHeight="1">
      <c r="A11096" s="426"/>
    </row>
    <row r="11097" spans="1:1" s="427" customFormat="1" ht="12" hidden="1" customHeight="1">
      <c r="A11097" s="426"/>
    </row>
    <row r="11098" spans="1:1" s="427" customFormat="1" ht="12" hidden="1" customHeight="1">
      <c r="A11098" s="426"/>
    </row>
    <row r="11099" spans="1:1" s="427" customFormat="1" ht="12" hidden="1" customHeight="1">
      <c r="A11099" s="426"/>
    </row>
    <row r="11100" spans="1:1" s="427" customFormat="1" ht="12" hidden="1" customHeight="1">
      <c r="A11100" s="426"/>
    </row>
    <row r="11101" spans="1:1" s="427" customFormat="1" ht="12" hidden="1" customHeight="1">
      <c r="A11101" s="426"/>
    </row>
    <row r="11102" spans="1:1" s="427" customFormat="1" ht="12" hidden="1" customHeight="1">
      <c r="A11102" s="426"/>
    </row>
    <row r="11103" spans="1:1" s="427" customFormat="1" ht="12" hidden="1" customHeight="1">
      <c r="A11103" s="426"/>
    </row>
    <row r="11104" spans="1:1" s="427" customFormat="1" ht="12" hidden="1" customHeight="1">
      <c r="A11104" s="426"/>
    </row>
    <row r="11105" spans="1:1" s="427" customFormat="1" ht="12" hidden="1" customHeight="1">
      <c r="A11105" s="426"/>
    </row>
    <row r="11106" spans="1:1" s="427" customFormat="1" ht="12" hidden="1" customHeight="1">
      <c r="A11106" s="426"/>
    </row>
    <row r="11107" spans="1:1" s="427" customFormat="1" ht="12" hidden="1" customHeight="1">
      <c r="A11107" s="426"/>
    </row>
    <row r="11108" spans="1:1" s="427" customFormat="1" ht="12" hidden="1" customHeight="1">
      <c r="A11108" s="426"/>
    </row>
    <row r="11109" spans="1:1" s="427" customFormat="1" ht="12" hidden="1" customHeight="1">
      <c r="A11109" s="426"/>
    </row>
    <row r="11110" spans="1:1" s="427" customFormat="1" ht="12" hidden="1" customHeight="1">
      <c r="A11110" s="426"/>
    </row>
    <row r="11111" spans="1:1" s="427" customFormat="1" ht="12" hidden="1" customHeight="1">
      <c r="A11111" s="426"/>
    </row>
    <row r="11112" spans="1:1" s="427" customFormat="1" ht="12" hidden="1" customHeight="1">
      <c r="A11112" s="426"/>
    </row>
    <row r="11113" spans="1:1" s="427" customFormat="1" ht="12" hidden="1" customHeight="1">
      <c r="A11113" s="426"/>
    </row>
    <row r="11114" spans="1:1" s="427" customFormat="1" ht="12" hidden="1" customHeight="1">
      <c r="A11114" s="426"/>
    </row>
    <row r="11115" spans="1:1" s="427" customFormat="1" ht="12" hidden="1" customHeight="1">
      <c r="A11115" s="426"/>
    </row>
    <row r="11116" spans="1:1" s="427" customFormat="1" ht="12" hidden="1" customHeight="1">
      <c r="A11116" s="426"/>
    </row>
    <row r="11117" spans="1:1" s="427" customFormat="1" ht="12" hidden="1" customHeight="1">
      <c r="A11117" s="426"/>
    </row>
    <row r="11118" spans="1:1" s="427" customFormat="1" ht="12" hidden="1" customHeight="1">
      <c r="A11118" s="426"/>
    </row>
    <row r="11119" spans="1:1" s="427" customFormat="1" ht="12" hidden="1" customHeight="1">
      <c r="A11119" s="426"/>
    </row>
    <row r="11120" spans="1:1" s="427" customFormat="1" ht="12" hidden="1" customHeight="1">
      <c r="A11120" s="426"/>
    </row>
    <row r="11121" spans="1:1" s="427" customFormat="1" ht="12" hidden="1" customHeight="1">
      <c r="A11121" s="426"/>
    </row>
    <row r="11122" spans="1:1" s="427" customFormat="1" ht="12" hidden="1" customHeight="1">
      <c r="A11122" s="426"/>
    </row>
    <row r="11123" spans="1:1" s="427" customFormat="1" ht="12" hidden="1" customHeight="1">
      <c r="A11123" s="426"/>
    </row>
    <row r="11124" spans="1:1" s="427" customFormat="1" ht="12" hidden="1" customHeight="1">
      <c r="A11124" s="426"/>
    </row>
    <row r="11125" spans="1:1" s="427" customFormat="1" ht="12" hidden="1" customHeight="1">
      <c r="A11125" s="426"/>
    </row>
    <row r="11126" spans="1:1" s="427" customFormat="1" ht="12" hidden="1" customHeight="1">
      <c r="A11126" s="426"/>
    </row>
    <row r="11127" spans="1:1" s="427" customFormat="1" ht="12" hidden="1" customHeight="1">
      <c r="A11127" s="426"/>
    </row>
    <row r="11128" spans="1:1" s="427" customFormat="1" ht="12" hidden="1" customHeight="1">
      <c r="A11128" s="426"/>
    </row>
    <row r="11129" spans="1:1" s="427" customFormat="1" ht="12" hidden="1" customHeight="1">
      <c r="A11129" s="426"/>
    </row>
    <row r="11130" spans="1:1" s="427" customFormat="1" ht="12" hidden="1" customHeight="1">
      <c r="A11130" s="426"/>
    </row>
    <row r="11131" spans="1:1" s="427" customFormat="1" ht="12" hidden="1" customHeight="1">
      <c r="A11131" s="426"/>
    </row>
    <row r="11132" spans="1:1" s="427" customFormat="1" ht="12" hidden="1" customHeight="1">
      <c r="A11132" s="426"/>
    </row>
    <row r="11133" spans="1:1" s="427" customFormat="1" ht="12" hidden="1" customHeight="1">
      <c r="A11133" s="426"/>
    </row>
    <row r="11134" spans="1:1" s="427" customFormat="1" ht="12" hidden="1" customHeight="1">
      <c r="A11134" s="426"/>
    </row>
    <row r="11135" spans="1:1" s="427" customFormat="1" ht="12" hidden="1" customHeight="1">
      <c r="A11135" s="426"/>
    </row>
    <row r="11136" spans="1:1" s="427" customFormat="1" ht="12" hidden="1" customHeight="1">
      <c r="A11136" s="426"/>
    </row>
    <row r="11137" spans="1:1" s="427" customFormat="1" ht="12" hidden="1" customHeight="1">
      <c r="A11137" s="426"/>
    </row>
    <row r="11138" spans="1:1" s="427" customFormat="1" ht="12" hidden="1" customHeight="1">
      <c r="A11138" s="426"/>
    </row>
    <row r="11139" spans="1:1" s="427" customFormat="1" ht="12" hidden="1" customHeight="1">
      <c r="A11139" s="426"/>
    </row>
    <row r="11140" spans="1:1" s="427" customFormat="1" ht="12" hidden="1" customHeight="1">
      <c r="A11140" s="426"/>
    </row>
    <row r="11141" spans="1:1" s="427" customFormat="1" ht="12" hidden="1" customHeight="1">
      <c r="A11141" s="426"/>
    </row>
    <row r="11142" spans="1:1" s="427" customFormat="1" ht="12" hidden="1" customHeight="1">
      <c r="A11142" s="426"/>
    </row>
    <row r="11143" spans="1:1" s="427" customFormat="1" ht="12" hidden="1" customHeight="1">
      <c r="A11143" s="426"/>
    </row>
    <row r="11144" spans="1:1" s="427" customFormat="1" ht="12" hidden="1" customHeight="1">
      <c r="A11144" s="426"/>
    </row>
    <row r="11145" spans="1:1" s="427" customFormat="1" ht="12" hidden="1" customHeight="1">
      <c r="A11145" s="426"/>
    </row>
    <row r="11146" spans="1:1" s="427" customFormat="1" ht="12" hidden="1" customHeight="1">
      <c r="A11146" s="426"/>
    </row>
    <row r="11147" spans="1:1" s="427" customFormat="1" ht="12" hidden="1" customHeight="1">
      <c r="A11147" s="426"/>
    </row>
    <row r="11148" spans="1:1" s="427" customFormat="1" ht="12" hidden="1" customHeight="1">
      <c r="A11148" s="426"/>
    </row>
    <row r="11149" spans="1:1" s="427" customFormat="1" ht="12" hidden="1" customHeight="1">
      <c r="A11149" s="426"/>
    </row>
    <row r="11150" spans="1:1" s="427" customFormat="1" ht="12" hidden="1" customHeight="1">
      <c r="A11150" s="426"/>
    </row>
    <row r="11151" spans="1:1" s="427" customFormat="1" ht="12" hidden="1" customHeight="1">
      <c r="A11151" s="426"/>
    </row>
    <row r="11152" spans="1:1" s="427" customFormat="1" ht="12" hidden="1" customHeight="1">
      <c r="A11152" s="426"/>
    </row>
    <row r="11153" spans="1:1" s="427" customFormat="1" ht="12" hidden="1" customHeight="1">
      <c r="A11153" s="426"/>
    </row>
    <row r="11154" spans="1:1" s="427" customFormat="1" ht="12" hidden="1" customHeight="1">
      <c r="A11154" s="426"/>
    </row>
    <row r="11155" spans="1:1" s="427" customFormat="1" ht="12" hidden="1" customHeight="1">
      <c r="A11155" s="426"/>
    </row>
    <row r="11156" spans="1:1" s="427" customFormat="1" ht="12" hidden="1" customHeight="1">
      <c r="A11156" s="426"/>
    </row>
    <row r="11157" spans="1:1" s="427" customFormat="1" ht="12" hidden="1" customHeight="1">
      <c r="A11157" s="426"/>
    </row>
    <row r="11158" spans="1:1" s="427" customFormat="1" ht="12" hidden="1" customHeight="1">
      <c r="A11158" s="426"/>
    </row>
    <row r="11159" spans="1:1" s="427" customFormat="1" ht="12" hidden="1" customHeight="1">
      <c r="A11159" s="426"/>
    </row>
    <row r="11160" spans="1:1" s="427" customFormat="1" ht="12" hidden="1" customHeight="1">
      <c r="A11160" s="426"/>
    </row>
    <row r="11161" spans="1:1" s="427" customFormat="1" ht="12" hidden="1" customHeight="1">
      <c r="A11161" s="426"/>
    </row>
    <row r="11162" spans="1:1" s="427" customFormat="1" ht="12" hidden="1" customHeight="1">
      <c r="A11162" s="426"/>
    </row>
    <row r="11163" spans="1:1" s="427" customFormat="1" ht="12" hidden="1" customHeight="1">
      <c r="A11163" s="426"/>
    </row>
    <row r="11164" spans="1:1" s="427" customFormat="1" ht="12" hidden="1" customHeight="1">
      <c r="A11164" s="426"/>
    </row>
    <row r="11165" spans="1:1" s="427" customFormat="1" ht="12" hidden="1" customHeight="1">
      <c r="A11165" s="426"/>
    </row>
    <row r="11166" spans="1:1" s="427" customFormat="1" ht="12" hidden="1" customHeight="1">
      <c r="A11166" s="426"/>
    </row>
    <row r="11167" spans="1:1" s="427" customFormat="1" ht="12" hidden="1" customHeight="1">
      <c r="A11167" s="426"/>
    </row>
    <row r="11168" spans="1:1" s="427" customFormat="1" ht="12" hidden="1" customHeight="1">
      <c r="A11168" s="426"/>
    </row>
    <row r="11169" spans="1:1" s="427" customFormat="1" ht="12" hidden="1" customHeight="1">
      <c r="A11169" s="426"/>
    </row>
    <row r="11170" spans="1:1" s="427" customFormat="1" ht="12" hidden="1" customHeight="1">
      <c r="A11170" s="426"/>
    </row>
    <row r="11171" spans="1:1" s="427" customFormat="1" ht="12" hidden="1" customHeight="1">
      <c r="A11171" s="426"/>
    </row>
    <row r="11172" spans="1:1" s="427" customFormat="1" ht="12" hidden="1" customHeight="1">
      <c r="A11172" s="426"/>
    </row>
    <row r="11173" spans="1:1" s="427" customFormat="1" ht="12" hidden="1" customHeight="1">
      <c r="A11173" s="426"/>
    </row>
    <row r="11174" spans="1:1" s="427" customFormat="1" ht="12" hidden="1" customHeight="1">
      <c r="A11174" s="426"/>
    </row>
    <row r="11175" spans="1:1" s="427" customFormat="1" ht="12" hidden="1" customHeight="1">
      <c r="A11175" s="426"/>
    </row>
    <row r="11176" spans="1:1" s="427" customFormat="1" ht="12" hidden="1" customHeight="1">
      <c r="A11176" s="426"/>
    </row>
    <row r="11177" spans="1:1" s="427" customFormat="1" ht="12" hidden="1" customHeight="1">
      <c r="A11177" s="426"/>
    </row>
    <row r="11178" spans="1:1" s="427" customFormat="1" ht="12" hidden="1" customHeight="1">
      <c r="A11178" s="426"/>
    </row>
    <row r="11179" spans="1:1" s="427" customFormat="1" ht="12" hidden="1" customHeight="1">
      <c r="A11179" s="426"/>
    </row>
    <row r="11180" spans="1:1" s="427" customFormat="1" ht="12" hidden="1" customHeight="1">
      <c r="A11180" s="426"/>
    </row>
    <row r="11181" spans="1:1" s="427" customFormat="1" ht="12" hidden="1" customHeight="1">
      <c r="A11181" s="426"/>
    </row>
    <row r="11182" spans="1:1" s="427" customFormat="1" ht="12" hidden="1" customHeight="1">
      <c r="A11182" s="426"/>
    </row>
    <row r="11183" spans="1:1" s="427" customFormat="1" ht="12" hidden="1" customHeight="1">
      <c r="A11183" s="426"/>
    </row>
    <row r="11184" spans="1:1" s="427" customFormat="1" ht="12" hidden="1" customHeight="1">
      <c r="A11184" s="426"/>
    </row>
    <row r="11185" spans="1:1" s="427" customFormat="1" ht="12" hidden="1" customHeight="1">
      <c r="A11185" s="426"/>
    </row>
    <row r="11186" spans="1:1" s="427" customFormat="1" ht="12" hidden="1" customHeight="1">
      <c r="A11186" s="426"/>
    </row>
    <row r="11187" spans="1:1" s="427" customFormat="1" ht="12" hidden="1" customHeight="1">
      <c r="A11187" s="426"/>
    </row>
    <row r="11188" spans="1:1" s="427" customFormat="1" ht="12" hidden="1" customHeight="1">
      <c r="A11188" s="426"/>
    </row>
    <row r="11189" spans="1:1" s="427" customFormat="1" ht="12" hidden="1" customHeight="1">
      <c r="A11189" s="426"/>
    </row>
    <row r="11190" spans="1:1" s="427" customFormat="1" ht="12" hidden="1" customHeight="1">
      <c r="A11190" s="426"/>
    </row>
    <row r="11191" spans="1:1" s="427" customFormat="1" ht="12" hidden="1" customHeight="1">
      <c r="A11191" s="426"/>
    </row>
    <row r="11192" spans="1:1" s="427" customFormat="1" ht="12" hidden="1" customHeight="1">
      <c r="A11192" s="426"/>
    </row>
    <row r="11193" spans="1:1" s="427" customFormat="1" ht="12" hidden="1" customHeight="1">
      <c r="A11193" s="426"/>
    </row>
    <row r="11194" spans="1:1" s="427" customFormat="1" ht="12" hidden="1" customHeight="1">
      <c r="A11194" s="426"/>
    </row>
    <row r="11195" spans="1:1" s="427" customFormat="1" ht="12" hidden="1" customHeight="1">
      <c r="A11195" s="426"/>
    </row>
    <row r="11196" spans="1:1" s="427" customFormat="1" ht="12" hidden="1" customHeight="1">
      <c r="A11196" s="426"/>
    </row>
    <row r="11197" spans="1:1" s="427" customFormat="1" ht="12" hidden="1" customHeight="1">
      <c r="A11197" s="426"/>
    </row>
    <row r="11198" spans="1:1" s="427" customFormat="1" ht="12" hidden="1" customHeight="1">
      <c r="A11198" s="426"/>
    </row>
    <row r="11199" spans="1:1" s="427" customFormat="1" ht="12" hidden="1" customHeight="1">
      <c r="A11199" s="426"/>
    </row>
    <row r="11200" spans="1:1" s="427" customFormat="1" ht="12" hidden="1" customHeight="1">
      <c r="A11200" s="426"/>
    </row>
    <row r="11201" spans="1:1" s="427" customFormat="1" ht="12" hidden="1" customHeight="1">
      <c r="A11201" s="426"/>
    </row>
    <row r="11202" spans="1:1" s="427" customFormat="1" ht="12" hidden="1" customHeight="1">
      <c r="A11202" s="426"/>
    </row>
    <row r="11203" spans="1:1" s="427" customFormat="1" ht="12" hidden="1" customHeight="1">
      <c r="A11203" s="426"/>
    </row>
    <row r="11204" spans="1:1" s="427" customFormat="1" ht="12" hidden="1" customHeight="1">
      <c r="A11204" s="426"/>
    </row>
    <row r="11205" spans="1:1" s="427" customFormat="1" ht="12" hidden="1" customHeight="1">
      <c r="A11205" s="426"/>
    </row>
    <row r="11206" spans="1:1" s="427" customFormat="1" ht="12" hidden="1" customHeight="1">
      <c r="A11206" s="426"/>
    </row>
    <row r="11207" spans="1:1" s="427" customFormat="1" ht="12" hidden="1" customHeight="1">
      <c r="A11207" s="426"/>
    </row>
    <row r="11208" spans="1:1" s="427" customFormat="1" ht="12" hidden="1" customHeight="1">
      <c r="A11208" s="426"/>
    </row>
    <row r="11209" spans="1:1" s="427" customFormat="1" ht="12" hidden="1" customHeight="1">
      <c r="A11209" s="426"/>
    </row>
    <row r="11210" spans="1:1" s="427" customFormat="1" ht="12" hidden="1" customHeight="1">
      <c r="A11210" s="426"/>
    </row>
    <row r="11211" spans="1:1" s="427" customFormat="1" ht="12" hidden="1" customHeight="1">
      <c r="A11211" s="426"/>
    </row>
    <row r="11212" spans="1:1" s="427" customFormat="1" ht="12" hidden="1" customHeight="1">
      <c r="A11212" s="426"/>
    </row>
    <row r="11213" spans="1:1" s="427" customFormat="1" ht="12" hidden="1" customHeight="1">
      <c r="A11213" s="426"/>
    </row>
    <row r="11214" spans="1:1" s="427" customFormat="1" ht="12" hidden="1" customHeight="1">
      <c r="A11214" s="426"/>
    </row>
    <row r="11215" spans="1:1" s="427" customFormat="1" ht="12" hidden="1" customHeight="1">
      <c r="A11215" s="426"/>
    </row>
    <row r="11216" spans="1:1" s="427" customFormat="1" ht="12" hidden="1" customHeight="1">
      <c r="A11216" s="426"/>
    </row>
    <row r="11217" spans="1:1" s="427" customFormat="1" ht="12" hidden="1" customHeight="1">
      <c r="A11217" s="426"/>
    </row>
    <row r="11218" spans="1:1" s="427" customFormat="1" ht="12" hidden="1" customHeight="1">
      <c r="A11218" s="426"/>
    </row>
    <row r="11219" spans="1:1" s="427" customFormat="1" ht="12" hidden="1" customHeight="1">
      <c r="A11219" s="426"/>
    </row>
    <row r="11220" spans="1:1" s="427" customFormat="1" ht="12" hidden="1" customHeight="1">
      <c r="A11220" s="426"/>
    </row>
    <row r="11221" spans="1:1" s="427" customFormat="1" ht="12" hidden="1" customHeight="1">
      <c r="A11221" s="426"/>
    </row>
    <row r="11222" spans="1:1" s="427" customFormat="1" ht="12" hidden="1" customHeight="1">
      <c r="A11222" s="426"/>
    </row>
    <row r="11223" spans="1:1" s="427" customFormat="1" ht="12" hidden="1" customHeight="1">
      <c r="A11223" s="426"/>
    </row>
    <row r="11224" spans="1:1" s="427" customFormat="1" ht="12" hidden="1" customHeight="1">
      <c r="A11224" s="426"/>
    </row>
    <row r="11225" spans="1:1" s="427" customFormat="1" ht="12" hidden="1" customHeight="1">
      <c r="A11225" s="426"/>
    </row>
    <row r="11226" spans="1:1" s="427" customFormat="1" ht="12" hidden="1" customHeight="1">
      <c r="A11226" s="426"/>
    </row>
    <row r="11227" spans="1:1" s="427" customFormat="1" ht="12" hidden="1" customHeight="1">
      <c r="A11227" s="426"/>
    </row>
    <row r="11228" spans="1:1" s="427" customFormat="1" ht="12" hidden="1" customHeight="1">
      <c r="A11228" s="426"/>
    </row>
    <row r="11229" spans="1:1" s="427" customFormat="1" ht="12" hidden="1" customHeight="1">
      <c r="A11229" s="426"/>
    </row>
    <row r="11230" spans="1:1" s="427" customFormat="1" ht="12" hidden="1" customHeight="1">
      <c r="A11230" s="426"/>
    </row>
    <row r="11231" spans="1:1" s="427" customFormat="1" ht="12" hidden="1" customHeight="1">
      <c r="A11231" s="426"/>
    </row>
    <row r="11232" spans="1:1" s="427" customFormat="1" ht="12" hidden="1" customHeight="1">
      <c r="A11232" s="426"/>
    </row>
    <row r="11233" spans="1:1" s="427" customFormat="1" ht="12" hidden="1" customHeight="1">
      <c r="A11233" s="426"/>
    </row>
    <row r="11234" spans="1:1" s="427" customFormat="1" ht="12" hidden="1" customHeight="1">
      <c r="A11234" s="426"/>
    </row>
    <row r="11235" spans="1:1" s="427" customFormat="1" ht="12" hidden="1" customHeight="1">
      <c r="A11235" s="426"/>
    </row>
    <row r="11236" spans="1:1" s="427" customFormat="1" ht="12" hidden="1" customHeight="1">
      <c r="A11236" s="426"/>
    </row>
    <row r="11237" spans="1:1" s="427" customFormat="1" ht="12" hidden="1" customHeight="1">
      <c r="A11237" s="426"/>
    </row>
    <row r="11238" spans="1:1" s="427" customFormat="1" ht="12" hidden="1" customHeight="1">
      <c r="A11238" s="426"/>
    </row>
    <row r="11239" spans="1:1" s="427" customFormat="1" ht="12" hidden="1" customHeight="1">
      <c r="A11239" s="426"/>
    </row>
    <row r="11240" spans="1:1" s="427" customFormat="1" ht="12" hidden="1" customHeight="1">
      <c r="A11240" s="426"/>
    </row>
    <row r="11241" spans="1:1" s="427" customFormat="1" ht="12" hidden="1" customHeight="1">
      <c r="A11241" s="426"/>
    </row>
    <row r="11242" spans="1:1" s="427" customFormat="1" ht="12" hidden="1" customHeight="1">
      <c r="A11242" s="426"/>
    </row>
    <row r="11243" spans="1:1" s="427" customFormat="1" ht="12" hidden="1" customHeight="1">
      <c r="A11243" s="426"/>
    </row>
    <row r="11244" spans="1:1" s="427" customFormat="1" ht="12" hidden="1" customHeight="1">
      <c r="A11244" s="426"/>
    </row>
    <row r="11245" spans="1:1" s="427" customFormat="1" ht="12" hidden="1" customHeight="1">
      <c r="A11245" s="426"/>
    </row>
    <row r="11246" spans="1:1" s="427" customFormat="1" ht="12" hidden="1" customHeight="1">
      <c r="A11246" s="426"/>
    </row>
    <row r="11247" spans="1:1" s="427" customFormat="1" ht="12" hidden="1" customHeight="1">
      <c r="A11247" s="426"/>
    </row>
    <row r="11248" spans="1:1" s="427" customFormat="1" ht="12" hidden="1" customHeight="1">
      <c r="A11248" s="426"/>
    </row>
    <row r="11249" spans="1:1" s="427" customFormat="1" ht="12" hidden="1" customHeight="1">
      <c r="A11249" s="426"/>
    </row>
    <row r="11250" spans="1:1" s="427" customFormat="1" ht="12" hidden="1" customHeight="1">
      <c r="A11250" s="426"/>
    </row>
    <row r="11251" spans="1:1" s="427" customFormat="1" ht="12" hidden="1" customHeight="1">
      <c r="A11251" s="426"/>
    </row>
    <row r="11252" spans="1:1" s="427" customFormat="1" ht="12" hidden="1" customHeight="1">
      <c r="A11252" s="426"/>
    </row>
    <row r="11253" spans="1:1" s="427" customFormat="1" ht="12" hidden="1" customHeight="1">
      <c r="A11253" s="426"/>
    </row>
    <row r="11254" spans="1:1" s="427" customFormat="1" ht="12" hidden="1" customHeight="1">
      <c r="A11254" s="426"/>
    </row>
    <row r="11255" spans="1:1" s="427" customFormat="1" ht="12" hidden="1" customHeight="1">
      <c r="A11255" s="426"/>
    </row>
    <row r="11256" spans="1:1" s="427" customFormat="1" ht="12" hidden="1" customHeight="1">
      <c r="A11256" s="426"/>
    </row>
    <row r="11257" spans="1:1" s="427" customFormat="1" ht="12" hidden="1" customHeight="1">
      <c r="A11257" s="426"/>
    </row>
    <row r="11258" spans="1:1" s="427" customFormat="1" ht="12" hidden="1" customHeight="1">
      <c r="A11258" s="426"/>
    </row>
    <row r="11259" spans="1:1" s="427" customFormat="1" ht="12" hidden="1" customHeight="1">
      <c r="A11259" s="426"/>
    </row>
    <row r="11260" spans="1:1" s="427" customFormat="1" ht="12" hidden="1" customHeight="1">
      <c r="A11260" s="426"/>
    </row>
    <row r="11261" spans="1:1" s="427" customFormat="1" ht="12" hidden="1" customHeight="1">
      <c r="A11261" s="426"/>
    </row>
    <row r="11262" spans="1:1" s="427" customFormat="1" ht="12" hidden="1" customHeight="1">
      <c r="A11262" s="426"/>
    </row>
    <row r="11263" spans="1:1" s="427" customFormat="1" ht="12" hidden="1" customHeight="1">
      <c r="A11263" s="426"/>
    </row>
    <row r="11264" spans="1:1" s="427" customFormat="1" ht="12" hidden="1" customHeight="1">
      <c r="A11264" s="426"/>
    </row>
    <row r="11265" spans="1:1" s="427" customFormat="1" ht="12" hidden="1" customHeight="1">
      <c r="A11265" s="426"/>
    </row>
    <row r="11266" spans="1:1" s="427" customFormat="1" ht="12" hidden="1" customHeight="1">
      <c r="A11266" s="426"/>
    </row>
    <row r="11267" spans="1:1" s="427" customFormat="1" ht="12" hidden="1" customHeight="1">
      <c r="A11267" s="426"/>
    </row>
    <row r="11268" spans="1:1" s="427" customFormat="1" ht="12" hidden="1" customHeight="1">
      <c r="A11268" s="426"/>
    </row>
    <row r="11269" spans="1:1" s="427" customFormat="1" ht="12" hidden="1" customHeight="1">
      <c r="A11269" s="426"/>
    </row>
    <row r="11270" spans="1:1" s="427" customFormat="1" ht="12" hidden="1" customHeight="1">
      <c r="A11270" s="426"/>
    </row>
    <row r="11271" spans="1:1" s="427" customFormat="1" ht="12" hidden="1" customHeight="1">
      <c r="A11271" s="426"/>
    </row>
    <row r="11272" spans="1:1" s="427" customFormat="1" ht="12" hidden="1" customHeight="1">
      <c r="A11272" s="426"/>
    </row>
    <row r="11273" spans="1:1" s="427" customFormat="1" ht="12" hidden="1" customHeight="1">
      <c r="A11273" s="426"/>
    </row>
    <row r="11274" spans="1:1" s="427" customFormat="1" ht="12" hidden="1" customHeight="1">
      <c r="A11274" s="426"/>
    </row>
    <row r="11275" spans="1:1" s="427" customFormat="1" ht="12" hidden="1" customHeight="1">
      <c r="A11275" s="426"/>
    </row>
    <row r="11276" spans="1:1" s="427" customFormat="1" ht="12" hidden="1" customHeight="1">
      <c r="A11276" s="426"/>
    </row>
    <row r="11277" spans="1:1" s="427" customFormat="1" ht="12" hidden="1" customHeight="1">
      <c r="A11277" s="426"/>
    </row>
    <row r="11278" spans="1:1" s="427" customFormat="1" ht="12" hidden="1" customHeight="1">
      <c r="A11278" s="426"/>
    </row>
    <row r="11279" spans="1:1" s="427" customFormat="1" ht="12" hidden="1" customHeight="1">
      <c r="A11279" s="426"/>
    </row>
    <row r="11280" spans="1:1" s="427" customFormat="1" ht="12" hidden="1" customHeight="1">
      <c r="A11280" s="426"/>
    </row>
    <row r="11281" spans="1:1" s="427" customFormat="1" ht="12" hidden="1" customHeight="1">
      <c r="A11281" s="426"/>
    </row>
    <row r="11282" spans="1:1" s="427" customFormat="1" ht="12" hidden="1" customHeight="1">
      <c r="A11282" s="426"/>
    </row>
    <row r="11283" spans="1:1" s="427" customFormat="1" ht="12" hidden="1" customHeight="1">
      <c r="A11283" s="426"/>
    </row>
    <row r="11284" spans="1:1" s="427" customFormat="1" ht="12" hidden="1" customHeight="1">
      <c r="A11284" s="426"/>
    </row>
    <row r="11285" spans="1:1" s="427" customFormat="1" ht="12" hidden="1" customHeight="1">
      <c r="A11285" s="426"/>
    </row>
    <row r="11286" spans="1:1" s="427" customFormat="1" ht="12" hidden="1" customHeight="1">
      <c r="A11286" s="426"/>
    </row>
    <row r="11287" spans="1:1" s="427" customFormat="1" ht="12" hidden="1" customHeight="1">
      <c r="A11287" s="426"/>
    </row>
    <row r="11288" spans="1:1" s="427" customFormat="1" ht="12" hidden="1" customHeight="1">
      <c r="A11288" s="426"/>
    </row>
    <row r="11289" spans="1:1" s="427" customFormat="1" ht="12" hidden="1" customHeight="1">
      <c r="A11289" s="426"/>
    </row>
    <row r="11290" spans="1:1" s="427" customFormat="1" ht="12" hidden="1" customHeight="1">
      <c r="A11290" s="426"/>
    </row>
    <row r="11291" spans="1:1" s="427" customFormat="1" ht="12" hidden="1" customHeight="1">
      <c r="A11291" s="426"/>
    </row>
    <row r="11292" spans="1:1" s="427" customFormat="1" ht="12" hidden="1" customHeight="1">
      <c r="A11292" s="426"/>
    </row>
    <row r="11293" spans="1:1" s="427" customFormat="1" ht="12" hidden="1" customHeight="1">
      <c r="A11293" s="426"/>
    </row>
    <row r="11294" spans="1:1" s="427" customFormat="1" ht="12" hidden="1" customHeight="1">
      <c r="A11294" s="426"/>
    </row>
    <row r="11295" spans="1:1" s="427" customFormat="1" ht="12" hidden="1" customHeight="1">
      <c r="A11295" s="426"/>
    </row>
    <row r="11296" spans="1:1" s="427" customFormat="1" ht="12" hidden="1" customHeight="1">
      <c r="A11296" s="426"/>
    </row>
    <row r="11297" spans="1:1" s="427" customFormat="1" ht="12" hidden="1" customHeight="1">
      <c r="A11297" s="426"/>
    </row>
    <row r="11298" spans="1:1" s="427" customFormat="1" ht="12" hidden="1" customHeight="1">
      <c r="A11298" s="426"/>
    </row>
    <row r="11299" spans="1:1" s="427" customFormat="1" ht="12" hidden="1" customHeight="1">
      <c r="A11299" s="426"/>
    </row>
    <row r="11300" spans="1:1" s="427" customFormat="1" ht="12" hidden="1" customHeight="1">
      <c r="A11300" s="426"/>
    </row>
    <row r="11301" spans="1:1" s="427" customFormat="1" ht="12" hidden="1" customHeight="1">
      <c r="A11301" s="426"/>
    </row>
    <row r="11302" spans="1:1" s="427" customFormat="1" ht="12" hidden="1" customHeight="1">
      <c r="A11302" s="426"/>
    </row>
    <row r="11303" spans="1:1" s="427" customFormat="1" ht="12" hidden="1" customHeight="1">
      <c r="A11303" s="426"/>
    </row>
    <row r="11304" spans="1:1" s="427" customFormat="1" ht="12" hidden="1" customHeight="1">
      <c r="A11304" s="426"/>
    </row>
    <row r="11305" spans="1:1" s="427" customFormat="1" ht="12" hidden="1" customHeight="1">
      <c r="A11305" s="426"/>
    </row>
    <row r="11306" spans="1:1" s="427" customFormat="1" ht="12" hidden="1" customHeight="1">
      <c r="A11306" s="426"/>
    </row>
    <row r="11307" spans="1:1" s="427" customFormat="1" ht="12" hidden="1" customHeight="1">
      <c r="A11307" s="426"/>
    </row>
    <row r="11308" spans="1:1" s="427" customFormat="1" ht="12" hidden="1" customHeight="1">
      <c r="A11308" s="426"/>
    </row>
    <row r="11309" spans="1:1" s="427" customFormat="1" ht="12" hidden="1" customHeight="1">
      <c r="A11309" s="426"/>
    </row>
    <row r="11310" spans="1:1" s="427" customFormat="1" ht="12" hidden="1" customHeight="1">
      <c r="A11310" s="426"/>
    </row>
    <row r="11311" spans="1:1" s="427" customFormat="1" ht="12" hidden="1" customHeight="1">
      <c r="A11311" s="426"/>
    </row>
    <row r="11312" spans="1:1" s="427" customFormat="1" ht="12" hidden="1" customHeight="1">
      <c r="A11312" s="426"/>
    </row>
    <row r="11313" spans="1:1" s="427" customFormat="1" ht="12" hidden="1" customHeight="1">
      <c r="A11313" s="426"/>
    </row>
    <row r="11314" spans="1:1" s="427" customFormat="1" ht="12" hidden="1" customHeight="1">
      <c r="A11314" s="426"/>
    </row>
    <row r="11315" spans="1:1" s="427" customFormat="1" ht="12" hidden="1" customHeight="1">
      <c r="A11315" s="426"/>
    </row>
    <row r="11316" spans="1:1" s="427" customFormat="1" ht="12" hidden="1" customHeight="1">
      <c r="A11316" s="426"/>
    </row>
    <row r="11317" spans="1:1" s="427" customFormat="1" ht="12" hidden="1" customHeight="1">
      <c r="A11317" s="426"/>
    </row>
    <row r="11318" spans="1:1" s="427" customFormat="1" ht="12" hidden="1" customHeight="1">
      <c r="A11318" s="426"/>
    </row>
    <row r="11319" spans="1:1" s="427" customFormat="1" ht="12" hidden="1" customHeight="1">
      <c r="A11319" s="426"/>
    </row>
    <row r="11320" spans="1:1" s="427" customFormat="1" ht="12" hidden="1" customHeight="1">
      <c r="A11320" s="426"/>
    </row>
    <row r="11321" spans="1:1" s="427" customFormat="1" ht="12" hidden="1" customHeight="1">
      <c r="A11321" s="426"/>
    </row>
    <row r="11322" spans="1:1" s="427" customFormat="1" ht="12" hidden="1" customHeight="1">
      <c r="A11322" s="426"/>
    </row>
    <row r="11323" spans="1:1" s="427" customFormat="1" ht="12" hidden="1" customHeight="1">
      <c r="A11323" s="426"/>
    </row>
    <row r="11324" spans="1:1" s="427" customFormat="1" ht="12" hidden="1" customHeight="1">
      <c r="A11324" s="426"/>
    </row>
    <row r="11325" spans="1:1" s="427" customFormat="1" ht="12" hidden="1" customHeight="1">
      <c r="A11325" s="426"/>
    </row>
    <row r="11326" spans="1:1" s="427" customFormat="1" ht="12" hidden="1" customHeight="1">
      <c r="A11326" s="426"/>
    </row>
    <row r="11327" spans="1:1" s="427" customFormat="1" ht="12" hidden="1" customHeight="1">
      <c r="A11327" s="426"/>
    </row>
    <row r="11328" spans="1:1" s="427" customFormat="1" ht="12" hidden="1" customHeight="1">
      <c r="A11328" s="426"/>
    </row>
    <row r="11329" spans="1:1" s="427" customFormat="1" ht="12" hidden="1" customHeight="1">
      <c r="A11329" s="426"/>
    </row>
    <row r="11330" spans="1:1" s="427" customFormat="1" ht="12" hidden="1" customHeight="1">
      <c r="A11330" s="426"/>
    </row>
    <row r="11331" spans="1:1" s="427" customFormat="1" ht="12" hidden="1" customHeight="1">
      <c r="A11331" s="426"/>
    </row>
    <row r="11332" spans="1:1" s="427" customFormat="1" ht="12" hidden="1" customHeight="1">
      <c r="A11332" s="426"/>
    </row>
    <row r="11333" spans="1:1" s="427" customFormat="1" ht="12" hidden="1" customHeight="1">
      <c r="A11333" s="426"/>
    </row>
    <row r="11334" spans="1:1" s="427" customFormat="1" ht="12" hidden="1" customHeight="1">
      <c r="A11334" s="426"/>
    </row>
    <row r="11335" spans="1:1" s="427" customFormat="1" ht="12" hidden="1" customHeight="1">
      <c r="A11335" s="426"/>
    </row>
    <row r="11336" spans="1:1" s="427" customFormat="1" ht="12" hidden="1" customHeight="1">
      <c r="A11336" s="426"/>
    </row>
    <row r="11337" spans="1:1" s="427" customFormat="1" ht="12" hidden="1" customHeight="1">
      <c r="A11337" s="426"/>
    </row>
    <row r="11338" spans="1:1" s="427" customFormat="1" ht="12" hidden="1" customHeight="1">
      <c r="A11338" s="426"/>
    </row>
    <row r="11339" spans="1:1" s="427" customFormat="1" ht="12" hidden="1" customHeight="1">
      <c r="A11339" s="426"/>
    </row>
    <row r="11340" spans="1:1" s="427" customFormat="1" ht="12" hidden="1" customHeight="1">
      <c r="A11340" s="426"/>
    </row>
    <row r="11341" spans="1:1" s="427" customFormat="1" ht="12" hidden="1" customHeight="1">
      <c r="A11341" s="426"/>
    </row>
    <row r="11342" spans="1:1" s="427" customFormat="1" ht="12" hidden="1" customHeight="1">
      <c r="A11342" s="426"/>
    </row>
    <row r="11343" spans="1:1" s="427" customFormat="1" ht="12" hidden="1" customHeight="1">
      <c r="A11343" s="426"/>
    </row>
    <row r="11344" spans="1:1" s="427" customFormat="1" ht="12" hidden="1" customHeight="1">
      <c r="A11344" s="426"/>
    </row>
    <row r="11345" spans="1:1" s="427" customFormat="1" ht="12" hidden="1" customHeight="1">
      <c r="A11345" s="426"/>
    </row>
    <row r="11346" spans="1:1" s="427" customFormat="1" ht="12" hidden="1" customHeight="1">
      <c r="A11346" s="426"/>
    </row>
    <row r="11347" spans="1:1" s="427" customFormat="1" ht="12" hidden="1" customHeight="1">
      <c r="A11347" s="426"/>
    </row>
    <row r="11348" spans="1:1" s="427" customFormat="1" ht="12" hidden="1" customHeight="1">
      <c r="A11348" s="426"/>
    </row>
    <row r="11349" spans="1:1" s="427" customFormat="1" ht="12" hidden="1" customHeight="1">
      <c r="A11349" s="426"/>
    </row>
    <row r="11350" spans="1:1" s="427" customFormat="1" ht="12" hidden="1" customHeight="1">
      <c r="A11350" s="426"/>
    </row>
    <row r="11351" spans="1:1" s="427" customFormat="1" ht="12" hidden="1" customHeight="1">
      <c r="A11351" s="426"/>
    </row>
    <row r="11352" spans="1:1" s="427" customFormat="1" ht="12" hidden="1" customHeight="1">
      <c r="A11352" s="426"/>
    </row>
    <row r="11353" spans="1:1" s="427" customFormat="1" ht="12" hidden="1" customHeight="1">
      <c r="A11353" s="426"/>
    </row>
    <row r="11354" spans="1:1" s="427" customFormat="1" ht="12" hidden="1" customHeight="1">
      <c r="A11354" s="426"/>
    </row>
    <row r="11355" spans="1:1" s="427" customFormat="1" ht="12" hidden="1" customHeight="1">
      <c r="A11355" s="426"/>
    </row>
    <row r="11356" spans="1:1" s="427" customFormat="1" ht="12" hidden="1" customHeight="1">
      <c r="A11356" s="426"/>
    </row>
    <row r="11357" spans="1:1" s="427" customFormat="1" ht="12" hidden="1" customHeight="1">
      <c r="A11357" s="426"/>
    </row>
    <row r="11358" spans="1:1" s="427" customFormat="1" ht="12" hidden="1" customHeight="1">
      <c r="A11358" s="426"/>
    </row>
    <row r="11359" spans="1:1" s="427" customFormat="1" ht="12" hidden="1" customHeight="1">
      <c r="A11359" s="426"/>
    </row>
    <row r="11360" spans="1:1" s="427" customFormat="1" ht="12" hidden="1" customHeight="1">
      <c r="A11360" s="426"/>
    </row>
    <row r="11361" spans="1:1" s="427" customFormat="1" ht="12" hidden="1" customHeight="1">
      <c r="A11361" s="426"/>
    </row>
    <row r="11362" spans="1:1" s="427" customFormat="1" ht="12" hidden="1" customHeight="1">
      <c r="A11362" s="426"/>
    </row>
    <row r="11363" spans="1:1" s="427" customFormat="1" ht="12" hidden="1" customHeight="1">
      <c r="A11363" s="426"/>
    </row>
    <row r="11364" spans="1:1" s="427" customFormat="1" ht="12" hidden="1" customHeight="1">
      <c r="A11364" s="426"/>
    </row>
    <row r="11365" spans="1:1" s="427" customFormat="1" ht="12" hidden="1" customHeight="1">
      <c r="A11365" s="426"/>
    </row>
    <row r="11366" spans="1:1" s="427" customFormat="1" ht="12" hidden="1" customHeight="1">
      <c r="A11366" s="426"/>
    </row>
    <row r="11367" spans="1:1" s="427" customFormat="1" ht="12" hidden="1" customHeight="1">
      <c r="A11367" s="426"/>
    </row>
    <row r="11368" spans="1:1" s="427" customFormat="1" ht="12" hidden="1" customHeight="1">
      <c r="A11368" s="426"/>
    </row>
    <row r="11369" spans="1:1" s="427" customFormat="1" ht="12" hidden="1" customHeight="1">
      <c r="A11369" s="426"/>
    </row>
    <row r="11370" spans="1:1" s="427" customFormat="1" ht="12" hidden="1" customHeight="1">
      <c r="A11370" s="426"/>
    </row>
    <row r="11371" spans="1:1" s="427" customFormat="1" ht="12" hidden="1" customHeight="1">
      <c r="A11371" s="426"/>
    </row>
    <row r="11372" spans="1:1" s="427" customFormat="1" ht="12" hidden="1" customHeight="1">
      <c r="A11372" s="426"/>
    </row>
    <row r="11373" spans="1:1" s="427" customFormat="1" ht="12" hidden="1" customHeight="1">
      <c r="A11373" s="426"/>
    </row>
    <row r="11374" spans="1:1" s="427" customFormat="1" ht="12" hidden="1" customHeight="1">
      <c r="A11374" s="426"/>
    </row>
    <row r="11375" spans="1:1" s="427" customFormat="1" ht="12" hidden="1" customHeight="1">
      <c r="A11375" s="426"/>
    </row>
    <row r="11376" spans="1:1" s="427" customFormat="1" ht="12" hidden="1" customHeight="1">
      <c r="A11376" s="426"/>
    </row>
    <row r="11377" spans="1:1" s="427" customFormat="1" ht="12" hidden="1" customHeight="1">
      <c r="A11377" s="426"/>
    </row>
    <row r="11378" spans="1:1" s="427" customFormat="1" ht="12" hidden="1" customHeight="1">
      <c r="A11378" s="426"/>
    </row>
    <row r="11379" spans="1:1" s="427" customFormat="1" ht="12" hidden="1" customHeight="1">
      <c r="A11379" s="426"/>
    </row>
    <row r="11380" spans="1:1" s="427" customFormat="1" ht="12" hidden="1" customHeight="1">
      <c r="A11380" s="426"/>
    </row>
    <row r="11381" spans="1:1" s="427" customFormat="1" ht="12" hidden="1" customHeight="1">
      <c r="A11381" s="426"/>
    </row>
    <row r="11382" spans="1:1" s="427" customFormat="1" ht="12" hidden="1" customHeight="1">
      <c r="A11382" s="426"/>
    </row>
    <row r="11383" spans="1:1" s="427" customFormat="1" ht="12" hidden="1" customHeight="1">
      <c r="A11383" s="426"/>
    </row>
    <row r="11384" spans="1:1" s="427" customFormat="1" ht="12" hidden="1" customHeight="1">
      <c r="A11384" s="426"/>
    </row>
    <row r="11385" spans="1:1" s="427" customFormat="1" ht="12" hidden="1" customHeight="1">
      <c r="A11385" s="426"/>
    </row>
    <row r="11386" spans="1:1" s="427" customFormat="1" ht="12" hidden="1" customHeight="1">
      <c r="A11386" s="426"/>
    </row>
    <row r="11387" spans="1:1" s="427" customFormat="1" ht="12" hidden="1" customHeight="1">
      <c r="A11387" s="426"/>
    </row>
    <row r="11388" spans="1:1" s="427" customFormat="1" ht="12" hidden="1" customHeight="1">
      <c r="A11388" s="426"/>
    </row>
    <row r="11389" spans="1:1" s="427" customFormat="1" ht="12" hidden="1" customHeight="1">
      <c r="A11389" s="426"/>
    </row>
    <row r="11390" spans="1:1" s="427" customFormat="1" ht="12" hidden="1" customHeight="1">
      <c r="A11390" s="426"/>
    </row>
    <row r="11391" spans="1:1" s="427" customFormat="1" ht="12" hidden="1" customHeight="1">
      <c r="A11391" s="426"/>
    </row>
    <row r="11392" spans="1:1" s="427" customFormat="1" ht="12" hidden="1" customHeight="1">
      <c r="A11392" s="426"/>
    </row>
    <row r="11393" spans="1:1" s="427" customFormat="1" ht="12" hidden="1" customHeight="1">
      <c r="A11393" s="426"/>
    </row>
    <row r="11394" spans="1:1" s="427" customFormat="1" ht="12" hidden="1" customHeight="1">
      <c r="A11394" s="426"/>
    </row>
    <row r="11395" spans="1:1" s="427" customFormat="1" ht="12" hidden="1" customHeight="1">
      <c r="A11395" s="426"/>
    </row>
    <row r="11396" spans="1:1" s="427" customFormat="1" ht="12" hidden="1" customHeight="1">
      <c r="A11396" s="426"/>
    </row>
    <row r="11397" spans="1:1" s="427" customFormat="1" ht="12" hidden="1" customHeight="1">
      <c r="A11397" s="426"/>
    </row>
    <row r="11398" spans="1:1" s="427" customFormat="1" ht="12" hidden="1" customHeight="1">
      <c r="A11398" s="426"/>
    </row>
    <row r="11399" spans="1:1" s="427" customFormat="1" ht="12" hidden="1" customHeight="1">
      <c r="A11399" s="426"/>
    </row>
    <row r="11400" spans="1:1" s="427" customFormat="1" ht="12" hidden="1" customHeight="1">
      <c r="A11400" s="426"/>
    </row>
    <row r="11401" spans="1:1" s="427" customFormat="1" ht="12" hidden="1" customHeight="1">
      <c r="A11401" s="426"/>
    </row>
    <row r="11402" spans="1:1" s="427" customFormat="1" ht="12" hidden="1" customHeight="1">
      <c r="A11402" s="426"/>
    </row>
    <row r="11403" spans="1:1" s="427" customFormat="1" ht="12" hidden="1" customHeight="1">
      <c r="A11403" s="426"/>
    </row>
    <row r="11404" spans="1:1" s="427" customFormat="1" ht="12" hidden="1" customHeight="1">
      <c r="A11404" s="426"/>
    </row>
    <row r="11405" spans="1:1" s="427" customFormat="1" ht="12" hidden="1" customHeight="1">
      <c r="A11405" s="426"/>
    </row>
    <row r="11406" spans="1:1" s="427" customFormat="1" ht="12" hidden="1" customHeight="1">
      <c r="A11406" s="426"/>
    </row>
    <row r="11407" spans="1:1" s="427" customFormat="1" ht="12" hidden="1" customHeight="1">
      <c r="A11407" s="426"/>
    </row>
    <row r="11408" spans="1:1" s="427" customFormat="1" ht="12" hidden="1" customHeight="1">
      <c r="A11408" s="426"/>
    </row>
    <row r="11409" spans="1:1" s="427" customFormat="1" ht="12" hidden="1" customHeight="1">
      <c r="A11409" s="426"/>
    </row>
    <row r="11410" spans="1:1" s="427" customFormat="1" ht="12" hidden="1" customHeight="1">
      <c r="A11410" s="426"/>
    </row>
    <row r="11411" spans="1:1" s="427" customFormat="1" ht="12" hidden="1" customHeight="1">
      <c r="A11411" s="426"/>
    </row>
    <row r="11412" spans="1:1" s="427" customFormat="1" ht="12" hidden="1" customHeight="1">
      <c r="A11412" s="426"/>
    </row>
    <row r="11413" spans="1:1" s="427" customFormat="1" ht="12" hidden="1" customHeight="1">
      <c r="A11413" s="426"/>
    </row>
    <row r="11414" spans="1:1" s="427" customFormat="1" ht="12" hidden="1" customHeight="1">
      <c r="A11414" s="426"/>
    </row>
    <row r="11415" spans="1:1" s="427" customFormat="1" ht="12" hidden="1" customHeight="1">
      <c r="A11415" s="426"/>
    </row>
    <row r="11416" spans="1:1" s="427" customFormat="1" ht="12" hidden="1" customHeight="1">
      <c r="A11416" s="426"/>
    </row>
    <row r="11417" spans="1:1" s="427" customFormat="1" ht="12" hidden="1" customHeight="1">
      <c r="A11417" s="426"/>
    </row>
    <row r="11418" spans="1:1" s="427" customFormat="1" ht="12" hidden="1" customHeight="1">
      <c r="A11418" s="426"/>
    </row>
    <row r="11419" spans="1:1" s="427" customFormat="1" ht="12" hidden="1" customHeight="1">
      <c r="A11419" s="426"/>
    </row>
    <row r="11420" spans="1:1" s="427" customFormat="1" ht="12" hidden="1" customHeight="1">
      <c r="A11420" s="426"/>
    </row>
    <row r="11421" spans="1:1" s="427" customFormat="1" ht="12" hidden="1" customHeight="1">
      <c r="A11421" s="426"/>
    </row>
    <row r="11422" spans="1:1" s="427" customFormat="1" ht="12" hidden="1" customHeight="1">
      <c r="A11422" s="426"/>
    </row>
    <row r="11423" spans="1:1" s="427" customFormat="1" ht="12" hidden="1" customHeight="1">
      <c r="A11423" s="426"/>
    </row>
    <row r="11424" spans="1:1" s="427" customFormat="1" ht="12" hidden="1" customHeight="1">
      <c r="A11424" s="426"/>
    </row>
    <row r="11425" spans="1:1" s="427" customFormat="1" ht="12" hidden="1" customHeight="1">
      <c r="A11425" s="426"/>
    </row>
    <row r="11426" spans="1:1" s="427" customFormat="1" ht="12" hidden="1" customHeight="1">
      <c r="A11426" s="426"/>
    </row>
    <row r="11427" spans="1:1" s="427" customFormat="1" ht="12" hidden="1" customHeight="1">
      <c r="A11427" s="426"/>
    </row>
    <row r="11428" spans="1:1" s="427" customFormat="1" ht="12" hidden="1" customHeight="1">
      <c r="A11428" s="426"/>
    </row>
    <row r="11429" spans="1:1" s="427" customFormat="1" ht="12" hidden="1" customHeight="1">
      <c r="A11429" s="426"/>
    </row>
    <row r="11430" spans="1:1" s="427" customFormat="1" ht="12" hidden="1" customHeight="1">
      <c r="A11430" s="426"/>
    </row>
    <row r="11431" spans="1:1" s="427" customFormat="1" ht="12" hidden="1" customHeight="1">
      <c r="A11431" s="426"/>
    </row>
    <row r="11432" spans="1:1" s="427" customFormat="1" ht="12" hidden="1" customHeight="1">
      <c r="A11432" s="426"/>
    </row>
    <row r="11433" spans="1:1" s="427" customFormat="1" ht="12" hidden="1" customHeight="1">
      <c r="A11433" s="426"/>
    </row>
    <row r="11434" spans="1:1" s="427" customFormat="1" ht="12" hidden="1" customHeight="1">
      <c r="A11434" s="426"/>
    </row>
    <row r="11435" spans="1:1" s="427" customFormat="1" ht="12" hidden="1" customHeight="1">
      <c r="A11435" s="426"/>
    </row>
    <row r="11436" spans="1:1" s="427" customFormat="1" ht="12" hidden="1" customHeight="1">
      <c r="A11436" s="426"/>
    </row>
    <row r="11437" spans="1:1" s="427" customFormat="1" ht="12" hidden="1" customHeight="1">
      <c r="A11437" s="426"/>
    </row>
    <row r="11438" spans="1:1" s="427" customFormat="1" ht="12" hidden="1" customHeight="1">
      <c r="A11438" s="426"/>
    </row>
    <row r="11439" spans="1:1" s="427" customFormat="1" ht="12" hidden="1" customHeight="1">
      <c r="A11439" s="426"/>
    </row>
    <row r="11440" spans="1:1" s="427" customFormat="1" ht="12" hidden="1" customHeight="1">
      <c r="A11440" s="426"/>
    </row>
    <row r="11441" spans="1:1" s="427" customFormat="1" ht="12" hidden="1" customHeight="1">
      <c r="A11441" s="426"/>
    </row>
    <row r="11442" spans="1:1" s="427" customFormat="1" ht="12" hidden="1" customHeight="1">
      <c r="A11442" s="426"/>
    </row>
    <row r="11443" spans="1:1" s="427" customFormat="1" ht="12" hidden="1" customHeight="1">
      <c r="A11443" s="426"/>
    </row>
    <row r="11444" spans="1:1" s="427" customFormat="1" ht="12" hidden="1" customHeight="1">
      <c r="A11444" s="426"/>
    </row>
    <row r="11445" spans="1:1" s="427" customFormat="1" ht="12" hidden="1" customHeight="1">
      <c r="A11445" s="426"/>
    </row>
    <row r="11446" spans="1:1" s="427" customFormat="1" ht="12" hidden="1" customHeight="1">
      <c r="A11446" s="426"/>
    </row>
    <row r="11447" spans="1:1" s="427" customFormat="1" ht="12" hidden="1" customHeight="1">
      <c r="A11447" s="426"/>
    </row>
    <row r="11448" spans="1:1" s="427" customFormat="1" ht="12" hidden="1" customHeight="1">
      <c r="A11448" s="426"/>
    </row>
    <row r="11449" spans="1:1" s="427" customFormat="1" ht="12" hidden="1" customHeight="1">
      <c r="A11449" s="426"/>
    </row>
    <row r="11450" spans="1:1" s="427" customFormat="1" ht="12" hidden="1" customHeight="1">
      <c r="A11450" s="426"/>
    </row>
    <row r="11451" spans="1:1" s="427" customFormat="1" ht="12" hidden="1" customHeight="1">
      <c r="A11451" s="426"/>
    </row>
    <row r="11452" spans="1:1" s="427" customFormat="1" ht="12" hidden="1" customHeight="1">
      <c r="A11452" s="426"/>
    </row>
    <row r="11453" spans="1:1" s="427" customFormat="1" ht="12" hidden="1" customHeight="1">
      <c r="A11453" s="426"/>
    </row>
    <row r="11454" spans="1:1" s="427" customFormat="1" ht="12" hidden="1" customHeight="1">
      <c r="A11454" s="426"/>
    </row>
    <row r="11455" spans="1:1" s="427" customFormat="1" ht="12" hidden="1" customHeight="1">
      <c r="A11455" s="426"/>
    </row>
    <row r="11456" spans="1:1" s="427" customFormat="1" ht="12" hidden="1" customHeight="1">
      <c r="A11456" s="426"/>
    </row>
    <row r="11457" spans="1:1" s="427" customFormat="1" ht="12" hidden="1" customHeight="1">
      <c r="A11457" s="426"/>
    </row>
    <row r="11458" spans="1:1" s="427" customFormat="1" ht="12" hidden="1" customHeight="1">
      <c r="A11458" s="426"/>
    </row>
    <row r="11459" spans="1:1" s="427" customFormat="1" ht="12" hidden="1" customHeight="1">
      <c r="A11459" s="426"/>
    </row>
    <row r="11460" spans="1:1" s="427" customFormat="1" ht="12" hidden="1" customHeight="1">
      <c r="A11460" s="426"/>
    </row>
    <row r="11461" spans="1:1" s="427" customFormat="1" ht="12" hidden="1" customHeight="1">
      <c r="A11461" s="426"/>
    </row>
    <row r="11462" spans="1:1" s="427" customFormat="1" ht="12" hidden="1" customHeight="1">
      <c r="A11462" s="426"/>
    </row>
    <row r="11463" spans="1:1" s="427" customFormat="1" ht="12" hidden="1" customHeight="1">
      <c r="A11463" s="426"/>
    </row>
    <row r="11464" spans="1:1" s="427" customFormat="1" ht="12" hidden="1" customHeight="1">
      <c r="A11464" s="426"/>
    </row>
    <row r="11465" spans="1:1" s="427" customFormat="1" ht="12" hidden="1" customHeight="1">
      <c r="A11465" s="426"/>
    </row>
    <row r="11466" spans="1:1" s="427" customFormat="1" ht="12" hidden="1" customHeight="1">
      <c r="A11466" s="426"/>
    </row>
    <row r="11467" spans="1:1" s="427" customFormat="1" ht="12" hidden="1" customHeight="1">
      <c r="A11467" s="426"/>
    </row>
    <row r="11468" spans="1:1" s="427" customFormat="1" ht="12" hidden="1" customHeight="1">
      <c r="A11468" s="426"/>
    </row>
    <row r="11469" spans="1:1" s="427" customFormat="1" ht="12" hidden="1" customHeight="1">
      <c r="A11469" s="426"/>
    </row>
    <row r="11470" spans="1:1" s="427" customFormat="1" ht="12" hidden="1" customHeight="1">
      <c r="A11470" s="426"/>
    </row>
    <row r="11471" spans="1:1" s="427" customFormat="1" ht="12" hidden="1" customHeight="1">
      <c r="A11471" s="426"/>
    </row>
    <row r="11472" spans="1:1" s="427" customFormat="1" ht="12" hidden="1" customHeight="1">
      <c r="A11472" s="426"/>
    </row>
    <row r="11473" spans="1:1" s="427" customFormat="1" ht="12" hidden="1" customHeight="1">
      <c r="A11473" s="426"/>
    </row>
    <row r="11474" spans="1:1" s="427" customFormat="1" ht="12" hidden="1" customHeight="1">
      <c r="A11474" s="426"/>
    </row>
    <row r="11475" spans="1:1" s="427" customFormat="1" ht="12" hidden="1" customHeight="1">
      <c r="A11475" s="426"/>
    </row>
    <row r="11476" spans="1:1" s="427" customFormat="1" ht="12" hidden="1" customHeight="1">
      <c r="A11476" s="426"/>
    </row>
    <row r="11477" spans="1:1" s="427" customFormat="1" ht="12" hidden="1" customHeight="1">
      <c r="A11477" s="426"/>
    </row>
    <row r="11478" spans="1:1" s="427" customFormat="1" ht="12" hidden="1" customHeight="1">
      <c r="A11478" s="426"/>
    </row>
    <row r="11479" spans="1:1" s="427" customFormat="1" ht="12" hidden="1" customHeight="1">
      <c r="A11479" s="426"/>
    </row>
    <row r="11480" spans="1:1" s="427" customFormat="1" ht="12" hidden="1" customHeight="1">
      <c r="A11480" s="426"/>
    </row>
    <row r="11481" spans="1:1" s="427" customFormat="1" ht="12" hidden="1" customHeight="1">
      <c r="A11481" s="426"/>
    </row>
    <row r="11482" spans="1:1" s="427" customFormat="1" ht="12" hidden="1" customHeight="1">
      <c r="A11482" s="426"/>
    </row>
    <row r="11483" spans="1:1" s="427" customFormat="1" ht="12" hidden="1" customHeight="1">
      <c r="A11483" s="426"/>
    </row>
    <row r="11484" spans="1:1" s="427" customFormat="1" ht="12" hidden="1" customHeight="1">
      <c r="A11484" s="426"/>
    </row>
    <row r="11485" spans="1:1" s="427" customFormat="1" ht="12" hidden="1" customHeight="1">
      <c r="A11485" s="426"/>
    </row>
    <row r="11486" spans="1:1" s="427" customFormat="1" ht="12" hidden="1" customHeight="1">
      <c r="A11486" s="426"/>
    </row>
    <row r="11487" spans="1:1" s="427" customFormat="1" ht="12" hidden="1" customHeight="1">
      <c r="A11487" s="426"/>
    </row>
    <row r="11488" spans="1:1" s="427" customFormat="1" ht="12" hidden="1" customHeight="1">
      <c r="A11488" s="426"/>
    </row>
    <row r="11489" spans="1:1" s="427" customFormat="1" ht="12" hidden="1" customHeight="1">
      <c r="A11489" s="426"/>
    </row>
    <row r="11490" spans="1:1" s="427" customFormat="1" ht="12" hidden="1" customHeight="1">
      <c r="A11490" s="426"/>
    </row>
    <row r="11491" spans="1:1" s="427" customFormat="1" ht="12" hidden="1" customHeight="1">
      <c r="A11491" s="426"/>
    </row>
    <row r="11492" spans="1:1" s="427" customFormat="1" ht="12" hidden="1" customHeight="1">
      <c r="A11492" s="426"/>
    </row>
    <row r="11493" spans="1:1" s="427" customFormat="1" ht="12" hidden="1" customHeight="1">
      <c r="A11493" s="426"/>
    </row>
    <row r="11494" spans="1:1" s="427" customFormat="1" ht="12" hidden="1" customHeight="1">
      <c r="A11494" s="426"/>
    </row>
    <row r="11495" spans="1:1" s="427" customFormat="1" ht="12" hidden="1" customHeight="1">
      <c r="A11495" s="426"/>
    </row>
    <row r="11496" spans="1:1" s="427" customFormat="1" ht="12" hidden="1" customHeight="1">
      <c r="A11496" s="426"/>
    </row>
    <row r="11497" spans="1:1" s="427" customFormat="1" ht="12" hidden="1" customHeight="1">
      <c r="A11497" s="426"/>
    </row>
    <row r="11498" spans="1:1" s="427" customFormat="1" ht="12" hidden="1" customHeight="1">
      <c r="A11498" s="426"/>
    </row>
    <row r="11499" spans="1:1" s="427" customFormat="1" ht="12" hidden="1" customHeight="1">
      <c r="A11499" s="426"/>
    </row>
    <row r="11500" spans="1:1" s="427" customFormat="1" ht="12" hidden="1" customHeight="1">
      <c r="A11500" s="426"/>
    </row>
    <row r="11501" spans="1:1" s="427" customFormat="1" ht="12" hidden="1" customHeight="1">
      <c r="A11501" s="426"/>
    </row>
    <row r="11502" spans="1:1" s="427" customFormat="1" ht="12" hidden="1" customHeight="1">
      <c r="A11502" s="426"/>
    </row>
    <row r="11503" spans="1:1" s="427" customFormat="1" ht="12" hidden="1" customHeight="1">
      <c r="A11503" s="426"/>
    </row>
    <row r="11504" spans="1:1" s="427" customFormat="1" ht="12" hidden="1" customHeight="1">
      <c r="A11504" s="426"/>
    </row>
    <row r="11505" spans="1:1" s="427" customFormat="1" ht="12" hidden="1" customHeight="1">
      <c r="A11505" s="426"/>
    </row>
    <row r="11506" spans="1:1" s="427" customFormat="1" ht="12" hidden="1" customHeight="1">
      <c r="A11506" s="426"/>
    </row>
    <row r="11507" spans="1:1" s="427" customFormat="1" ht="12" hidden="1" customHeight="1">
      <c r="A11507" s="426"/>
    </row>
    <row r="11508" spans="1:1" s="427" customFormat="1" ht="12" hidden="1" customHeight="1">
      <c r="A11508" s="426"/>
    </row>
    <row r="11509" spans="1:1" s="427" customFormat="1" ht="12" hidden="1" customHeight="1">
      <c r="A11509" s="426"/>
    </row>
    <row r="11510" spans="1:1" s="427" customFormat="1" ht="12" hidden="1" customHeight="1">
      <c r="A11510" s="426"/>
    </row>
    <row r="11511" spans="1:1" s="427" customFormat="1" ht="12" hidden="1" customHeight="1">
      <c r="A11511" s="426"/>
    </row>
    <row r="11512" spans="1:1" s="427" customFormat="1" ht="12" hidden="1" customHeight="1">
      <c r="A11512" s="426"/>
    </row>
    <row r="11513" spans="1:1" s="427" customFormat="1" ht="12" hidden="1" customHeight="1">
      <c r="A11513" s="426"/>
    </row>
    <row r="11514" spans="1:1" s="427" customFormat="1" ht="12" hidden="1" customHeight="1">
      <c r="A11514" s="426"/>
    </row>
    <row r="11515" spans="1:1" s="427" customFormat="1" ht="12" hidden="1" customHeight="1">
      <c r="A11515" s="426"/>
    </row>
    <row r="11516" spans="1:1" s="427" customFormat="1" ht="12" hidden="1" customHeight="1">
      <c r="A11516" s="426"/>
    </row>
    <row r="11517" spans="1:1" s="427" customFormat="1" ht="12" hidden="1" customHeight="1">
      <c r="A11517" s="426"/>
    </row>
    <row r="11518" spans="1:1" s="427" customFormat="1" ht="12" hidden="1" customHeight="1">
      <c r="A11518" s="426"/>
    </row>
    <row r="11519" spans="1:1" s="427" customFormat="1" ht="12" hidden="1" customHeight="1">
      <c r="A11519" s="426"/>
    </row>
    <row r="11520" spans="1:1" s="427" customFormat="1" ht="12" hidden="1" customHeight="1">
      <c r="A11520" s="426"/>
    </row>
    <row r="11521" spans="1:1" s="427" customFormat="1" ht="12" hidden="1" customHeight="1">
      <c r="A11521" s="426"/>
    </row>
    <row r="11522" spans="1:1" s="427" customFormat="1" ht="12" hidden="1" customHeight="1">
      <c r="A11522" s="426"/>
    </row>
    <row r="11523" spans="1:1" s="427" customFormat="1" ht="12" hidden="1" customHeight="1">
      <c r="A11523" s="426"/>
    </row>
    <row r="11524" spans="1:1" s="427" customFormat="1" ht="12" hidden="1" customHeight="1">
      <c r="A11524" s="426"/>
    </row>
    <row r="11525" spans="1:1" s="427" customFormat="1" ht="12" hidden="1" customHeight="1">
      <c r="A11525" s="426"/>
    </row>
    <row r="11526" spans="1:1" s="427" customFormat="1" ht="12" hidden="1" customHeight="1">
      <c r="A11526" s="426"/>
    </row>
    <row r="11527" spans="1:1" s="427" customFormat="1" ht="12" hidden="1" customHeight="1">
      <c r="A11527" s="426"/>
    </row>
    <row r="11528" spans="1:1" s="427" customFormat="1" ht="12" hidden="1" customHeight="1">
      <c r="A11528" s="426"/>
    </row>
    <row r="11529" spans="1:1" s="427" customFormat="1" ht="12" hidden="1" customHeight="1">
      <c r="A11529" s="426"/>
    </row>
    <row r="11530" spans="1:1" s="427" customFormat="1" ht="12" hidden="1" customHeight="1">
      <c r="A11530" s="426"/>
    </row>
    <row r="11531" spans="1:1" s="427" customFormat="1" ht="12" hidden="1" customHeight="1">
      <c r="A11531" s="426"/>
    </row>
    <row r="11532" spans="1:1" s="427" customFormat="1" ht="12" hidden="1" customHeight="1">
      <c r="A11532" s="426"/>
    </row>
    <row r="11533" spans="1:1" s="427" customFormat="1" ht="12" hidden="1" customHeight="1">
      <c r="A11533" s="426"/>
    </row>
    <row r="11534" spans="1:1" s="427" customFormat="1" ht="12" hidden="1" customHeight="1">
      <c r="A11534" s="426"/>
    </row>
    <row r="11535" spans="1:1" s="427" customFormat="1" ht="12" hidden="1" customHeight="1">
      <c r="A11535" s="426"/>
    </row>
    <row r="11536" spans="1:1" s="427" customFormat="1" ht="12" hidden="1" customHeight="1">
      <c r="A11536" s="426"/>
    </row>
    <row r="11537" spans="1:1" s="427" customFormat="1" ht="12" hidden="1" customHeight="1">
      <c r="A11537" s="426"/>
    </row>
    <row r="11538" spans="1:1" s="427" customFormat="1" ht="12" hidden="1" customHeight="1">
      <c r="A11538" s="426"/>
    </row>
    <row r="11539" spans="1:1" s="427" customFormat="1" ht="12" hidden="1" customHeight="1">
      <c r="A11539" s="426"/>
    </row>
    <row r="11540" spans="1:1" s="427" customFormat="1" ht="12" hidden="1" customHeight="1">
      <c r="A11540" s="426"/>
    </row>
    <row r="11541" spans="1:1" s="427" customFormat="1" ht="12" hidden="1" customHeight="1">
      <c r="A11541" s="426"/>
    </row>
    <row r="11542" spans="1:1" s="427" customFormat="1" ht="12" hidden="1" customHeight="1">
      <c r="A11542" s="426"/>
    </row>
    <row r="11543" spans="1:1" s="427" customFormat="1" ht="12" hidden="1" customHeight="1">
      <c r="A11543" s="426"/>
    </row>
    <row r="11544" spans="1:1" s="427" customFormat="1" ht="12" hidden="1" customHeight="1">
      <c r="A11544" s="426"/>
    </row>
    <row r="11545" spans="1:1" s="427" customFormat="1" ht="12" hidden="1" customHeight="1">
      <c r="A11545" s="426"/>
    </row>
    <row r="11546" spans="1:1" s="427" customFormat="1" ht="12" hidden="1" customHeight="1">
      <c r="A11546" s="426"/>
    </row>
    <row r="11547" spans="1:1" s="427" customFormat="1" ht="12" hidden="1" customHeight="1">
      <c r="A11547" s="426"/>
    </row>
    <row r="11548" spans="1:1" s="427" customFormat="1" ht="12" hidden="1" customHeight="1">
      <c r="A11548" s="426"/>
    </row>
    <row r="11549" spans="1:1" s="427" customFormat="1" ht="12" hidden="1" customHeight="1">
      <c r="A11549" s="426"/>
    </row>
    <row r="11550" spans="1:1" s="427" customFormat="1" ht="12" hidden="1" customHeight="1">
      <c r="A11550" s="426"/>
    </row>
    <row r="11551" spans="1:1" s="427" customFormat="1" ht="12" hidden="1" customHeight="1">
      <c r="A11551" s="426"/>
    </row>
    <row r="11552" spans="1:1" s="427" customFormat="1" ht="12" hidden="1" customHeight="1">
      <c r="A11552" s="426"/>
    </row>
    <row r="11553" spans="1:1" s="427" customFormat="1" ht="12" hidden="1" customHeight="1">
      <c r="A11553" s="426"/>
    </row>
    <row r="11554" spans="1:1" s="427" customFormat="1" ht="12" hidden="1" customHeight="1">
      <c r="A11554" s="426"/>
    </row>
    <row r="11555" spans="1:1" s="427" customFormat="1" ht="12" hidden="1" customHeight="1">
      <c r="A11555" s="426"/>
    </row>
    <row r="11556" spans="1:1" s="427" customFormat="1" ht="12" hidden="1" customHeight="1">
      <c r="A11556" s="426"/>
    </row>
    <row r="11557" spans="1:1" s="427" customFormat="1" ht="12" hidden="1" customHeight="1">
      <c r="A11557" s="426"/>
    </row>
    <row r="11558" spans="1:1" s="427" customFormat="1" ht="12" hidden="1" customHeight="1">
      <c r="A11558" s="426"/>
    </row>
    <row r="11559" spans="1:1" s="427" customFormat="1" ht="12" hidden="1" customHeight="1">
      <c r="A11559" s="426"/>
    </row>
    <row r="11560" spans="1:1" s="427" customFormat="1" ht="12" hidden="1" customHeight="1">
      <c r="A11560" s="426"/>
    </row>
    <row r="11561" spans="1:1" s="427" customFormat="1" ht="12" hidden="1" customHeight="1">
      <c r="A11561" s="426"/>
    </row>
    <row r="11562" spans="1:1" s="427" customFormat="1" ht="12" hidden="1" customHeight="1">
      <c r="A11562" s="426"/>
    </row>
    <row r="11563" spans="1:1" s="427" customFormat="1" ht="12" hidden="1" customHeight="1">
      <c r="A11563" s="426"/>
    </row>
    <row r="11564" spans="1:1" s="427" customFormat="1" ht="12" hidden="1" customHeight="1">
      <c r="A11564" s="426"/>
    </row>
    <row r="11565" spans="1:1" s="427" customFormat="1" ht="12" hidden="1" customHeight="1">
      <c r="A11565" s="426"/>
    </row>
    <row r="11566" spans="1:1" s="427" customFormat="1" ht="12" hidden="1" customHeight="1">
      <c r="A11566" s="426"/>
    </row>
    <row r="11567" spans="1:1" s="427" customFormat="1" ht="12" hidden="1" customHeight="1">
      <c r="A11567" s="426"/>
    </row>
    <row r="11568" spans="1:1" s="427" customFormat="1" ht="12" hidden="1" customHeight="1">
      <c r="A11568" s="426"/>
    </row>
    <row r="11569" spans="1:1" s="427" customFormat="1" ht="12" hidden="1" customHeight="1">
      <c r="A11569" s="426"/>
    </row>
    <row r="11570" spans="1:1" s="427" customFormat="1" ht="12" hidden="1" customHeight="1">
      <c r="A11570" s="426"/>
    </row>
    <row r="11571" spans="1:1" s="427" customFormat="1" ht="12" hidden="1" customHeight="1">
      <c r="A11571" s="426"/>
    </row>
    <row r="11572" spans="1:1" s="427" customFormat="1" ht="12" hidden="1" customHeight="1">
      <c r="A11572" s="426"/>
    </row>
    <row r="11573" spans="1:1" s="427" customFormat="1" ht="12" hidden="1" customHeight="1">
      <c r="A11573" s="426"/>
    </row>
    <row r="11574" spans="1:1" s="427" customFormat="1" ht="12" hidden="1" customHeight="1">
      <c r="A11574" s="426"/>
    </row>
    <row r="11575" spans="1:1" s="427" customFormat="1" ht="12" hidden="1" customHeight="1">
      <c r="A11575" s="426"/>
    </row>
    <row r="11576" spans="1:1" s="427" customFormat="1" ht="12" hidden="1" customHeight="1">
      <c r="A11576" s="426"/>
    </row>
    <row r="11577" spans="1:1" s="427" customFormat="1" ht="12" hidden="1" customHeight="1">
      <c r="A11577" s="426"/>
    </row>
    <row r="11578" spans="1:1" s="427" customFormat="1" ht="12" hidden="1" customHeight="1">
      <c r="A11578" s="426"/>
    </row>
    <row r="11579" spans="1:1" s="427" customFormat="1" ht="12" hidden="1" customHeight="1">
      <c r="A11579" s="426"/>
    </row>
    <row r="11580" spans="1:1" s="427" customFormat="1" ht="12" hidden="1" customHeight="1">
      <c r="A11580" s="426"/>
    </row>
    <row r="11581" spans="1:1" s="427" customFormat="1" ht="12" hidden="1" customHeight="1">
      <c r="A11581" s="426"/>
    </row>
    <row r="11582" spans="1:1" s="427" customFormat="1" ht="12" hidden="1" customHeight="1">
      <c r="A11582" s="426"/>
    </row>
    <row r="11583" spans="1:1" s="427" customFormat="1" ht="12" hidden="1" customHeight="1">
      <c r="A11583" s="426"/>
    </row>
    <row r="11584" spans="1:1" s="427" customFormat="1" ht="12" hidden="1" customHeight="1">
      <c r="A11584" s="426"/>
    </row>
    <row r="11585" spans="1:1" s="427" customFormat="1" ht="12" hidden="1" customHeight="1">
      <c r="A11585" s="426"/>
    </row>
    <row r="11586" spans="1:1" s="427" customFormat="1" ht="12" hidden="1" customHeight="1">
      <c r="A11586" s="426"/>
    </row>
    <row r="11587" spans="1:1" s="427" customFormat="1" ht="12" hidden="1" customHeight="1">
      <c r="A11587" s="426"/>
    </row>
    <row r="11588" spans="1:1" s="427" customFormat="1" ht="12" hidden="1" customHeight="1">
      <c r="A11588" s="426"/>
    </row>
    <row r="11589" spans="1:1" s="427" customFormat="1" ht="12" hidden="1" customHeight="1">
      <c r="A11589" s="426"/>
    </row>
    <row r="11590" spans="1:1" s="427" customFormat="1" ht="12" hidden="1" customHeight="1">
      <c r="A11590" s="426"/>
    </row>
    <row r="11591" spans="1:1" s="427" customFormat="1" ht="12" hidden="1" customHeight="1">
      <c r="A11591" s="426"/>
    </row>
    <row r="11592" spans="1:1" s="427" customFormat="1" ht="12" hidden="1" customHeight="1">
      <c r="A11592" s="426"/>
    </row>
    <row r="11593" spans="1:1" s="427" customFormat="1" ht="12" hidden="1" customHeight="1">
      <c r="A11593" s="426"/>
    </row>
    <row r="11594" spans="1:1" s="427" customFormat="1" ht="12" hidden="1" customHeight="1">
      <c r="A11594" s="426"/>
    </row>
    <row r="11595" spans="1:1" s="427" customFormat="1" ht="12" hidden="1" customHeight="1">
      <c r="A11595" s="426"/>
    </row>
    <row r="11596" spans="1:1" s="427" customFormat="1" ht="12" hidden="1" customHeight="1">
      <c r="A11596" s="426"/>
    </row>
    <row r="11597" spans="1:1" s="427" customFormat="1" ht="12" hidden="1" customHeight="1">
      <c r="A11597" s="426"/>
    </row>
    <row r="11598" spans="1:1" s="427" customFormat="1" ht="12" hidden="1" customHeight="1">
      <c r="A11598" s="426"/>
    </row>
    <row r="11599" spans="1:1" s="427" customFormat="1" ht="12" hidden="1" customHeight="1">
      <c r="A11599" s="426"/>
    </row>
    <row r="11600" spans="1:1" s="427" customFormat="1" ht="12" hidden="1" customHeight="1">
      <c r="A11600" s="426"/>
    </row>
    <row r="11601" spans="1:1" s="427" customFormat="1" ht="12" hidden="1" customHeight="1">
      <c r="A11601" s="426"/>
    </row>
    <row r="11602" spans="1:1" s="427" customFormat="1" ht="12" hidden="1" customHeight="1">
      <c r="A11602" s="426"/>
    </row>
    <row r="11603" spans="1:1" s="427" customFormat="1" ht="12" hidden="1" customHeight="1">
      <c r="A11603" s="426"/>
    </row>
    <row r="11604" spans="1:1" s="427" customFormat="1" ht="12" hidden="1" customHeight="1">
      <c r="A11604" s="426"/>
    </row>
    <row r="11605" spans="1:1" s="427" customFormat="1" ht="12" hidden="1" customHeight="1">
      <c r="A11605" s="426"/>
    </row>
    <row r="11606" spans="1:1" s="427" customFormat="1" ht="12" hidden="1" customHeight="1">
      <c r="A11606" s="426"/>
    </row>
    <row r="11607" spans="1:1" s="427" customFormat="1" ht="12" hidden="1" customHeight="1">
      <c r="A11607" s="426"/>
    </row>
    <row r="11608" spans="1:1" s="427" customFormat="1" ht="12" hidden="1" customHeight="1">
      <c r="A11608" s="426"/>
    </row>
    <row r="11609" spans="1:1" s="427" customFormat="1" ht="12" hidden="1" customHeight="1">
      <c r="A11609" s="426"/>
    </row>
    <row r="11610" spans="1:1" s="427" customFormat="1" ht="12" hidden="1" customHeight="1">
      <c r="A11610" s="426"/>
    </row>
    <row r="11611" spans="1:1" s="427" customFormat="1" ht="12" hidden="1" customHeight="1">
      <c r="A11611" s="426"/>
    </row>
    <row r="11612" spans="1:1" s="427" customFormat="1" ht="12" hidden="1" customHeight="1">
      <c r="A11612" s="426"/>
    </row>
    <row r="11613" spans="1:1" s="427" customFormat="1" ht="12" hidden="1" customHeight="1">
      <c r="A11613" s="426"/>
    </row>
    <row r="11614" spans="1:1" s="427" customFormat="1" ht="12" hidden="1" customHeight="1">
      <c r="A11614" s="426"/>
    </row>
    <row r="11615" spans="1:1" s="427" customFormat="1" ht="12" hidden="1" customHeight="1">
      <c r="A11615" s="426"/>
    </row>
    <row r="11616" spans="1:1" s="427" customFormat="1" ht="12" hidden="1" customHeight="1">
      <c r="A11616" s="426"/>
    </row>
    <row r="11617" spans="1:1" s="427" customFormat="1" ht="12" hidden="1" customHeight="1">
      <c r="A11617" s="426"/>
    </row>
    <row r="11618" spans="1:1" s="427" customFormat="1" ht="12" hidden="1" customHeight="1">
      <c r="A11618" s="426"/>
    </row>
    <row r="11619" spans="1:1" s="427" customFormat="1" ht="12" hidden="1" customHeight="1">
      <c r="A11619" s="426"/>
    </row>
    <row r="11620" spans="1:1" s="427" customFormat="1" ht="12" hidden="1" customHeight="1">
      <c r="A11620" s="426"/>
    </row>
    <row r="11621" spans="1:1" s="427" customFormat="1" ht="12" hidden="1" customHeight="1">
      <c r="A11621" s="426"/>
    </row>
    <row r="11622" spans="1:1" s="427" customFormat="1" ht="12" hidden="1" customHeight="1">
      <c r="A11622" s="426"/>
    </row>
    <row r="11623" spans="1:1" s="427" customFormat="1" ht="12" hidden="1" customHeight="1">
      <c r="A11623" s="426"/>
    </row>
    <row r="11624" spans="1:1" s="427" customFormat="1" ht="12" hidden="1" customHeight="1">
      <c r="A11624" s="426"/>
    </row>
    <row r="11625" spans="1:1" s="427" customFormat="1" ht="12" hidden="1" customHeight="1">
      <c r="A11625" s="426"/>
    </row>
    <row r="11626" spans="1:1" s="427" customFormat="1" ht="12" hidden="1" customHeight="1">
      <c r="A11626" s="426"/>
    </row>
    <row r="11627" spans="1:1" s="427" customFormat="1" ht="12" hidden="1" customHeight="1">
      <c r="A11627" s="426"/>
    </row>
    <row r="11628" spans="1:1" s="427" customFormat="1" ht="12" hidden="1" customHeight="1">
      <c r="A11628" s="426"/>
    </row>
    <row r="11629" spans="1:1" s="427" customFormat="1" ht="12" hidden="1" customHeight="1">
      <c r="A11629" s="426"/>
    </row>
    <row r="11630" spans="1:1" s="427" customFormat="1" ht="12" hidden="1" customHeight="1">
      <c r="A11630" s="426"/>
    </row>
    <row r="11631" spans="1:1" s="427" customFormat="1" ht="12" hidden="1" customHeight="1">
      <c r="A11631" s="426"/>
    </row>
    <row r="11632" spans="1:1" s="427" customFormat="1" ht="12" hidden="1" customHeight="1">
      <c r="A11632" s="426"/>
    </row>
    <row r="11633" spans="1:1" s="427" customFormat="1" ht="12" hidden="1" customHeight="1">
      <c r="A11633" s="426"/>
    </row>
    <row r="11634" spans="1:1" s="427" customFormat="1" ht="12" hidden="1" customHeight="1">
      <c r="A11634" s="426"/>
    </row>
    <row r="11635" spans="1:1" s="427" customFormat="1" ht="12" hidden="1" customHeight="1">
      <c r="A11635" s="426"/>
    </row>
    <row r="11636" spans="1:1" s="427" customFormat="1" ht="12" hidden="1" customHeight="1">
      <c r="A11636" s="426"/>
    </row>
    <row r="11637" spans="1:1" s="427" customFormat="1" ht="12" hidden="1" customHeight="1">
      <c r="A11637" s="426"/>
    </row>
    <row r="11638" spans="1:1" s="427" customFormat="1" ht="12" hidden="1" customHeight="1">
      <c r="A11638" s="426"/>
    </row>
    <row r="11639" spans="1:1" s="427" customFormat="1" ht="12" hidden="1" customHeight="1">
      <c r="A11639" s="426"/>
    </row>
    <row r="11640" spans="1:1" s="427" customFormat="1" ht="12" hidden="1" customHeight="1">
      <c r="A11640" s="426"/>
    </row>
    <row r="11641" spans="1:1" s="427" customFormat="1" ht="12" hidden="1" customHeight="1">
      <c r="A11641" s="426"/>
    </row>
    <row r="11642" spans="1:1" s="427" customFormat="1" ht="12" hidden="1" customHeight="1">
      <c r="A11642" s="426"/>
    </row>
    <row r="11643" spans="1:1" s="427" customFormat="1" ht="12" hidden="1" customHeight="1">
      <c r="A11643" s="426"/>
    </row>
    <row r="11644" spans="1:1" s="427" customFormat="1" ht="12" hidden="1" customHeight="1">
      <c r="A11644" s="426"/>
    </row>
    <row r="11645" spans="1:1" s="427" customFormat="1" ht="12" hidden="1" customHeight="1">
      <c r="A11645" s="426"/>
    </row>
    <row r="11646" spans="1:1" s="427" customFormat="1" ht="12" hidden="1" customHeight="1">
      <c r="A11646" s="426"/>
    </row>
    <row r="11647" spans="1:1" s="427" customFormat="1" ht="12" hidden="1" customHeight="1">
      <c r="A11647" s="426"/>
    </row>
    <row r="11648" spans="1:1" s="427" customFormat="1" ht="12" hidden="1" customHeight="1">
      <c r="A11648" s="426"/>
    </row>
    <row r="11649" spans="1:1" s="427" customFormat="1" ht="12" hidden="1" customHeight="1">
      <c r="A11649" s="426"/>
    </row>
    <row r="11650" spans="1:1" s="427" customFormat="1" ht="12" hidden="1" customHeight="1">
      <c r="A11650" s="426"/>
    </row>
    <row r="11651" spans="1:1" s="427" customFormat="1" ht="12" hidden="1" customHeight="1">
      <c r="A11651" s="426"/>
    </row>
    <row r="11652" spans="1:1" s="427" customFormat="1" ht="12" hidden="1" customHeight="1">
      <c r="A11652" s="426"/>
    </row>
    <row r="11653" spans="1:1" s="427" customFormat="1" ht="12" hidden="1" customHeight="1">
      <c r="A11653" s="426"/>
    </row>
    <row r="11654" spans="1:1" s="427" customFormat="1" ht="12" hidden="1" customHeight="1">
      <c r="A11654" s="426"/>
    </row>
    <row r="11655" spans="1:1" s="427" customFormat="1" ht="12" hidden="1" customHeight="1">
      <c r="A11655" s="426"/>
    </row>
    <row r="11656" spans="1:1" s="427" customFormat="1" ht="12" hidden="1" customHeight="1">
      <c r="A11656" s="426"/>
    </row>
    <row r="11657" spans="1:1" s="427" customFormat="1" ht="12" hidden="1" customHeight="1">
      <c r="A11657" s="426"/>
    </row>
    <row r="11658" spans="1:1" s="427" customFormat="1" ht="12" hidden="1" customHeight="1">
      <c r="A11658" s="426"/>
    </row>
    <row r="11659" spans="1:1" s="427" customFormat="1" ht="12" hidden="1" customHeight="1">
      <c r="A11659" s="426"/>
    </row>
    <row r="11660" spans="1:1" s="427" customFormat="1" ht="12" hidden="1" customHeight="1">
      <c r="A11660" s="426"/>
    </row>
    <row r="11661" spans="1:1" s="427" customFormat="1" ht="12" hidden="1" customHeight="1">
      <c r="A11661" s="426"/>
    </row>
    <row r="11662" spans="1:1" s="427" customFormat="1" ht="12" hidden="1" customHeight="1">
      <c r="A11662" s="426"/>
    </row>
    <row r="11663" spans="1:1" s="427" customFormat="1" ht="12" hidden="1" customHeight="1">
      <c r="A11663" s="426"/>
    </row>
    <row r="11664" spans="1:1" s="427" customFormat="1" ht="12" hidden="1" customHeight="1">
      <c r="A11664" s="426"/>
    </row>
    <row r="11665" spans="1:1" s="427" customFormat="1" ht="12" hidden="1" customHeight="1">
      <c r="A11665" s="426"/>
    </row>
    <row r="11666" spans="1:1" s="427" customFormat="1" ht="12" hidden="1" customHeight="1">
      <c r="A11666" s="426"/>
    </row>
    <row r="11667" spans="1:1" s="427" customFormat="1" ht="12" hidden="1" customHeight="1">
      <c r="A11667" s="426"/>
    </row>
    <row r="11668" spans="1:1" s="427" customFormat="1" ht="12" hidden="1" customHeight="1">
      <c r="A11668" s="426"/>
    </row>
    <row r="11669" spans="1:1" s="427" customFormat="1" ht="12" hidden="1" customHeight="1">
      <c r="A11669" s="426"/>
    </row>
    <row r="11670" spans="1:1" s="427" customFormat="1" ht="12" hidden="1" customHeight="1">
      <c r="A11670" s="426"/>
    </row>
    <row r="11671" spans="1:1" s="427" customFormat="1" ht="12" hidden="1" customHeight="1">
      <c r="A11671" s="426"/>
    </row>
    <row r="11672" spans="1:1" s="427" customFormat="1" ht="12" hidden="1" customHeight="1">
      <c r="A11672" s="426"/>
    </row>
    <row r="11673" spans="1:1" s="427" customFormat="1" ht="12" hidden="1" customHeight="1">
      <c r="A11673" s="426"/>
    </row>
    <row r="11674" spans="1:1" s="427" customFormat="1" ht="12" hidden="1" customHeight="1">
      <c r="A11674" s="426"/>
    </row>
    <row r="11675" spans="1:1" s="427" customFormat="1" ht="12" hidden="1" customHeight="1">
      <c r="A11675" s="426"/>
    </row>
    <row r="11676" spans="1:1" s="427" customFormat="1" ht="12" hidden="1" customHeight="1">
      <c r="A11676" s="426"/>
    </row>
    <row r="11677" spans="1:1" s="427" customFormat="1" ht="12" hidden="1" customHeight="1">
      <c r="A11677" s="426"/>
    </row>
    <row r="11678" spans="1:1" s="427" customFormat="1" ht="12" hidden="1" customHeight="1">
      <c r="A11678" s="426"/>
    </row>
    <row r="11679" spans="1:1" s="427" customFormat="1" ht="12" hidden="1" customHeight="1">
      <c r="A11679" s="426"/>
    </row>
    <row r="11680" spans="1:1" s="427" customFormat="1" ht="12" hidden="1" customHeight="1">
      <c r="A11680" s="426"/>
    </row>
    <row r="11681" spans="1:1" s="427" customFormat="1" ht="12" hidden="1" customHeight="1">
      <c r="A11681" s="426"/>
    </row>
    <row r="11682" spans="1:1" s="427" customFormat="1" ht="12" hidden="1" customHeight="1">
      <c r="A11682" s="426"/>
    </row>
    <row r="11683" spans="1:1" s="427" customFormat="1" ht="12" hidden="1" customHeight="1">
      <c r="A11683" s="426"/>
    </row>
    <row r="11684" spans="1:1" s="427" customFormat="1" ht="12" hidden="1" customHeight="1">
      <c r="A11684" s="426"/>
    </row>
    <row r="11685" spans="1:1" s="427" customFormat="1" ht="12" hidden="1" customHeight="1">
      <c r="A11685" s="426"/>
    </row>
    <row r="11686" spans="1:1" s="427" customFormat="1" ht="12" hidden="1" customHeight="1">
      <c r="A11686" s="426"/>
    </row>
    <row r="11687" spans="1:1" s="427" customFormat="1" ht="12" hidden="1" customHeight="1">
      <c r="A11687" s="426"/>
    </row>
    <row r="11688" spans="1:1" s="427" customFormat="1" ht="12" hidden="1" customHeight="1">
      <c r="A11688" s="426"/>
    </row>
    <row r="11689" spans="1:1" s="427" customFormat="1" ht="12" hidden="1" customHeight="1">
      <c r="A11689" s="426"/>
    </row>
    <row r="11690" spans="1:1" s="427" customFormat="1" ht="12" hidden="1" customHeight="1">
      <c r="A11690" s="426"/>
    </row>
    <row r="11691" spans="1:1" s="427" customFormat="1" ht="12" hidden="1" customHeight="1">
      <c r="A11691" s="426"/>
    </row>
    <row r="11692" spans="1:1" s="427" customFormat="1" ht="12" hidden="1" customHeight="1">
      <c r="A11692" s="426"/>
    </row>
    <row r="11693" spans="1:1" s="427" customFormat="1" ht="12" hidden="1" customHeight="1">
      <c r="A11693" s="426"/>
    </row>
    <row r="11694" spans="1:1" s="427" customFormat="1" ht="12" hidden="1" customHeight="1">
      <c r="A11694" s="426"/>
    </row>
    <row r="11695" spans="1:1" s="427" customFormat="1" ht="12" hidden="1" customHeight="1">
      <c r="A11695" s="426"/>
    </row>
    <row r="11696" spans="1:1" s="427" customFormat="1" ht="12" hidden="1" customHeight="1">
      <c r="A11696" s="426"/>
    </row>
    <row r="11697" spans="1:1" s="427" customFormat="1" ht="12" hidden="1" customHeight="1">
      <c r="A11697" s="426"/>
    </row>
    <row r="11698" spans="1:1" s="427" customFormat="1" ht="12" hidden="1" customHeight="1">
      <c r="A11698" s="426"/>
    </row>
    <row r="11699" spans="1:1" s="427" customFormat="1" ht="12" hidden="1" customHeight="1">
      <c r="A11699" s="426"/>
    </row>
    <row r="11700" spans="1:1" s="427" customFormat="1" ht="12" hidden="1" customHeight="1">
      <c r="A11700" s="426"/>
    </row>
    <row r="11701" spans="1:1" s="427" customFormat="1" ht="12" hidden="1" customHeight="1">
      <c r="A11701" s="426"/>
    </row>
    <row r="11702" spans="1:1" s="427" customFormat="1" ht="12" hidden="1" customHeight="1">
      <c r="A11702" s="426"/>
    </row>
    <row r="11703" spans="1:1" s="427" customFormat="1" ht="12" hidden="1" customHeight="1">
      <c r="A11703" s="426"/>
    </row>
    <row r="11704" spans="1:1" s="427" customFormat="1" ht="12" hidden="1" customHeight="1">
      <c r="A11704" s="426"/>
    </row>
    <row r="11705" spans="1:1" s="427" customFormat="1" ht="12" hidden="1" customHeight="1">
      <c r="A11705" s="426"/>
    </row>
    <row r="11706" spans="1:1" s="427" customFormat="1" ht="12" hidden="1" customHeight="1">
      <c r="A11706" s="426"/>
    </row>
    <row r="11707" spans="1:1" s="427" customFormat="1" ht="12" hidden="1" customHeight="1">
      <c r="A11707" s="426"/>
    </row>
    <row r="11708" spans="1:1" s="427" customFormat="1" ht="12" hidden="1" customHeight="1">
      <c r="A11708" s="426"/>
    </row>
    <row r="11709" spans="1:1" s="427" customFormat="1" ht="12" hidden="1" customHeight="1">
      <c r="A11709" s="426"/>
    </row>
    <row r="11710" spans="1:1" s="427" customFormat="1" ht="12" hidden="1" customHeight="1">
      <c r="A11710" s="426"/>
    </row>
    <row r="11711" spans="1:1" s="427" customFormat="1" ht="12" hidden="1" customHeight="1">
      <c r="A11711" s="426"/>
    </row>
    <row r="11712" spans="1:1" s="427" customFormat="1" ht="12" hidden="1" customHeight="1">
      <c r="A11712" s="426"/>
    </row>
    <row r="11713" spans="1:1" s="427" customFormat="1" ht="12" hidden="1" customHeight="1">
      <c r="A11713" s="426"/>
    </row>
    <row r="11714" spans="1:1" s="427" customFormat="1" ht="12" hidden="1" customHeight="1">
      <c r="A11714" s="426"/>
    </row>
    <row r="11715" spans="1:1" s="427" customFormat="1" ht="12" hidden="1" customHeight="1">
      <c r="A11715" s="426"/>
    </row>
    <row r="11716" spans="1:1" s="427" customFormat="1" ht="12" hidden="1" customHeight="1">
      <c r="A11716" s="426"/>
    </row>
    <row r="11717" spans="1:1" s="427" customFormat="1" ht="12" hidden="1" customHeight="1">
      <c r="A11717" s="426"/>
    </row>
    <row r="11718" spans="1:1" s="427" customFormat="1" ht="12" hidden="1" customHeight="1">
      <c r="A11718" s="426"/>
    </row>
    <row r="11719" spans="1:1" s="427" customFormat="1" ht="12" hidden="1" customHeight="1">
      <c r="A11719" s="426"/>
    </row>
    <row r="11720" spans="1:1" s="427" customFormat="1" ht="12" hidden="1" customHeight="1">
      <c r="A11720" s="426"/>
    </row>
    <row r="11721" spans="1:1" s="427" customFormat="1" ht="12" hidden="1" customHeight="1">
      <c r="A11721" s="426"/>
    </row>
    <row r="11722" spans="1:1" s="427" customFormat="1" ht="12" hidden="1" customHeight="1">
      <c r="A11722" s="426"/>
    </row>
    <row r="11723" spans="1:1" s="427" customFormat="1" ht="12" hidden="1" customHeight="1">
      <c r="A11723" s="426"/>
    </row>
    <row r="11724" spans="1:1" s="427" customFormat="1" ht="12" hidden="1" customHeight="1">
      <c r="A11724" s="426"/>
    </row>
    <row r="11725" spans="1:1" s="427" customFormat="1" ht="12" hidden="1" customHeight="1">
      <c r="A11725" s="426"/>
    </row>
    <row r="11726" spans="1:1" s="427" customFormat="1" ht="12" hidden="1" customHeight="1">
      <c r="A11726" s="426"/>
    </row>
    <row r="11727" spans="1:1" s="427" customFormat="1" ht="12" hidden="1" customHeight="1">
      <c r="A11727" s="426"/>
    </row>
    <row r="11728" spans="1:1" s="427" customFormat="1" ht="12" hidden="1" customHeight="1">
      <c r="A11728" s="426"/>
    </row>
    <row r="11729" spans="1:1" s="427" customFormat="1" ht="12" hidden="1" customHeight="1">
      <c r="A11729" s="426"/>
    </row>
    <row r="11730" spans="1:1" s="427" customFormat="1" ht="12" hidden="1" customHeight="1">
      <c r="A11730" s="426"/>
    </row>
    <row r="11731" spans="1:1" s="427" customFormat="1" ht="12" hidden="1" customHeight="1">
      <c r="A11731" s="426"/>
    </row>
    <row r="11732" spans="1:1" s="427" customFormat="1" ht="12" hidden="1" customHeight="1">
      <c r="A11732" s="426"/>
    </row>
    <row r="11733" spans="1:1" s="427" customFormat="1" ht="12" hidden="1" customHeight="1">
      <c r="A11733" s="426"/>
    </row>
    <row r="11734" spans="1:1" s="427" customFormat="1" ht="12" hidden="1" customHeight="1">
      <c r="A11734" s="426"/>
    </row>
    <row r="11735" spans="1:1" s="427" customFormat="1" ht="12" hidden="1" customHeight="1">
      <c r="A11735" s="426"/>
    </row>
    <row r="11736" spans="1:1" s="427" customFormat="1" ht="12" hidden="1" customHeight="1">
      <c r="A11736" s="426"/>
    </row>
    <row r="11737" spans="1:1" s="427" customFormat="1" ht="12" hidden="1" customHeight="1">
      <c r="A11737" s="426"/>
    </row>
    <row r="11738" spans="1:1" s="427" customFormat="1" ht="12" hidden="1" customHeight="1">
      <c r="A11738" s="426"/>
    </row>
    <row r="11739" spans="1:1" s="427" customFormat="1" ht="12" hidden="1" customHeight="1">
      <c r="A11739" s="426"/>
    </row>
    <row r="11740" spans="1:1" s="427" customFormat="1" ht="12" hidden="1" customHeight="1">
      <c r="A11740" s="426"/>
    </row>
    <row r="11741" spans="1:1" s="427" customFormat="1" ht="12" hidden="1" customHeight="1">
      <c r="A11741" s="426"/>
    </row>
    <row r="11742" spans="1:1" s="427" customFormat="1" ht="12" hidden="1" customHeight="1">
      <c r="A11742" s="426"/>
    </row>
    <row r="11743" spans="1:1" s="427" customFormat="1" ht="12" hidden="1" customHeight="1">
      <c r="A11743" s="426"/>
    </row>
    <row r="11744" spans="1:1" s="427" customFormat="1" ht="12" hidden="1" customHeight="1">
      <c r="A11744" s="426"/>
    </row>
    <row r="11745" spans="1:1" s="427" customFormat="1" ht="12" hidden="1" customHeight="1">
      <c r="A11745" s="426"/>
    </row>
    <row r="11746" spans="1:1" s="427" customFormat="1" ht="12" hidden="1" customHeight="1">
      <c r="A11746" s="426"/>
    </row>
    <row r="11747" spans="1:1" s="427" customFormat="1" ht="12" hidden="1" customHeight="1">
      <c r="A11747" s="426"/>
    </row>
    <row r="11748" spans="1:1" s="427" customFormat="1" ht="12" hidden="1" customHeight="1">
      <c r="A11748" s="426"/>
    </row>
    <row r="11749" spans="1:1" s="427" customFormat="1" ht="12" hidden="1" customHeight="1">
      <c r="A11749" s="426"/>
    </row>
    <row r="11750" spans="1:1" s="427" customFormat="1" ht="12" hidden="1" customHeight="1">
      <c r="A11750" s="426"/>
    </row>
    <row r="11751" spans="1:1" s="427" customFormat="1" ht="12" hidden="1" customHeight="1">
      <c r="A11751" s="426"/>
    </row>
    <row r="11752" spans="1:1" s="427" customFormat="1" ht="12" hidden="1" customHeight="1">
      <c r="A11752" s="426"/>
    </row>
    <row r="11753" spans="1:1" s="427" customFormat="1" ht="12" hidden="1" customHeight="1">
      <c r="A11753" s="426"/>
    </row>
    <row r="11754" spans="1:1" s="427" customFormat="1" ht="12" hidden="1" customHeight="1">
      <c r="A11754" s="426"/>
    </row>
    <row r="11755" spans="1:1" s="427" customFormat="1" ht="12" hidden="1" customHeight="1">
      <c r="A11755" s="426"/>
    </row>
    <row r="11756" spans="1:1" s="427" customFormat="1" ht="12" hidden="1" customHeight="1">
      <c r="A11756" s="426"/>
    </row>
    <row r="11757" spans="1:1" s="427" customFormat="1" ht="12" hidden="1" customHeight="1">
      <c r="A11757" s="426"/>
    </row>
    <row r="11758" spans="1:1" s="427" customFormat="1" ht="12" hidden="1" customHeight="1">
      <c r="A11758" s="426"/>
    </row>
    <row r="11759" spans="1:1" s="427" customFormat="1" ht="12" hidden="1" customHeight="1">
      <c r="A11759" s="426"/>
    </row>
    <row r="11760" spans="1:1" s="427" customFormat="1" ht="12" hidden="1" customHeight="1">
      <c r="A11760" s="426"/>
    </row>
    <row r="11761" spans="1:1" s="427" customFormat="1" ht="12" hidden="1" customHeight="1">
      <c r="A11761" s="426"/>
    </row>
    <row r="11762" spans="1:1" s="427" customFormat="1" ht="12" hidden="1" customHeight="1">
      <c r="A11762" s="426"/>
    </row>
    <row r="11763" spans="1:1" s="427" customFormat="1" ht="12" hidden="1" customHeight="1">
      <c r="A11763" s="426"/>
    </row>
    <row r="11764" spans="1:1" s="427" customFormat="1" ht="12" hidden="1" customHeight="1">
      <c r="A11764" s="426"/>
    </row>
    <row r="11765" spans="1:1" s="427" customFormat="1" ht="12" hidden="1" customHeight="1">
      <c r="A11765" s="426"/>
    </row>
    <row r="11766" spans="1:1" s="427" customFormat="1" ht="12" hidden="1" customHeight="1">
      <c r="A11766" s="426"/>
    </row>
    <row r="11767" spans="1:1" s="427" customFormat="1" ht="12" hidden="1" customHeight="1">
      <c r="A11767" s="426"/>
    </row>
    <row r="11768" spans="1:1" s="427" customFormat="1" ht="12" hidden="1" customHeight="1">
      <c r="A11768" s="426"/>
    </row>
    <row r="11769" spans="1:1" s="427" customFormat="1" ht="12" hidden="1" customHeight="1">
      <c r="A11769" s="426"/>
    </row>
    <row r="11770" spans="1:1" s="427" customFormat="1" ht="12" hidden="1" customHeight="1">
      <c r="A11770" s="426"/>
    </row>
    <row r="11771" spans="1:1" s="427" customFormat="1" ht="12" hidden="1" customHeight="1">
      <c r="A11771" s="426"/>
    </row>
    <row r="11772" spans="1:1" s="427" customFormat="1" ht="12" hidden="1" customHeight="1">
      <c r="A11772" s="426"/>
    </row>
    <row r="11773" spans="1:1" s="427" customFormat="1" ht="12" hidden="1" customHeight="1">
      <c r="A11773" s="426"/>
    </row>
    <row r="11774" spans="1:1" s="427" customFormat="1" ht="12" hidden="1" customHeight="1">
      <c r="A11774" s="426"/>
    </row>
    <row r="11775" spans="1:1" s="427" customFormat="1" ht="12" hidden="1" customHeight="1">
      <c r="A11775" s="426"/>
    </row>
    <row r="11776" spans="1:1" s="427" customFormat="1" ht="12" hidden="1" customHeight="1">
      <c r="A11776" s="426"/>
    </row>
    <row r="11777" spans="1:1" s="427" customFormat="1" ht="12" hidden="1" customHeight="1">
      <c r="A11777" s="426"/>
    </row>
    <row r="11778" spans="1:1" s="427" customFormat="1" ht="12" hidden="1" customHeight="1">
      <c r="A11778" s="426"/>
    </row>
    <row r="11779" spans="1:1" s="427" customFormat="1" ht="12" hidden="1" customHeight="1">
      <c r="A11779" s="426"/>
    </row>
    <row r="11780" spans="1:1" s="427" customFormat="1" ht="12" hidden="1" customHeight="1">
      <c r="A11780" s="426"/>
    </row>
    <row r="11781" spans="1:1" s="427" customFormat="1" ht="12" hidden="1" customHeight="1">
      <c r="A11781" s="426"/>
    </row>
    <row r="11782" spans="1:1" s="427" customFormat="1" ht="12" hidden="1" customHeight="1">
      <c r="A11782" s="426"/>
    </row>
    <row r="11783" spans="1:1" s="427" customFormat="1" ht="12" hidden="1" customHeight="1">
      <c r="A11783" s="426"/>
    </row>
    <row r="11784" spans="1:1" s="427" customFormat="1" ht="12" hidden="1" customHeight="1">
      <c r="A11784" s="426"/>
    </row>
    <row r="11785" spans="1:1" s="427" customFormat="1" ht="12" hidden="1" customHeight="1">
      <c r="A11785" s="426"/>
    </row>
    <row r="11786" spans="1:1" s="427" customFormat="1" ht="12" hidden="1" customHeight="1">
      <c r="A11786" s="426"/>
    </row>
    <row r="11787" spans="1:1" s="427" customFormat="1" ht="12" hidden="1" customHeight="1">
      <c r="A11787" s="426"/>
    </row>
    <row r="11788" spans="1:1" s="427" customFormat="1" ht="12" hidden="1" customHeight="1">
      <c r="A11788" s="426"/>
    </row>
    <row r="11789" spans="1:1" s="427" customFormat="1" ht="12" hidden="1" customHeight="1">
      <c r="A11789" s="426"/>
    </row>
    <row r="11790" spans="1:1" s="427" customFormat="1" ht="12" hidden="1" customHeight="1">
      <c r="A11790" s="426"/>
    </row>
    <row r="11791" spans="1:1" s="427" customFormat="1" ht="12" hidden="1" customHeight="1">
      <c r="A11791" s="426"/>
    </row>
    <row r="11792" spans="1:1" s="427" customFormat="1" ht="12" hidden="1" customHeight="1">
      <c r="A11792" s="426"/>
    </row>
    <row r="11793" spans="1:1" s="427" customFormat="1" ht="12" hidden="1" customHeight="1">
      <c r="A11793" s="426"/>
    </row>
    <row r="11794" spans="1:1" s="427" customFormat="1" ht="12" hidden="1" customHeight="1">
      <c r="A11794" s="426"/>
    </row>
    <row r="11795" spans="1:1" s="427" customFormat="1" ht="12" hidden="1" customHeight="1">
      <c r="A11795" s="426"/>
    </row>
    <row r="11796" spans="1:1" s="427" customFormat="1" ht="12" hidden="1" customHeight="1">
      <c r="A11796" s="426"/>
    </row>
    <row r="11797" spans="1:1" s="427" customFormat="1" ht="12" hidden="1" customHeight="1">
      <c r="A11797" s="426"/>
    </row>
    <row r="11798" spans="1:1" s="427" customFormat="1" ht="12" hidden="1" customHeight="1">
      <c r="A11798" s="426"/>
    </row>
    <row r="11799" spans="1:1" s="427" customFormat="1" ht="12" hidden="1" customHeight="1">
      <c r="A11799" s="426"/>
    </row>
    <row r="11800" spans="1:1" s="427" customFormat="1" ht="12" hidden="1" customHeight="1">
      <c r="A11800" s="426"/>
    </row>
    <row r="11801" spans="1:1" s="427" customFormat="1" ht="12" hidden="1" customHeight="1">
      <c r="A11801" s="426"/>
    </row>
    <row r="11802" spans="1:1" s="427" customFormat="1" ht="12" hidden="1" customHeight="1">
      <c r="A11802" s="426"/>
    </row>
    <row r="11803" spans="1:1" s="427" customFormat="1" ht="12" hidden="1" customHeight="1">
      <c r="A11803" s="426"/>
    </row>
    <row r="11804" spans="1:1" s="427" customFormat="1" ht="12" hidden="1" customHeight="1">
      <c r="A11804" s="426"/>
    </row>
    <row r="11805" spans="1:1" s="427" customFormat="1" ht="12" hidden="1" customHeight="1">
      <c r="A11805" s="426"/>
    </row>
    <row r="11806" spans="1:1" s="427" customFormat="1" ht="12" hidden="1" customHeight="1">
      <c r="A11806" s="426"/>
    </row>
    <row r="11807" spans="1:1" s="427" customFormat="1" ht="12" hidden="1" customHeight="1">
      <c r="A11807" s="426"/>
    </row>
    <row r="11808" spans="1:1" s="427" customFormat="1" ht="12" hidden="1" customHeight="1">
      <c r="A11808" s="426"/>
    </row>
    <row r="11809" spans="1:1" s="427" customFormat="1" ht="12" hidden="1" customHeight="1">
      <c r="A11809" s="426"/>
    </row>
    <row r="11810" spans="1:1" s="427" customFormat="1" ht="12" hidden="1" customHeight="1">
      <c r="A11810" s="426"/>
    </row>
    <row r="11811" spans="1:1" s="427" customFormat="1" ht="12" hidden="1" customHeight="1">
      <c r="A11811" s="426"/>
    </row>
    <row r="11812" spans="1:1" s="427" customFormat="1" ht="12" hidden="1" customHeight="1">
      <c r="A11812" s="426"/>
    </row>
    <row r="11813" spans="1:1" s="427" customFormat="1" ht="12" hidden="1" customHeight="1">
      <c r="A11813" s="426"/>
    </row>
    <row r="11814" spans="1:1" s="427" customFormat="1" ht="12" hidden="1" customHeight="1">
      <c r="A11814" s="426"/>
    </row>
    <row r="11815" spans="1:1" s="427" customFormat="1" ht="12" hidden="1" customHeight="1">
      <c r="A11815" s="426"/>
    </row>
    <row r="11816" spans="1:1" s="427" customFormat="1" ht="12" hidden="1" customHeight="1">
      <c r="A11816" s="426"/>
    </row>
    <row r="11817" spans="1:1" s="427" customFormat="1" ht="12" hidden="1" customHeight="1">
      <c r="A11817" s="426"/>
    </row>
    <row r="11818" spans="1:1" s="427" customFormat="1" ht="12" hidden="1" customHeight="1">
      <c r="A11818" s="426"/>
    </row>
    <row r="11819" spans="1:1" s="427" customFormat="1" ht="12" hidden="1" customHeight="1">
      <c r="A11819" s="426"/>
    </row>
    <row r="11820" spans="1:1" s="427" customFormat="1" ht="12" hidden="1" customHeight="1">
      <c r="A11820" s="426"/>
    </row>
    <row r="11821" spans="1:1" s="427" customFormat="1" ht="12" hidden="1" customHeight="1">
      <c r="A11821" s="426"/>
    </row>
    <row r="11822" spans="1:1" s="427" customFormat="1" ht="12" hidden="1" customHeight="1">
      <c r="A11822" s="426"/>
    </row>
    <row r="11823" spans="1:1" s="427" customFormat="1" ht="12" hidden="1" customHeight="1">
      <c r="A11823" s="426"/>
    </row>
    <row r="11824" spans="1:1" s="427" customFormat="1" ht="12" hidden="1" customHeight="1">
      <c r="A11824" s="426"/>
    </row>
    <row r="11825" spans="1:1" s="427" customFormat="1" ht="12" hidden="1" customHeight="1">
      <c r="A11825" s="426"/>
    </row>
    <row r="11826" spans="1:1" s="427" customFormat="1" ht="12" hidden="1" customHeight="1">
      <c r="A11826" s="426"/>
    </row>
    <row r="11827" spans="1:1" s="427" customFormat="1" ht="12" hidden="1" customHeight="1">
      <c r="A11827" s="426"/>
    </row>
    <row r="11828" spans="1:1" s="427" customFormat="1" ht="12" hidden="1" customHeight="1">
      <c r="A11828" s="426"/>
    </row>
    <row r="11829" spans="1:1" s="427" customFormat="1" ht="12" hidden="1" customHeight="1">
      <c r="A11829" s="426"/>
    </row>
    <row r="11830" spans="1:1" s="427" customFormat="1" ht="12" hidden="1" customHeight="1">
      <c r="A11830" s="426"/>
    </row>
    <row r="11831" spans="1:1" s="427" customFormat="1" ht="12" hidden="1" customHeight="1">
      <c r="A11831" s="426"/>
    </row>
    <row r="11832" spans="1:1" s="427" customFormat="1" ht="12" hidden="1" customHeight="1">
      <c r="A11832" s="426"/>
    </row>
    <row r="11833" spans="1:1" s="427" customFormat="1" ht="12" hidden="1" customHeight="1">
      <c r="A11833" s="426"/>
    </row>
    <row r="11834" spans="1:1" s="427" customFormat="1" ht="12" hidden="1" customHeight="1">
      <c r="A11834" s="426"/>
    </row>
    <row r="11835" spans="1:1" s="427" customFormat="1" ht="12" hidden="1" customHeight="1">
      <c r="A11835" s="426"/>
    </row>
    <row r="11836" spans="1:1" s="427" customFormat="1" ht="12" hidden="1" customHeight="1">
      <c r="A11836" s="426"/>
    </row>
    <row r="11837" spans="1:1" s="427" customFormat="1" ht="12" hidden="1" customHeight="1">
      <c r="A11837" s="426"/>
    </row>
    <row r="11838" spans="1:1" s="427" customFormat="1" ht="12" hidden="1" customHeight="1">
      <c r="A11838" s="426"/>
    </row>
    <row r="11839" spans="1:1" s="427" customFormat="1" ht="12" hidden="1" customHeight="1">
      <c r="A11839" s="426"/>
    </row>
    <row r="11840" spans="1:1" s="427" customFormat="1" ht="12" hidden="1" customHeight="1">
      <c r="A11840" s="426"/>
    </row>
    <row r="11841" spans="1:1" s="427" customFormat="1" ht="12" hidden="1" customHeight="1">
      <c r="A11841" s="426"/>
    </row>
    <row r="11842" spans="1:1" s="427" customFormat="1" ht="12" hidden="1" customHeight="1">
      <c r="A11842" s="426"/>
    </row>
    <row r="11843" spans="1:1" s="427" customFormat="1" ht="12" hidden="1" customHeight="1">
      <c r="A11843" s="426"/>
    </row>
    <row r="11844" spans="1:1" s="427" customFormat="1" ht="12" hidden="1" customHeight="1">
      <c r="A11844" s="426"/>
    </row>
    <row r="11845" spans="1:1" s="427" customFormat="1" ht="12" hidden="1" customHeight="1">
      <c r="A11845" s="426"/>
    </row>
    <row r="11846" spans="1:1" s="427" customFormat="1" ht="12" hidden="1" customHeight="1">
      <c r="A11846" s="426"/>
    </row>
    <row r="11847" spans="1:1" s="427" customFormat="1" ht="12" hidden="1" customHeight="1">
      <c r="A11847" s="426"/>
    </row>
    <row r="11848" spans="1:1" s="427" customFormat="1" ht="12" hidden="1" customHeight="1">
      <c r="A11848" s="426"/>
    </row>
    <row r="11849" spans="1:1" s="427" customFormat="1" ht="12" hidden="1" customHeight="1">
      <c r="A11849" s="426"/>
    </row>
    <row r="11850" spans="1:1" s="427" customFormat="1" ht="12" hidden="1" customHeight="1">
      <c r="A11850" s="426"/>
    </row>
    <row r="11851" spans="1:1" s="427" customFormat="1" ht="12" hidden="1" customHeight="1">
      <c r="A11851" s="426"/>
    </row>
    <row r="11852" spans="1:1" s="427" customFormat="1" ht="12" hidden="1" customHeight="1">
      <c r="A11852" s="426"/>
    </row>
    <row r="11853" spans="1:1" s="427" customFormat="1" ht="12" hidden="1" customHeight="1">
      <c r="A11853" s="426"/>
    </row>
    <row r="11854" spans="1:1" s="427" customFormat="1" ht="12" hidden="1" customHeight="1">
      <c r="A11854" s="426"/>
    </row>
    <row r="11855" spans="1:1" s="427" customFormat="1" ht="12" hidden="1" customHeight="1">
      <c r="A11855" s="426"/>
    </row>
    <row r="11856" spans="1:1" s="427" customFormat="1" ht="12" hidden="1" customHeight="1">
      <c r="A11856" s="426"/>
    </row>
    <row r="11857" spans="1:1" s="427" customFormat="1" ht="12" hidden="1" customHeight="1">
      <c r="A11857" s="426"/>
    </row>
    <row r="11858" spans="1:1" s="427" customFormat="1" ht="12" hidden="1" customHeight="1">
      <c r="A11858" s="426"/>
    </row>
    <row r="11859" spans="1:1" s="427" customFormat="1" ht="12" hidden="1" customHeight="1">
      <c r="A11859" s="426"/>
    </row>
    <row r="11860" spans="1:1" s="427" customFormat="1" ht="12" hidden="1" customHeight="1">
      <c r="A11860" s="426"/>
    </row>
    <row r="11861" spans="1:1" s="427" customFormat="1" ht="12" hidden="1" customHeight="1">
      <c r="A11861" s="426"/>
    </row>
    <row r="11862" spans="1:1" s="427" customFormat="1" ht="12" hidden="1" customHeight="1">
      <c r="A11862" s="426"/>
    </row>
    <row r="11863" spans="1:1" s="427" customFormat="1" ht="12" hidden="1" customHeight="1">
      <c r="A11863" s="426"/>
    </row>
    <row r="11864" spans="1:1" s="427" customFormat="1" ht="12" hidden="1" customHeight="1">
      <c r="A11864" s="426"/>
    </row>
    <row r="11865" spans="1:1" s="427" customFormat="1" ht="12" hidden="1" customHeight="1">
      <c r="A11865" s="426"/>
    </row>
    <row r="11866" spans="1:1" s="427" customFormat="1" ht="12" hidden="1" customHeight="1">
      <c r="A11866" s="426"/>
    </row>
    <row r="11867" spans="1:1" s="427" customFormat="1" ht="12" hidden="1" customHeight="1">
      <c r="A11867" s="426"/>
    </row>
    <row r="11868" spans="1:1" s="427" customFormat="1" ht="12" hidden="1" customHeight="1">
      <c r="A11868" s="426"/>
    </row>
    <row r="11869" spans="1:1" s="427" customFormat="1" ht="12" hidden="1" customHeight="1">
      <c r="A11869" s="426"/>
    </row>
    <row r="11870" spans="1:1" s="427" customFormat="1" ht="12" hidden="1" customHeight="1">
      <c r="A11870" s="426"/>
    </row>
    <row r="11871" spans="1:1" s="427" customFormat="1" ht="12" hidden="1" customHeight="1">
      <c r="A11871" s="426"/>
    </row>
    <row r="11872" spans="1:1" s="427" customFormat="1" ht="12" hidden="1" customHeight="1">
      <c r="A11872" s="426"/>
    </row>
    <row r="11873" spans="1:1" s="427" customFormat="1" ht="12" hidden="1" customHeight="1">
      <c r="A11873" s="426"/>
    </row>
    <row r="11874" spans="1:1" s="427" customFormat="1" ht="12" hidden="1" customHeight="1">
      <c r="A11874" s="426"/>
    </row>
    <row r="11875" spans="1:1" s="427" customFormat="1" ht="12" hidden="1" customHeight="1">
      <c r="A11875" s="426"/>
    </row>
    <row r="11876" spans="1:1" s="427" customFormat="1" ht="12" hidden="1" customHeight="1">
      <c r="A11876" s="426"/>
    </row>
    <row r="11877" spans="1:1" s="427" customFormat="1" ht="12" hidden="1" customHeight="1">
      <c r="A11877" s="426"/>
    </row>
    <row r="11878" spans="1:1" s="427" customFormat="1" ht="12" hidden="1" customHeight="1">
      <c r="A11878" s="426"/>
    </row>
    <row r="11879" spans="1:1" s="427" customFormat="1" ht="12" hidden="1" customHeight="1">
      <c r="A11879" s="426"/>
    </row>
    <row r="11880" spans="1:1" s="427" customFormat="1" ht="12" hidden="1" customHeight="1">
      <c r="A11880" s="426"/>
    </row>
    <row r="11881" spans="1:1" s="427" customFormat="1" ht="12" hidden="1" customHeight="1">
      <c r="A11881" s="426"/>
    </row>
    <row r="11882" spans="1:1" s="427" customFormat="1" ht="12" hidden="1" customHeight="1">
      <c r="A11882" s="426"/>
    </row>
    <row r="11883" spans="1:1" s="427" customFormat="1" ht="12" hidden="1" customHeight="1">
      <c r="A11883" s="426"/>
    </row>
    <row r="11884" spans="1:1" s="427" customFormat="1" ht="12" hidden="1" customHeight="1">
      <c r="A11884" s="426"/>
    </row>
    <row r="11885" spans="1:1" s="427" customFormat="1" ht="12" hidden="1" customHeight="1">
      <c r="A11885" s="426"/>
    </row>
    <row r="11886" spans="1:1" s="427" customFormat="1" ht="12" hidden="1" customHeight="1">
      <c r="A11886" s="426"/>
    </row>
    <row r="11887" spans="1:1" s="427" customFormat="1" ht="12" hidden="1" customHeight="1">
      <c r="A11887" s="426"/>
    </row>
    <row r="11888" spans="1:1" s="427" customFormat="1" ht="12" hidden="1" customHeight="1">
      <c r="A11888" s="426"/>
    </row>
    <row r="11889" spans="1:1" s="427" customFormat="1" ht="12" hidden="1" customHeight="1">
      <c r="A11889" s="426"/>
    </row>
    <row r="11890" spans="1:1" s="427" customFormat="1" ht="12" hidden="1" customHeight="1">
      <c r="A11890" s="426"/>
    </row>
    <row r="11891" spans="1:1" s="427" customFormat="1" ht="12" hidden="1" customHeight="1">
      <c r="A11891" s="426"/>
    </row>
    <row r="11892" spans="1:1" s="427" customFormat="1" ht="12" hidden="1" customHeight="1">
      <c r="A11892" s="426"/>
    </row>
    <row r="11893" spans="1:1" s="427" customFormat="1" ht="12" hidden="1" customHeight="1">
      <c r="A11893" s="426"/>
    </row>
    <row r="11894" spans="1:1" s="427" customFormat="1" ht="12" hidden="1" customHeight="1">
      <c r="A11894" s="426"/>
    </row>
    <row r="11895" spans="1:1" s="427" customFormat="1" ht="12" hidden="1" customHeight="1">
      <c r="A11895" s="426"/>
    </row>
    <row r="11896" spans="1:1" s="427" customFormat="1" ht="12" hidden="1" customHeight="1">
      <c r="A11896" s="426"/>
    </row>
    <row r="11897" spans="1:1" s="427" customFormat="1" ht="12" hidden="1" customHeight="1">
      <c r="A11897" s="426"/>
    </row>
    <row r="11898" spans="1:1" s="427" customFormat="1" ht="12" hidden="1" customHeight="1">
      <c r="A11898" s="426"/>
    </row>
    <row r="11899" spans="1:1" s="427" customFormat="1" ht="12" hidden="1" customHeight="1">
      <c r="A11899" s="426"/>
    </row>
    <row r="11900" spans="1:1" s="427" customFormat="1" ht="12" hidden="1" customHeight="1">
      <c r="A11900" s="426"/>
    </row>
    <row r="11901" spans="1:1" s="427" customFormat="1" ht="12" hidden="1" customHeight="1">
      <c r="A11901" s="426"/>
    </row>
    <row r="11902" spans="1:1" s="427" customFormat="1" ht="12" hidden="1" customHeight="1">
      <c r="A11902" s="426"/>
    </row>
    <row r="11903" spans="1:1" s="427" customFormat="1" ht="12" hidden="1" customHeight="1">
      <c r="A11903" s="426"/>
    </row>
    <row r="11904" spans="1:1" s="427" customFormat="1" ht="12" hidden="1" customHeight="1">
      <c r="A11904" s="426"/>
    </row>
    <row r="11905" spans="1:1" s="427" customFormat="1" ht="12" hidden="1" customHeight="1">
      <c r="A11905" s="426"/>
    </row>
    <row r="11906" spans="1:1" s="427" customFormat="1" ht="12" hidden="1" customHeight="1">
      <c r="A11906" s="426"/>
    </row>
    <row r="11907" spans="1:1" s="427" customFormat="1" ht="12" hidden="1" customHeight="1">
      <c r="A11907" s="426"/>
    </row>
    <row r="11908" spans="1:1" s="427" customFormat="1" ht="12" hidden="1" customHeight="1">
      <c r="A11908" s="426"/>
    </row>
    <row r="11909" spans="1:1" s="427" customFormat="1" ht="12" hidden="1" customHeight="1">
      <c r="A11909" s="426"/>
    </row>
    <row r="11910" spans="1:1" s="427" customFormat="1" ht="12" hidden="1" customHeight="1">
      <c r="A11910" s="426"/>
    </row>
    <row r="11911" spans="1:1" s="427" customFormat="1" ht="12" hidden="1" customHeight="1">
      <c r="A11911" s="426"/>
    </row>
    <row r="11912" spans="1:1" s="427" customFormat="1" ht="12" hidden="1" customHeight="1">
      <c r="A11912" s="426"/>
    </row>
    <row r="11913" spans="1:1" s="427" customFormat="1" ht="12" hidden="1" customHeight="1">
      <c r="A11913" s="426"/>
    </row>
    <row r="11914" spans="1:1" s="427" customFormat="1" ht="12" hidden="1" customHeight="1">
      <c r="A11914" s="426"/>
    </row>
    <row r="11915" spans="1:1" s="427" customFormat="1" ht="12" hidden="1" customHeight="1">
      <c r="A11915" s="426"/>
    </row>
    <row r="11916" spans="1:1" s="427" customFormat="1" ht="12" hidden="1" customHeight="1">
      <c r="A11916" s="426"/>
    </row>
    <row r="11917" spans="1:1" s="427" customFormat="1" ht="12" hidden="1" customHeight="1">
      <c r="A11917" s="426"/>
    </row>
    <row r="11918" spans="1:1" s="427" customFormat="1" ht="12" hidden="1" customHeight="1">
      <c r="A11918" s="426"/>
    </row>
    <row r="11919" spans="1:1" s="427" customFormat="1" ht="12" hidden="1" customHeight="1">
      <c r="A11919" s="426"/>
    </row>
    <row r="11920" spans="1:1" s="427" customFormat="1" ht="12" hidden="1" customHeight="1">
      <c r="A11920" s="426"/>
    </row>
    <row r="11921" spans="1:1" s="427" customFormat="1" ht="12" hidden="1" customHeight="1">
      <c r="A11921" s="426"/>
    </row>
    <row r="11922" spans="1:1" s="427" customFormat="1" ht="12" hidden="1" customHeight="1">
      <c r="A11922" s="426"/>
    </row>
    <row r="11923" spans="1:1" s="427" customFormat="1" ht="12" hidden="1" customHeight="1">
      <c r="A11923" s="426"/>
    </row>
    <row r="11924" spans="1:1" s="427" customFormat="1" ht="12" hidden="1" customHeight="1">
      <c r="A11924" s="426"/>
    </row>
    <row r="11925" spans="1:1" s="427" customFormat="1" ht="12" hidden="1" customHeight="1">
      <c r="A11925" s="426"/>
    </row>
    <row r="11926" spans="1:1" s="427" customFormat="1" ht="12" hidden="1" customHeight="1">
      <c r="A11926" s="426"/>
    </row>
    <row r="11927" spans="1:1" s="427" customFormat="1" ht="12" hidden="1" customHeight="1">
      <c r="A11927" s="426"/>
    </row>
    <row r="11928" spans="1:1" s="427" customFormat="1" ht="12" hidden="1" customHeight="1">
      <c r="A11928" s="426"/>
    </row>
    <row r="11929" spans="1:1" s="427" customFormat="1" ht="12" hidden="1" customHeight="1">
      <c r="A11929" s="426"/>
    </row>
    <row r="11930" spans="1:1" s="427" customFormat="1" ht="12" hidden="1" customHeight="1">
      <c r="A11930" s="426"/>
    </row>
    <row r="11931" spans="1:1" s="427" customFormat="1" ht="12" hidden="1" customHeight="1">
      <c r="A11931" s="426"/>
    </row>
    <row r="11932" spans="1:1" s="427" customFormat="1" ht="12" hidden="1" customHeight="1">
      <c r="A11932" s="426"/>
    </row>
    <row r="11933" spans="1:1" s="427" customFormat="1" ht="12" hidden="1" customHeight="1">
      <c r="A11933" s="426"/>
    </row>
    <row r="11934" spans="1:1" s="427" customFormat="1" ht="12" hidden="1" customHeight="1">
      <c r="A11934" s="426"/>
    </row>
    <row r="11935" spans="1:1" s="427" customFormat="1" ht="12" hidden="1" customHeight="1">
      <c r="A11935" s="426"/>
    </row>
    <row r="11936" spans="1:1" s="427" customFormat="1" ht="12" hidden="1" customHeight="1">
      <c r="A11936" s="426"/>
    </row>
    <row r="11937" spans="1:1" s="427" customFormat="1" ht="12" hidden="1" customHeight="1">
      <c r="A11937" s="426"/>
    </row>
    <row r="11938" spans="1:1" s="427" customFormat="1" ht="12" hidden="1" customHeight="1">
      <c r="A11938" s="426"/>
    </row>
    <row r="11939" spans="1:1" s="427" customFormat="1" ht="12" hidden="1" customHeight="1">
      <c r="A11939" s="426"/>
    </row>
    <row r="11940" spans="1:1" s="427" customFormat="1" ht="12" hidden="1" customHeight="1">
      <c r="A11940" s="426"/>
    </row>
    <row r="11941" spans="1:1" s="427" customFormat="1" ht="12" hidden="1" customHeight="1">
      <c r="A11941" s="426"/>
    </row>
    <row r="11942" spans="1:1" s="427" customFormat="1" ht="12" hidden="1" customHeight="1">
      <c r="A11942" s="426"/>
    </row>
    <row r="11943" spans="1:1" s="427" customFormat="1" ht="12" hidden="1" customHeight="1">
      <c r="A11943" s="426"/>
    </row>
    <row r="11944" spans="1:1" s="427" customFormat="1" ht="12" hidden="1" customHeight="1">
      <c r="A11944" s="426"/>
    </row>
    <row r="11945" spans="1:1" s="427" customFormat="1" ht="12" hidden="1" customHeight="1">
      <c r="A11945" s="426"/>
    </row>
    <row r="11946" spans="1:1" s="427" customFormat="1" ht="12" hidden="1" customHeight="1">
      <c r="A11946" s="426"/>
    </row>
    <row r="11947" spans="1:1" s="427" customFormat="1" ht="12" hidden="1" customHeight="1">
      <c r="A11947" s="426"/>
    </row>
    <row r="11948" spans="1:1" s="427" customFormat="1" ht="12" hidden="1" customHeight="1">
      <c r="A11948" s="426"/>
    </row>
    <row r="11949" spans="1:1" s="427" customFormat="1" ht="12" hidden="1" customHeight="1">
      <c r="A11949" s="426"/>
    </row>
    <row r="11950" spans="1:1" s="427" customFormat="1" ht="12" hidden="1" customHeight="1">
      <c r="A11950" s="426"/>
    </row>
    <row r="11951" spans="1:1" s="427" customFormat="1" ht="12" hidden="1" customHeight="1">
      <c r="A11951" s="426"/>
    </row>
    <row r="11952" spans="1:1" s="427" customFormat="1" ht="12" hidden="1" customHeight="1">
      <c r="A11952" s="426"/>
    </row>
    <row r="11953" spans="1:1" s="427" customFormat="1" ht="12" hidden="1" customHeight="1">
      <c r="A11953" s="426"/>
    </row>
    <row r="11954" spans="1:1" s="427" customFormat="1" ht="12" hidden="1" customHeight="1">
      <c r="A11954" s="426"/>
    </row>
    <row r="11955" spans="1:1" s="427" customFormat="1" ht="12" hidden="1" customHeight="1">
      <c r="A11955" s="426"/>
    </row>
    <row r="11956" spans="1:1" s="427" customFormat="1" ht="12" hidden="1" customHeight="1">
      <c r="A11956" s="426"/>
    </row>
    <row r="11957" spans="1:1" s="427" customFormat="1" ht="12" hidden="1" customHeight="1">
      <c r="A11957" s="426"/>
    </row>
    <row r="11958" spans="1:1" s="427" customFormat="1" ht="12" hidden="1" customHeight="1">
      <c r="A11958" s="426"/>
    </row>
    <row r="11959" spans="1:1" s="427" customFormat="1" ht="12" hidden="1" customHeight="1">
      <c r="A11959" s="426"/>
    </row>
    <row r="11960" spans="1:1" s="427" customFormat="1" ht="12" hidden="1" customHeight="1">
      <c r="A11960" s="426"/>
    </row>
    <row r="11961" spans="1:1" s="427" customFormat="1" ht="12" hidden="1" customHeight="1">
      <c r="A11961" s="426"/>
    </row>
    <row r="11962" spans="1:1" s="427" customFormat="1" ht="12" hidden="1" customHeight="1">
      <c r="A11962" s="426"/>
    </row>
    <row r="11963" spans="1:1" s="427" customFormat="1" ht="12" hidden="1" customHeight="1">
      <c r="A11963" s="426"/>
    </row>
    <row r="11964" spans="1:1" s="427" customFormat="1" ht="12" hidden="1" customHeight="1">
      <c r="A11964" s="426"/>
    </row>
    <row r="11965" spans="1:1" s="427" customFormat="1" ht="12" hidden="1" customHeight="1">
      <c r="A11965" s="426"/>
    </row>
    <row r="11966" spans="1:1" s="427" customFormat="1" ht="12" hidden="1" customHeight="1">
      <c r="A11966" s="426"/>
    </row>
    <row r="11967" spans="1:1" s="427" customFormat="1" ht="12" hidden="1" customHeight="1">
      <c r="A11967" s="426"/>
    </row>
    <row r="11968" spans="1:1" s="427" customFormat="1" ht="12" hidden="1" customHeight="1">
      <c r="A11968" s="426"/>
    </row>
    <row r="11969" spans="1:1" s="427" customFormat="1" ht="12" hidden="1" customHeight="1">
      <c r="A11969" s="426"/>
    </row>
    <row r="11970" spans="1:1" s="427" customFormat="1" ht="12" hidden="1" customHeight="1">
      <c r="A11970" s="426"/>
    </row>
    <row r="11971" spans="1:1" s="427" customFormat="1" ht="12" hidden="1" customHeight="1">
      <c r="A11971" s="426"/>
    </row>
    <row r="11972" spans="1:1" s="427" customFormat="1" ht="12" hidden="1" customHeight="1">
      <c r="A11972" s="426"/>
    </row>
    <row r="11973" spans="1:1" s="427" customFormat="1" ht="12" hidden="1" customHeight="1">
      <c r="A11973" s="426"/>
    </row>
    <row r="11974" spans="1:1" s="427" customFormat="1" ht="12" hidden="1" customHeight="1">
      <c r="A11974" s="426"/>
    </row>
    <row r="11975" spans="1:1" s="427" customFormat="1" ht="12" hidden="1" customHeight="1">
      <c r="A11975" s="426"/>
    </row>
    <row r="11976" spans="1:1" s="427" customFormat="1" ht="12" hidden="1" customHeight="1">
      <c r="A11976" s="426"/>
    </row>
    <row r="11977" spans="1:1" s="427" customFormat="1" ht="12" hidden="1" customHeight="1">
      <c r="A11977" s="426"/>
    </row>
    <row r="11978" spans="1:1" s="427" customFormat="1" ht="12" hidden="1" customHeight="1">
      <c r="A11978" s="426"/>
    </row>
    <row r="11979" spans="1:1" s="427" customFormat="1" ht="12" hidden="1" customHeight="1">
      <c r="A11979" s="426"/>
    </row>
    <row r="11980" spans="1:1" s="427" customFormat="1" ht="12" hidden="1" customHeight="1">
      <c r="A11980" s="426"/>
    </row>
    <row r="11981" spans="1:1" s="427" customFormat="1" ht="12" hidden="1" customHeight="1">
      <c r="A11981" s="426"/>
    </row>
    <row r="11982" spans="1:1" s="427" customFormat="1" ht="12" hidden="1" customHeight="1">
      <c r="A11982" s="426"/>
    </row>
    <row r="11983" spans="1:1" s="427" customFormat="1" ht="12" hidden="1" customHeight="1">
      <c r="A11983" s="426"/>
    </row>
    <row r="11984" spans="1:1" s="427" customFormat="1" ht="12" hidden="1" customHeight="1">
      <c r="A11984" s="426"/>
    </row>
    <row r="11985" spans="1:1" s="427" customFormat="1" ht="12" hidden="1" customHeight="1">
      <c r="A11985" s="426"/>
    </row>
    <row r="11986" spans="1:1" s="427" customFormat="1" ht="12" hidden="1" customHeight="1">
      <c r="A11986" s="426"/>
    </row>
    <row r="11987" spans="1:1" s="427" customFormat="1" ht="12" hidden="1" customHeight="1">
      <c r="A11987" s="426"/>
    </row>
    <row r="11988" spans="1:1" s="427" customFormat="1" ht="12" hidden="1" customHeight="1">
      <c r="A11988" s="426"/>
    </row>
    <row r="11989" spans="1:1" s="427" customFormat="1" ht="12" hidden="1" customHeight="1">
      <c r="A11989" s="426"/>
    </row>
    <row r="11990" spans="1:1" s="427" customFormat="1" ht="12" hidden="1" customHeight="1">
      <c r="A11990" s="426"/>
    </row>
    <row r="11991" spans="1:1" s="427" customFormat="1" ht="12" hidden="1" customHeight="1">
      <c r="A11991" s="426"/>
    </row>
    <row r="11992" spans="1:1" s="427" customFormat="1" ht="12" hidden="1" customHeight="1">
      <c r="A11992" s="426"/>
    </row>
    <row r="11993" spans="1:1" s="427" customFormat="1" ht="12" hidden="1" customHeight="1">
      <c r="A11993" s="426"/>
    </row>
    <row r="11994" spans="1:1" s="427" customFormat="1" ht="12" hidden="1" customHeight="1">
      <c r="A11994" s="426"/>
    </row>
    <row r="11995" spans="1:1" s="427" customFormat="1" ht="12" hidden="1" customHeight="1">
      <c r="A11995" s="426"/>
    </row>
    <row r="11996" spans="1:1" s="427" customFormat="1" ht="12" hidden="1" customHeight="1">
      <c r="A11996" s="426"/>
    </row>
    <row r="11997" spans="1:1" s="427" customFormat="1" ht="12" hidden="1" customHeight="1">
      <c r="A11997" s="426"/>
    </row>
    <row r="11998" spans="1:1" s="427" customFormat="1" ht="12" hidden="1" customHeight="1">
      <c r="A11998" s="426"/>
    </row>
    <row r="11999" spans="1:1" s="427" customFormat="1" ht="12" hidden="1" customHeight="1">
      <c r="A11999" s="426"/>
    </row>
    <row r="12000" spans="1:1" s="427" customFormat="1" ht="12" hidden="1" customHeight="1">
      <c r="A12000" s="426"/>
    </row>
    <row r="12001" spans="1:1" s="427" customFormat="1" ht="12" hidden="1" customHeight="1">
      <c r="A12001" s="426"/>
    </row>
    <row r="12002" spans="1:1" s="427" customFormat="1" ht="12" hidden="1" customHeight="1">
      <c r="A12002" s="426"/>
    </row>
    <row r="12003" spans="1:1" s="427" customFormat="1" ht="12" hidden="1" customHeight="1">
      <c r="A12003" s="426"/>
    </row>
    <row r="12004" spans="1:1" s="427" customFormat="1" ht="12" hidden="1" customHeight="1">
      <c r="A12004" s="426"/>
    </row>
    <row r="12005" spans="1:1" s="427" customFormat="1" ht="12" hidden="1" customHeight="1">
      <c r="A12005" s="426"/>
    </row>
    <row r="12006" spans="1:1" s="427" customFormat="1" ht="12" hidden="1" customHeight="1">
      <c r="A12006" s="426"/>
    </row>
    <row r="12007" spans="1:1" s="427" customFormat="1" ht="12" hidden="1" customHeight="1">
      <c r="A12007" s="426"/>
    </row>
    <row r="12008" spans="1:1" s="427" customFormat="1" ht="12" hidden="1" customHeight="1">
      <c r="A12008" s="426"/>
    </row>
    <row r="12009" spans="1:1" s="427" customFormat="1" ht="12" hidden="1" customHeight="1">
      <c r="A12009" s="426"/>
    </row>
    <row r="12010" spans="1:1" s="427" customFormat="1" ht="12" hidden="1" customHeight="1">
      <c r="A12010" s="426"/>
    </row>
    <row r="12011" spans="1:1" s="427" customFormat="1" ht="12" hidden="1" customHeight="1">
      <c r="A12011" s="426"/>
    </row>
    <row r="12012" spans="1:1" s="427" customFormat="1" ht="12" hidden="1" customHeight="1">
      <c r="A12012" s="426"/>
    </row>
    <row r="12013" spans="1:1" s="427" customFormat="1" ht="12" hidden="1" customHeight="1">
      <c r="A12013" s="426"/>
    </row>
    <row r="12014" spans="1:1" s="427" customFormat="1" ht="12" hidden="1" customHeight="1">
      <c r="A12014" s="426"/>
    </row>
    <row r="12015" spans="1:1" s="427" customFormat="1" ht="12" hidden="1" customHeight="1">
      <c r="A12015" s="426"/>
    </row>
    <row r="12016" spans="1:1" s="427" customFormat="1" ht="12" hidden="1" customHeight="1">
      <c r="A12016" s="426"/>
    </row>
    <row r="12017" spans="1:1" s="427" customFormat="1" ht="12" hidden="1" customHeight="1">
      <c r="A12017" s="426"/>
    </row>
    <row r="12018" spans="1:1" s="427" customFormat="1" ht="12" hidden="1" customHeight="1">
      <c r="A12018" s="426"/>
    </row>
    <row r="12019" spans="1:1" s="427" customFormat="1" ht="12" hidden="1" customHeight="1">
      <c r="A12019" s="426"/>
    </row>
    <row r="12020" spans="1:1" s="427" customFormat="1" ht="12" hidden="1" customHeight="1">
      <c r="A12020" s="426"/>
    </row>
    <row r="12021" spans="1:1" s="427" customFormat="1" ht="12" hidden="1" customHeight="1">
      <c r="A12021" s="426"/>
    </row>
    <row r="12022" spans="1:1" s="427" customFormat="1" ht="12" hidden="1" customHeight="1">
      <c r="A12022" s="426"/>
    </row>
    <row r="12023" spans="1:1" s="427" customFormat="1" ht="12" hidden="1" customHeight="1">
      <c r="A12023" s="426"/>
    </row>
    <row r="12024" spans="1:1" s="427" customFormat="1" ht="12" hidden="1" customHeight="1">
      <c r="A12024" s="426"/>
    </row>
    <row r="12025" spans="1:1" s="427" customFormat="1" ht="12" hidden="1" customHeight="1">
      <c r="A12025" s="426"/>
    </row>
    <row r="12026" spans="1:1" s="427" customFormat="1" ht="12" hidden="1" customHeight="1">
      <c r="A12026" s="426"/>
    </row>
    <row r="12027" spans="1:1" s="427" customFormat="1" ht="12" hidden="1" customHeight="1">
      <c r="A12027" s="426"/>
    </row>
    <row r="12028" spans="1:1" s="427" customFormat="1" ht="12" hidden="1" customHeight="1">
      <c r="A12028" s="426"/>
    </row>
    <row r="12029" spans="1:1" s="427" customFormat="1" ht="12" hidden="1" customHeight="1">
      <c r="A12029" s="426"/>
    </row>
    <row r="12030" spans="1:1" s="427" customFormat="1" ht="12" hidden="1" customHeight="1">
      <c r="A12030" s="426"/>
    </row>
    <row r="12031" spans="1:1" s="427" customFormat="1" ht="12" hidden="1" customHeight="1">
      <c r="A12031" s="426"/>
    </row>
    <row r="12032" spans="1:1" s="427" customFormat="1" ht="12" hidden="1" customHeight="1">
      <c r="A12032" s="426"/>
    </row>
    <row r="12033" spans="1:1" s="427" customFormat="1" ht="12" hidden="1" customHeight="1">
      <c r="A12033" s="426"/>
    </row>
    <row r="12034" spans="1:1" s="427" customFormat="1" ht="12" hidden="1" customHeight="1">
      <c r="A12034" s="426"/>
    </row>
    <row r="12035" spans="1:1" s="427" customFormat="1" ht="12" hidden="1" customHeight="1">
      <c r="A12035" s="426"/>
    </row>
    <row r="12036" spans="1:1" s="427" customFormat="1" ht="12" hidden="1" customHeight="1">
      <c r="A12036" s="426"/>
    </row>
    <row r="12037" spans="1:1" s="427" customFormat="1" ht="12" hidden="1" customHeight="1">
      <c r="A12037" s="426"/>
    </row>
    <row r="12038" spans="1:1" s="427" customFormat="1" ht="12" hidden="1" customHeight="1">
      <c r="A12038" s="426"/>
    </row>
    <row r="12039" spans="1:1" s="427" customFormat="1" ht="12" hidden="1" customHeight="1">
      <c r="A12039" s="426"/>
    </row>
    <row r="12040" spans="1:1" s="427" customFormat="1" ht="12" hidden="1" customHeight="1">
      <c r="A12040" s="426"/>
    </row>
    <row r="12041" spans="1:1" s="427" customFormat="1" ht="12" hidden="1" customHeight="1">
      <c r="A12041" s="426"/>
    </row>
    <row r="12042" spans="1:1" s="427" customFormat="1" ht="12" hidden="1" customHeight="1">
      <c r="A12042" s="426"/>
    </row>
    <row r="12043" spans="1:1" s="427" customFormat="1" ht="12" hidden="1" customHeight="1">
      <c r="A12043" s="426"/>
    </row>
    <row r="12044" spans="1:1" s="427" customFormat="1" ht="12" hidden="1" customHeight="1">
      <c r="A12044" s="426"/>
    </row>
    <row r="12045" spans="1:1" s="427" customFormat="1" ht="12" hidden="1" customHeight="1">
      <c r="A12045" s="426"/>
    </row>
    <row r="12046" spans="1:1" s="427" customFormat="1" ht="12" hidden="1" customHeight="1">
      <c r="A12046" s="426"/>
    </row>
    <row r="12047" spans="1:1" s="427" customFormat="1" ht="12" hidden="1" customHeight="1">
      <c r="A12047" s="426"/>
    </row>
    <row r="12048" spans="1:1" s="427" customFormat="1" ht="12" hidden="1" customHeight="1">
      <c r="A12048" s="426"/>
    </row>
    <row r="12049" spans="1:1" s="427" customFormat="1" ht="12" hidden="1" customHeight="1">
      <c r="A12049" s="426"/>
    </row>
    <row r="12050" spans="1:1" s="427" customFormat="1" ht="12" hidden="1" customHeight="1">
      <c r="A12050" s="426"/>
    </row>
    <row r="12051" spans="1:1" s="427" customFormat="1" ht="12" hidden="1" customHeight="1">
      <c r="A12051" s="426"/>
    </row>
    <row r="12052" spans="1:1" s="427" customFormat="1" ht="12" hidden="1" customHeight="1">
      <c r="A12052" s="426"/>
    </row>
    <row r="12053" spans="1:1" s="427" customFormat="1" ht="12" hidden="1" customHeight="1">
      <c r="A12053" s="426"/>
    </row>
    <row r="12054" spans="1:1" s="427" customFormat="1" ht="12" hidden="1" customHeight="1">
      <c r="A12054" s="426"/>
    </row>
    <row r="12055" spans="1:1" s="427" customFormat="1" ht="12" hidden="1" customHeight="1">
      <c r="A12055" s="426"/>
    </row>
    <row r="12056" spans="1:1" s="427" customFormat="1" ht="12" hidden="1" customHeight="1">
      <c r="A12056" s="426"/>
    </row>
    <row r="12057" spans="1:1" s="427" customFormat="1" ht="12" hidden="1" customHeight="1">
      <c r="A12057" s="426"/>
    </row>
    <row r="12058" spans="1:1" s="427" customFormat="1" ht="12" hidden="1" customHeight="1">
      <c r="A12058" s="426"/>
    </row>
    <row r="12059" spans="1:1" s="427" customFormat="1" ht="12" hidden="1" customHeight="1">
      <c r="A12059" s="426"/>
    </row>
    <row r="12060" spans="1:1" s="427" customFormat="1" ht="12" hidden="1" customHeight="1">
      <c r="A12060" s="426"/>
    </row>
    <row r="12061" spans="1:1" s="427" customFormat="1" ht="12" hidden="1" customHeight="1">
      <c r="A12061" s="426"/>
    </row>
    <row r="12062" spans="1:1" s="427" customFormat="1" ht="12" hidden="1" customHeight="1">
      <c r="A12062" s="426"/>
    </row>
    <row r="12063" spans="1:1" s="427" customFormat="1" ht="12" hidden="1" customHeight="1">
      <c r="A12063" s="426"/>
    </row>
    <row r="12064" spans="1:1" s="427" customFormat="1" ht="12" hidden="1" customHeight="1">
      <c r="A12064" s="426"/>
    </row>
    <row r="12065" spans="1:1" s="427" customFormat="1" ht="12" hidden="1" customHeight="1">
      <c r="A12065" s="426"/>
    </row>
    <row r="12066" spans="1:1" s="427" customFormat="1" ht="12" hidden="1" customHeight="1">
      <c r="A12066" s="426"/>
    </row>
    <row r="12067" spans="1:1" s="427" customFormat="1" ht="12" hidden="1" customHeight="1">
      <c r="A12067" s="426"/>
    </row>
    <row r="12068" spans="1:1" s="427" customFormat="1" ht="12" hidden="1" customHeight="1">
      <c r="A12068" s="426"/>
    </row>
    <row r="12069" spans="1:1" s="427" customFormat="1" ht="12" hidden="1" customHeight="1">
      <c r="A12069" s="426"/>
    </row>
    <row r="12070" spans="1:1" s="427" customFormat="1" ht="12" hidden="1" customHeight="1">
      <c r="A12070" s="426"/>
    </row>
    <row r="12071" spans="1:1" s="427" customFormat="1" ht="12" hidden="1" customHeight="1">
      <c r="A12071" s="426"/>
    </row>
    <row r="12072" spans="1:1" s="427" customFormat="1" ht="12" hidden="1" customHeight="1">
      <c r="A12072" s="426"/>
    </row>
    <row r="12073" spans="1:1" s="427" customFormat="1" ht="12" hidden="1" customHeight="1">
      <c r="A12073" s="426"/>
    </row>
    <row r="12074" spans="1:1" s="427" customFormat="1" ht="12" hidden="1" customHeight="1">
      <c r="A12074" s="426"/>
    </row>
    <row r="12075" spans="1:1" s="427" customFormat="1" ht="12" hidden="1" customHeight="1">
      <c r="A12075" s="426"/>
    </row>
    <row r="12076" spans="1:1" s="427" customFormat="1" ht="12" hidden="1" customHeight="1">
      <c r="A12076" s="426"/>
    </row>
    <row r="12077" spans="1:1" s="427" customFormat="1" ht="12" hidden="1" customHeight="1">
      <c r="A12077" s="426"/>
    </row>
    <row r="12078" spans="1:1" s="427" customFormat="1" ht="12" hidden="1" customHeight="1">
      <c r="A12078" s="426"/>
    </row>
    <row r="12079" spans="1:1" s="427" customFormat="1" ht="12" hidden="1" customHeight="1">
      <c r="A12079" s="426"/>
    </row>
    <row r="12080" spans="1:1" s="427" customFormat="1" ht="12" hidden="1" customHeight="1">
      <c r="A12080" s="426"/>
    </row>
    <row r="12081" spans="1:1" s="427" customFormat="1" ht="12" hidden="1" customHeight="1">
      <c r="A12081" s="426"/>
    </row>
    <row r="12082" spans="1:1" s="427" customFormat="1" ht="12" hidden="1" customHeight="1">
      <c r="A12082" s="426"/>
    </row>
    <row r="12083" spans="1:1" s="427" customFormat="1" ht="12" hidden="1" customHeight="1">
      <c r="A12083" s="426"/>
    </row>
    <row r="12084" spans="1:1" s="427" customFormat="1" ht="12" hidden="1" customHeight="1">
      <c r="A12084" s="426"/>
    </row>
    <row r="12085" spans="1:1" s="427" customFormat="1" ht="12" hidden="1" customHeight="1">
      <c r="A12085" s="426"/>
    </row>
    <row r="12086" spans="1:1" s="427" customFormat="1" ht="12" hidden="1" customHeight="1">
      <c r="A12086" s="426"/>
    </row>
    <row r="12087" spans="1:1" s="427" customFormat="1" ht="12" hidden="1" customHeight="1">
      <c r="A12087" s="426"/>
    </row>
    <row r="12088" spans="1:1" s="427" customFormat="1" ht="12" hidden="1" customHeight="1">
      <c r="A12088" s="426"/>
    </row>
    <row r="12089" spans="1:1" s="427" customFormat="1" ht="12" hidden="1" customHeight="1">
      <c r="A12089" s="426"/>
    </row>
    <row r="12090" spans="1:1" s="427" customFormat="1" ht="12" hidden="1" customHeight="1">
      <c r="A12090" s="426"/>
    </row>
    <row r="12091" spans="1:1" s="427" customFormat="1" ht="12" hidden="1" customHeight="1">
      <c r="A12091" s="426"/>
    </row>
    <row r="12092" spans="1:1" s="427" customFormat="1" ht="12" hidden="1" customHeight="1">
      <c r="A12092" s="426"/>
    </row>
    <row r="12093" spans="1:1" s="427" customFormat="1" ht="12" hidden="1" customHeight="1">
      <c r="A12093" s="426"/>
    </row>
    <row r="12094" spans="1:1" s="427" customFormat="1" ht="12" hidden="1" customHeight="1">
      <c r="A12094" s="426"/>
    </row>
    <row r="12095" spans="1:1" s="427" customFormat="1" ht="12" hidden="1" customHeight="1">
      <c r="A12095" s="426"/>
    </row>
    <row r="12096" spans="1:1" s="427" customFormat="1" ht="12" hidden="1" customHeight="1">
      <c r="A12096" s="426"/>
    </row>
    <row r="12097" spans="1:1" s="427" customFormat="1" ht="12" hidden="1" customHeight="1">
      <c r="A12097" s="426"/>
    </row>
    <row r="12098" spans="1:1" s="427" customFormat="1" ht="12" hidden="1" customHeight="1">
      <c r="A12098" s="426"/>
    </row>
    <row r="12099" spans="1:1" s="427" customFormat="1" ht="12" hidden="1" customHeight="1">
      <c r="A12099" s="426"/>
    </row>
    <row r="12100" spans="1:1" s="427" customFormat="1" ht="12" hidden="1" customHeight="1">
      <c r="A12100" s="426"/>
    </row>
    <row r="12101" spans="1:1" s="427" customFormat="1" ht="12" hidden="1" customHeight="1">
      <c r="A12101" s="426"/>
    </row>
    <row r="12102" spans="1:1" s="427" customFormat="1" ht="12" hidden="1" customHeight="1">
      <c r="A12102" s="426"/>
    </row>
    <row r="12103" spans="1:1" s="427" customFormat="1" ht="12" hidden="1" customHeight="1">
      <c r="A12103" s="426"/>
    </row>
    <row r="12104" spans="1:1" s="427" customFormat="1" ht="12" hidden="1" customHeight="1">
      <c r="A12104" s="426"/>
    </row>
    <row r="12105" spans="1:1" s="427" customFormat="1" ht="12" hidden="1" customHeight="1">
      <c r="A12105" s="426"/>
    </row>
    <row r="12106" spans="1:1" s="427" customFormat="1" ht="12" hidden="1" customHeight="1">
      <c r="A12106" s="426"/>
    </row>
    <row r="12107" spans="1:1" s="427" customFormat="1" ht="12" hidden="1" customHeight="1">
      <c r="A12107" s="426"/>
    </row>
    <row r="12108" spans="1:1" s="427" customFormat="1" ht="12" hidden="1" customHeight="1">
      <c r="A12108" s="426"/>
    </row>
    <row r="12109" spans="1:1" s="427" customFormat="1" ht="12" hidden="1" customHeight="1">
      <c r="A12109" s="426"/>
    </row>
    <row r="12110" spans="1:1" s="427" customFormat="1" ht="12" hidden="1" customHeight="1">
      <c r="A12110" s="426"/>
    </row>
    <row r="12111" spans="1:1" s="427" customFormat="1" ht="12" hidden="1" customHeight="1">
      <c r="A12111" s="426"/>
    </row>
    <row r="12112" spans="1:1" s="427" customFormat="1" ht="12" hidden="1" customHeight="1">
      <c r="A12112" s="426"/>
    </row>
    <row r="12113" spans="1:1" s="427" customFormat="1" ht="12" hidden="1" customHeight="1">
      <c r="A12113" s="426"/>
    </row>
    <row r="12114" spans="1:1" s="427" customFormat="1" ht="12" hidden="1" customHeight="1">
      <c r="A12114" s="426"/>
    </row>
    <row r="12115" spans="1:1" s="427" customFormat="1" ht="12" hidden="1" customHeight="1">
      <c r="A12115" s="426"/>
    </row>
    <row r="12116" spans="1:1" s="427" customFormat="1" ht="12" hidden="1" customHeight="1">
      <c r="A12116" s="426"/>
    </row>
    <row r="12117" spans="1:1" s="427" customFormat="1" ht="12" hidden="1" customHeight="1">
      <c r="A12117" s="426"/>
    </row>
    <row r="12118" spans="1:1" s="427" customFormat="1" ht="12" hidden="1" customHeight="1">
      <c r="A12118" s="426"/>
    </row>
    <row r="12119" spans="1:1" s="427" customFormat="1" ht="12" hidden="1" customHeight="1">
      <c r="A12119" s="426"/>
    </row>
    <row r="12120" spans="1:1" s="427" customFormat="1" ht="12" hidden="1" customHeight="1">
      <c r="A12120" s="426"/>
    </row>
    <row r="12121" spans="1:1" s="427" customFormat="1" ht="12" hidden="1" customHeight="1">
      <c r="A12121" s="426"/>
    </row>
    <row r="12122" spans="1:1" s="427" customFormat="1" ht="12" hidden="1" customHeight="1">
      <c r="A12122" s="426"/>
    </row>
    <row r="12123" spans="1:1" s="427" customFormat="1" ht="12" hidden="1" customHeight="1">
      <c r="A12123" s="426"/>
    </row>
    <row r="12124" spans="1:1" s="427" customFormat="1" ht="12" hidden="1" customHeight="1">
      <c r="A12124" s="426"/>
    </row>
    <row r="12125" spans="1:1" s="427" customFormat="1" ht="12" hidden="1" customHeight="1">
      <c r="A12125" s="426"/>
    </row>
    <row r="12126" spans="1:1" s="427" customFormat="1" ht="12" hidden="1" customHeight="1">
      <c r="A12126" s="426"/>
    </row>
    <row r="12127" spans="1:1" s="427" customFormat="1" ht="12" hidden="1" customHeight="1">
      <c r="A12127" s="426"/>
    </row>
    <row r="12128" spans="1:1" s="427" customFormat="1" ht="12" hidden="1" customHeight="1">
      <c r="A12128" s="426"/>
    </row>
    <row r="12129" spans="1:1" s="427" customFormat="1" ht="12" hidden="1" customHeight="1">
      <c r="A12129" s="426"/>
    </row>
    <row r="12130" spans="1:1" s="427" customFormat="1" ht="12" hidden="1" customHeight="1">
      <c r="A12130" s="426"/>
    </row>
    <row r="12131" spans="1:1" s="427" customFormat="1" ht="12" hidden="1" customHeight="1">
      <c r="A12131" s="426"/>
    </row>
    <row r="12132" spans="1:1" s="427" customFormat="1" ht="12" hidden="1" customHeight="1">
      <c r="A12132" s="426"/>
    </row>
    <row r="12133" spans="1:1" s="427" customFormat="1" ht="12" hidden="1" customHeight="1">
      <c r="A12133" s="426"/>
    </row>
    <row r="12134" spans="1:1" s="427" customFormat="1" ht="12" hidden="1" customHeight="1">
      <c r="A12134" s="426"/>
    </row>
    <row r="12135" spans="1:1" s="427" customFormat="1" ht="12" hidden="1" customHeight="1">
      <c r="A12135" s="426"/>
    </row>
    <row r="12136" spans="1:1" s="427" customFormat="1" ht="12" hidden="1" customHeight="1">
      <c r="A12136" s="426"/>
    </row>
    <row r="12137" spans="1:1" s="427" customFormat="1" ht="12" hidden="1" customHeight="1">
      <c r="A12137" s="426"/>
    </row>
    <row r="12138" spans="1:1" s="427" customFormat="1" ht="12" hidden="1" customHeight="1">
      <c r="A12138" s="426"/>
    </row>
    <row r="12139" spans="1:1" s="427" customFormat="1" ht="12" hidden="1" customHeight="1">
      <c r="A12139" s="426"/>
    </row>
    <row r="12140" spans="1:1" s="427" customFormat="1" ht="12" hidden="1" customHeight="1">
      <c r="A12140" s="426"/>
    </row>
    <row r="12141" spans="1:1" s="427" customFormat="1" ht="12" hidden="1" customHeight="1">
      <c r="A12141" s="426"/>
    </row>
    <row r="12142" spans="1:1" s="427" customFormat="1" ht="12" hidden="1" customHeight="1">
      <c r="A12142" s="426"/>
    </row>
    <row r="12143" spans="1:1" s="427" customFormat="1" ht="12" hidden="1" customHeight="1">
      <c r="A12143" s="426"/>
    </row>
    <row r="12144" spans="1:1" s="427" customFormat="1" ht="12" hidden="1" customHeight="1">
      <c r="A12144" s="426"/>
    </row>
    <row r="12145" spans="1:1" s="427" customFormat="1" ht="12" hidden="1" customHeight="1">
      <c r="A12145" s="426"/>
    </row>
    <row r="12146" spans="1:1" s="427" customFormat="1" ht="12" hidden="1" customHeight="1">
      <c r="A12146" s="426"/>
    </row>
    <row r="12147" spans="1:1" s="427" customFormat="1" ht="12" hidden="1" customHeight="1">
      <c r="A12147" s="426"/>
    </row>
    <row r="12148" spans="1:1" s="427" customFormat="1" ht="12" hidden="1" customHeight="1">
      <c r="A12148" s="426"/>
    </row>
    <row r="12149" spans="1:1" s="427" customFormat="1" ht="12" hidden="1" customHeight="1">
      <c r="A12149" s="426"/>
    </row>
    <row r="12150" spans="1:1" s="427" customFormat="1" ht="12" hidden="1" customHeight="1">
      <c r="A12150" s="426"/>
    </row>
    <row r="12151" spans="1:1" s="427" customFormat="1" ht="12" hidden="1" customHeight="1">
      <c r="A12151" s="426"/>
    </row>
    <row r="12152" spans="1:1" s="427" customFormat="1" ht="12" hidden="1" customHeight="1">
      <c r="A12152" s="426"/>
    </row>
    <row r="12153" spans="1:1" s="427" customFormat="1" ht="12" hidden="1" customHeight="1">
      <c r="A12153" s="426"/>
    </row>
    <row r="12154" spans="1:1" s="427" customFormat="1" ht="12" hidden="1" customHeight="1">
      <c r="A12154" s="426"/>
    </row>
    <row r="12155" spans="1:1" s="427" customFormat="1" ht="12" hidden="1" customHeight="1">
      <c r="A12155" s="426"/>
    </row>
    <row r="12156" spans="1:1" s="427" customFormat="1" ht="12" hidden="1" customHeight="1">
      <c r="A12156" s="426"/>
    </row>
    <row r="12157" spans="1:1" s="427" customFormat="1" ht="12" hidden="1" customHeight="1">
      <c r="A12157" s="426"/>
    </row>
    <row r="12158" spans="1:1" s="427" customFormat="1" ht="12" hidden="1" customHeight="1">
      <c r="A12158" s="426"/>
    </row>
    <row r="12159" spans="1:1" s="427" customFormat="1" ht="12" hidden="1" customHeight="1">
      <c r="A12159" s="426"/>
    </row>
    <row r="12160" spans="1:1" s="427" customFormat="1" ht="12" hidden="1" customHeight="1">
      <c r="A12160" s="426"/>
    </row>
    <row r="12161" spans="1:1" s="427" customFormat="1" ht="12" hidden="1" customHeight="1">
      <c r="A12161" s="426"/>
    </row>
    <row r="12162" spans="1:1" s="427" customFormat="1" ht="12" hidden="1" customHeight="1">
      <c r="A12162" s="426"/>
    </row>
    <row r="12163" spans="1:1" s="427" customFormat="1" ht="12" hidden="1" customHeight="1">
      <c r="A12163" s="426"/>
    </row>
    <row r="12164" spans="1:1" s="427" customFormat="1" ht="12" hidden="1" customHeight="1">
      <c r="A12164" s="426"/>
    </row>
    <row r="12165" spans="1:1" s="427" customFormat="1" ht="12" hidden="1" customHeight="1">
      <c r="A12165" s="426"/>
    </row>
    <row r="12166" spans="1:1" s="427" customFormat="1" ht="12" hidden="1" customHeight="1">
      <c r="A12166" s="426"/>
    </row>
    <row r="12167" spans="1:1" s="427" customFormat="1" ht="12" hidden="1" customHeight="1">
      <c r="A12167" s="426"/>
    </row>
    <row r="12168" spans="1:1" s="427" customFormat="1" ht="12" hidden="1" customHeight="1">
      <c r="A12168" s="426"/>
    </row>
    <row r="12169" spans="1:1" s="427" customFormat="1" ht="12" hidden="1" customHeight="1">
      <c r="A12169" s="426"/>
    </row>
    <row r="12170" spans="1:1" s="427" customFormat="1" ht="12" hidden="1" customHeight="1">
      <c r="A12170" s="426"/>
    </row>
    <row r="12171" spans="1:1" s="427" customFormat="1" ht="12" hidden="1" customHeight="1">
      <c r="A12171" s="426"/>
    </row>
    <row r="12172" spans="1:1" s="427" customFormat="1" ht="12" hidden="1" customHeight="1">
      <c r="A12172" s="426"/>
    </row>
    <row r="12173" spans="1:1" s="427" customFormat="1" ht="12" hidden="1" customHeight="1">
      <c r="A12173" s="426"/>
    </row>
    <row r="12174" spans="1:1" s="427" customFormat="1" ht="12" hidden="1" customHeight="1">
      <c r="A12174" s="426"/>
    </row>
    <row r="12175" spans="1:1" s="427" customFormat="1" ht="12" hidden="1" customHeight="1">
      <c r="A12175" s="426"/>
    </row>
    <row r="12176" spans="1:1" s="427" customFormat="1" ht="12" hidden="1" customHeight="1">
      <c r="A12176" s="426"/>
    </row>
    <row r="12177" spans="1:1" s="427" customFormat="1" ht="12" hidden="1" customHeight="1">
      <c r="A12177" s="426"/>
    </row>
    <row r="12178" spans="1:1" s="427" customFormat="1" ht="12" hidden="1" customHeight="1">
      <c r="A12178" s="426"/>
    </row>
    <row r="12179" spans="1:1" s="427" customFormat="1" ht="12" hidden="1" customHeight="1">
      <c r="A12179" s="426"/>
    </row>
    <row r="12180" spans="1:1" s="427" customFormat="1" ht="12" hidden="1" customHeight="1">
      <c r="A12180" s="426"/>
    </row>
    <row r="12181" spans="1:1" s="427" customFormat="1" ht="12" hidden="1" customHeight="1">
      <c r="A12181" s="426"/>
    </row>
    <row r="12182" spans="1:1" s="427" customFormat="1" ht="12" hidden="1" customHeight="1">
      <c r="A12182" s="426"/>
    </row>
    <row r="12183" spans="1:1" s="427" customFormat="1" ht="12" hidden="1" customHeight="1">
      <c r="A12183" s="426"/>
    </row>
    <row r="12184" spans="1:1" s="427" customFormat="1" ht="12" hidden="1" customHeight="1">
      <c r="A12184" s="426"/>
    </row>
    <row r="12185" spans="1:1" s="427" customFormat="1" ht="12" hidden="1" customHeight="1">
      <c r="A12185" s="426"/>
    </row>
    <row r="12186" spans="1:1" s="427" customFormat="1" ht="12" hidden="1" customHeight="1">
      <c r="A12186" s="426"/>
    </row>
    <row r="12187" spans="1:1" s="427" customFormat="1" ht="12" hidden="1" customHeight="1">
      <c r="A12187" s="426"/>
    </row>
    <row r="12188" spans="1:1" s="427" customFormat="1" ht="12" hidden="1" customHeight="1">
      <c r="A12188" s="426"/>
    </row>
    <row r="12189" spans="1:1" s="427" customFormat="1" ht="12" hidden="1" customHeight="1">
      <c r="A12189" s="426"/>
    </row>
    <row r="12190" spans="1:1" s="427" customFormat="1" ht="12" hidden="1" customHeight="1">
      <c r="A12190" s="426"/>
    </row>
    <row r="12191" spans="1:1" s="427" customFormat="1" ht="12" hidden="1" customHeight="1">
      <c r="A12191" s="426"/>
    </row>
    <row r="12192" spans="1:1" s="427" customFormat="1" ht="12" hidden="1" customHeight="1">
      <c r="A12192" s="426"/>
    </row>
    <row r="12193" spans="1:1" s="427" customFormat="1" ht="12" hidden="1" customHeight="1">
      <c r="A12193" s="426"/>
    </row>
    <row r="12194" spans="1:1" s="427" customFormat="1" ht="12" hidden="1" customHeight="1">
      <c r="A12194" s="426"/>
    </row>
    <row r="12195" spans="1:1" s="427" customFormat="1" ht="12" hidden="1" customHeight="1">
      <c r="A12195" s="426"/>
    </row>
    <row r="12196" spans="1:1" s="427" customFormat="1" ht="12" hidden="1" customHeight="1">
      <c r="A12196" s="426"/>
    </row>
    <row r="12197" spans="1:1" s="427" customFormat="1" ht="12" hidden="1" customHeight="1">
      <c r="A12197" s="426"/>
    </row>
    <row r="12198" spans="1:1" s="427" customFormat="1" ht="12" hidden="1" customHeight="1">
      <c r="A12198" s="426"/>
    </row>
    <row r="12199" spans="1:1" s="427" customFormat="1" ht="12" hidden="1" customHeight="1">
      <c r="A12199" s="426"/>
    </row>
    <row r="12200" spans="1:1" s="427" customFormat="1" ht="12" hidden="1" customHeight="1">
      <c r="A12200" s="426"/>
    </row>
    <row r="12201" spans="1:1" s="427" customFormat="1" ht="12" hidden="1" customHeight="1">
      <c r="A12201" s="426"/>
    </row>
    <row r="12202" spans="1:1" s="427" customFormat="1" ht="12" hidden="1" customHeight="1">
      <c r="A12202" s="426"/>
    </row>
    <row r="12203" spans="1:1" s="427" customFormat="1" ht="12" hidden="1" customHeight="1">
      <c r="A12203" s="426"/>
    </row>
    <row r="12204" spans="1:1" s="427" customFormat="1" ht="12" hidden="1" customHeight="1">
      <c r="A12204" s="426"/>
    </row>
    <row r="12205" spans="1:1" s="427" customFormat="1" ht="12" hidden="1" customHeight="1">
      <c r="A12205" s="426"/>
    </row>
    <row r="12206" spans="1:1" s="427" customFormat="1" ht="12" hidden="1" customHeight="1">
      <c r="A12206" s="426"/>
    </row>
    <row r="12207" spans="1:1" s="427" customFormat="1" ht="12" hidden="1" customHeight="1">
      <c r="A12207" s="426"/>
    </row>
    <row r="12208" spans="1:1" s="427" customFormat="1" ht="12" hidden="1" customHeight="1">
      <c r="A12208" s="426"/>
    </row>
    <row r="12209" spans="1:1" s="427" customFormat="1" ht="12" hidden="1" customHeight="1">
      <c r="A12209" s="426"/>
    </row>
    <row r="12210" spans="1:1" s="427" customFormat="1" ht="12" hidden="1" customHeight="1">
      <c r="A12210" s="426"/>
    </row>
    <row r="12211" spans="1:1" s="427" customFormat="1" ht="12" hidden="1" customHeight="1">
      <c r="A12211" s="426"/>
    </row>
    <row r="12212" spans="1:1" s="427" customFormat="1" ht="12" hidden="1" customHeight="1">
      <c r="A12212" s="426"/>
    </row>
    <row r="12213" spans="1:1" s="427" customFormat="1" ht="12" hidden="1" customHeight="1">
      <c r="A12213" s="426"/>
    </row>
    <row r="12214" spans="1:1" s="427" customFormat="1" ht="12" hidden="1" customHeight="1">
      <c r="A12214" s="426"/>
    </row>
    <row r="12215" spans="1:1" s="427" customFormat="1" ht="12" hidden="1" customHeight="1">
      <c r="A12215" s="426"/>
    </row>
    <row r="12216" spans="1:1" s="427" customFormat="1" ht="12" hidden="1" customHeight="1">
      <c r="A12216" s="426"/>
    </row>
    <row r="12217" spans="1:1" s="427" customFormat="1" ht="12" hidden="1" customHeight="1">
      <c r="A12217" s="426"/>
    </row>
    <row r="12218" spans="1:1" s="427" customFormat="1" ht="12" hidden="1" customHeight="1">
      <c r="A12218" s="426"/>
    </row>
    <row r="12219" spans="1:1" s="427" customFormat="1" ht="12" hidden="1" customHeight="1">
      <c r="A12219" s="426"/>
    </row>
    <row r="12220" spans="1:1" s="427" customFormat="1" ht="12" hidden="1" customHeight="1">
      <c r="A12220" s="426"/>
    </row>
    <row r="12221" spans="1:1" s="427" customFormat="1" ht="12" hidden="1" customHeight="1">
      <c r="A12221" s="426"/>
    </row>
    <row r="12222" spans="1:1" s="427" customFormat="1" ht="12" hidden="1" customHeight="1">
      <c r="A12222" s="426"/>
    </row>
    <row r="12223" spans="1:1" s="427" customFormat="1" ht="12" hidden="1" customHeight="1">
      <c r="A12223" s="426"/>
    </row>
    <row r="12224" spans="1:1" s="427" customFormat="1" ht="12" hidden="1" customHeight="1">
      <c r="A12224" s="426"/>
    </row>
    <row r="12225" spans="1:1" s="427" customFormat="1" ht="12" hidden="1" customHeight="1">
      <c r="A12225" s="426"/>
    </row>
    <row r="12226" spans="1:1" s="427" customFormat="1" ht="12" hidden="1" customHeight="1">
      <c r="A12226" s="426"/>
    </row>
    <row r="12227" spans="1:1" s="427" customFormat="1" ht="12" hidden="1" customHeight="1">
      <c r="A12227" s="426"/>
    </row>
    <row r="12228" spans="1:1" s="427" customFormat="1" ht="12" hidden="1" customHeight="1">
      <c r="A12228" s="426"/>
    </row>
    <row r="12229" spans="1:1" s="427" customFormat="1" ht="12" hidden="1" customHeight="1">
      <c r="A12229" s="426"/>
    </row>
    <row r="12230" spans="1:1" s="427" customFormat="1" ht="12" hidden="1" customHeight="1">
      <c r="A12230" s="426"/>
    </row>
    <row r="12231" spans="1:1" s="427" customFormat="1" ht="12" hidden="1" customHeight="1">
      <c r="A12231" s="426"/>
    </row>
    <row r="12232" spans="1:1" s="427" customFormat="1" ht="12" hidden="1" customHeight="1">
      <c r="A12232" s="426"/>
    </row>
    <row r="12233" spans="1:1" s="427" customFormat="1" ht="12" hidden="1" customHeight="1">
      <c r="A12233" s="426"/>
    </row>
    <row r="12234" spans="1:1" s="427" customFormat="1" ht="12" hidden="1" customHeight="1">
      <c r="A12234" s="426"/>
    </row>
    <row r="12235" spans="1:1" s="427" customFormat="1" ht="12" hidden="1" customHeight="1">
      <c r="A12235" s="426"/>
    </row>
    <row r="12236" spans="1:1" s="427" customFormat="1" ht="12" hidden="1" customHeight="1">
      <c r="A12236" s="426"/>
    </row>
    <row r="12237" spans="1:1" s="427" customFormat="1" ht="12" hidden="1" customHeight="1">
      <c r="A12237" s="426"/>
    </row>
    <row r="12238" spans="1:1" s="427" customFormat="1" ht="12" hidden="1" customHeight="1">
      <c r="A12238" s="426"/>
    </row>
    <row r="12239" spans="1:1" s="427" customFormat="1" ht="12" hidden="1" customHeight="1">
      <c r="A12239" s="426"/>
    </row>
    <row r="12240" spans="1:1" s="427" customFormat="1" ht="12" hidden="1" customHeight="1">
      <c r="A12240" s="426"/>
    </row>
    <row r="12241" spans="1:1" s="427" customFormat="1" ht="12" hidden="1" customHeight="1">
      <c r="A12241" s="426"/>
    </row>
    <row r="12242" spans="1:1" s="427" customFormat="1" ht="12" hidden="1" customHeight="1">
      <c r="A12242" s="426"/>
    </row>
    <row r="12243" spans="1:1" s="427" customFormat="1" ht="12" hidden="1" customHeight="1">
      <c r="A12243" s="426"/>
    </row>
    <row r="12244" spans="1:1" s="427" customFormat="1" ht="12" hidden="1" customHeight="1">
      <c r="A12244" s="426"/>
    </row>
    <row r="12245" spans="1:1" s="427" customFormat="1" ht="12" hidden="1" customHeight="1">
      <c r="A12245" s="426"/>
    </row>
    <row r="12246" spans="1:1" s="427" customFormat="1" ht="12" hidden="1" customHeight="1">
      <c r="A12246" s="426"/>
    </row>
    <row r="12247" spans="1:1" s="427" customFormat="1" ht="12" hidden="1" customHeight="1">
      <c r="A12247" s="426"/>
    </row>
    <row r="12248" spans="1:1" s="427" customFormat="1" ht="12" hidden="1" customHeight="1">
      <c r="A12248" s="426"/>
    </row>
    <row r="12249" spans="1:1" s="427" customFormat="1" ht="12" hidden="1" customHeight="1">
      <c r="A12249" s="426"/>
    </row>
    <row r="12250" spans="1:1" s="427" customFormat="1" ht="12" hidden="1" customHeight="1">
      <c r="A12250" s="426"/>
    </row>
    <row r="12251" spans="1:1" s="427" customFormat="1" ht="12" hidden="1" customHeight="1">
      <c r="A12251" s="426"/>
    </row>
    <row r="12252" spans="1:1" s="427" customFormat="1" ht="12" hidden="1" customHeight="1">
      <c r="A12252" s="426"/>
    </row>
    <row r="12253" spans="1:1" s="427" customFormat="1" ht="12" hidden="1" customHeight="1">
      <c r="A12253" s="426"/>
    </row>
    <row r="12254" spans="1:1" s="427" customFormat="1" ht="12" hidden="1" customHeight="1">
      <c r="A12254" s="426"/>
    </row>
    <row r="12255" spans="1:1" s="427" customFormat="1" ht="12" hidden="1" customHeight="1">
      <c r="A12255" s="426"/>
    </row>
    <row r="12256" spans="1:1" s="427" customFormat="1" ht="12" hidden="1" customHeight="1">
      <c r="A12256" s="426"/>
    </row>
    <row r="12257" spans="1:1" s="427" customFormat="1" ht="12" hidden="1" customHeight="1">
      <c r="A12257" s="426"/>
    </row>
    <row r="12258" spans="1:1" s="427" customFormat="1" ht="12" hidden="1" customHeight="1">
      <c r="A12258" s="426"/>
    </row>
    <row r="12259" spans="1:1" s="427" customFormat="1" ht="12" hidden="1" customHeight="1">
      <c r="A12259" s="426"/>
    </row>
    <row r="12260" spans="1:1" s="427" customFormat="1" ht="12" hidden="1" customHeight="1">
      <c r="A12260" s="426"/>
    </row>
    <row r="12261" spans="1:1" s="427" customFormat="1" ht="12" hidden="1" customHeight="1">
      <c r="A12261" s="426"/>
    </row>
    <row r="12262" spans="1:1" s="427" customFormat="1" ht="12" hidden="1" customHeight="1">
      <c r="A12262" s="426"/>
    </row>
    <row r="12263" spans="1:1" s="427" customFormat="1" ht="12" hidden="1" customHeight="1">
      <c r="A12263" s="426"/>
    </row>
    <row r="12264" spans="1:1" s="427" customFormat="1" ht="12" hidden="1" customHeight="1">
      <c r="A12264" s="426"/>
    </row>
    <row r="12265" spans="1:1" s="427" customFormat="1" ht="12" hidden="1" customHeight="1">
      <c r="A12265" s="426"/>
    </row>
    <row r="12266" spans="1:1" s="427" customFormat="1" ht="12" hidden="1" customHeight="1">
      <c r="A12266" s="426"/>
    </row>
    <row r="12267" spans="1:1" s="427" customFormat="1" ht="12" hidden="1" customHeight="1">
      <c r="A12267" s="426"/>
    </row>
    <row r="12268" spans="1:1" s="427" customFormat="1" ht="12" hidden="1" customHeight="1">
      <c r="A12268" s="426"/>
    </row>
    <row r="12269" spans="1:1" s="427" customFormat="1" ht="12" hidden="1" customHeight="1">
      <c r="A12269" s="426"/>
    </row>
    <row r="12270" spans="1:1" s="427" customFormat="1" ht="12" hidden="1" customHeight="1">
      <c r="A12270" s="426"/>
    </row>
    <row r="12271" spans="1:1" s="427" customFormat="1" ht="12" hidden="1" customHeight="1">
      <c r="A12271" s="426"/>
    </row>
    <row r="12272" spans="1:1" s="427" customFormat="1" ht="12" hidden="1" customHeight="1">
      <c r="A12272" s="426"/>
    </row>
    <row r="12273" spans="1:1" s="427" customFormat="1" ht="12" hidden="1" customHeight="1">
      <c r="A12273" s="426"/>
    </row>
    <row r="12274" spans="1:1" s="427" customFormat="1" ht="12" hidden="1" customHeight="1">
      <c r="A12274" s="426"/>
    </row>
    <row r="12275" spans="1:1" s="427" customFormat="1" ht="12" hidden="1" customHeight="1">
      <c r="A12275" s="426"/>
    </row>
    <row r="12276" spans="1:1" s="427" customFormat="1" ht="12" hidden="1" customHeight="1">
      <c r="A12276" s="426"/>
    </row>
    <row r="12277" spans="1:1" s="427" customFormat="1" ht="12" hidden="1" customHeight="1">
      <c r="A12277" s="426"/>
    </row>
    <row r="12278" spans="1:1" s="427" customFormat="1" ht="12" hidden="1" customHeight="1">
      <c r="A12278" s="426"/>
    </row>
    <row r="12279" spans="1:1" s="427" customFormat="1" ht="12" hidden="1" customHeight="1">
      <c r="A12279" s="426"/>
    </row>
    <row r="12280" spans="1:1" s="427" customFormat="1" ht="12" hidden="1" customHeight="1">
      <c r="A12280" s="426"/>
    </row>
    <row r="12281" spans="1:1" s="427" customFormat="1" ht="12" hidden="1" customHeight="1">
      <c r="A12281" s="426"/>
    </row>
    <row r="12282" spans="1:1" s="427" customFormat="1" ht="12" hidden="1" customHeight="1">
      <c r="A12282" s="426"/>
    </row>
    <row r="12283" spans="1:1" s="427" customFormat="1" ht="12" hidden="1" customHeight="1">
      <c r="A12283" s="426"/>
    </row>
    <row r="12284" spans="1:1" s="427" customFormat="1" ht="12" hidden="1" customHeight="1">
      <c r="A12284" s="426"/>
    </row>
    <row r="12285" spans="1:1" s="427" customFormat="1" ht="12" hidden="1" customHeight="1">
      <c r="A12285" s="426"/>
    </row>
    <row r="12286" spans="1:1" s="427" customFormat="1" ht="12" hidden="1" customHeight="1">
      <c r="A12286" s="426"/>
    </row>
    <row r="12287" spans="1:1" s="427" customFormat="1" ht="12" hidden="1" customHeight="1">
      <c r="A12287" s="426"/>
    </row>
    <row r="12288" spans="1:1" s="427" customFormat="1" ht="12" hidden="1" customHeight="1">
      <c r="A12288" s="426"/>
    </row>
    <row r="12289" spans="1:1" s="427" customFormat="1" ht="12" hidden="1" customHeight="1">
      <c r="A12289" s="426"/>
    </row>
    <row r="12290" spans="1:1" s="427" customFormat="1" ht="12" hidden="1" customHeight="1">
      <c r="A12290" s="426"/>
    </row>
    <row r="12291" spans="1:1" s="427" customFormat="1" ht="12" hidden="1" customHeight="1">
      <c r="A12291" s="426"/>
    </row>
    <row r="12292" spans="1:1" s="427" customFormat="1" ht="12" hidden="1" customHeight="1">
      <c r="A12292" s="426"/>
    </row>
    <row r="12293" spans="1:1" s="427" customFormat="1" ht="12" hidden="1" customHeight="1">
      <c r="A12293" s="426"/>
    </row>
    <row r="12294" spans="1:1" s="427" customFormat="1" ht="12" hidden="1" customHeight="1">
      <c r="A12294" s="426"/>
    </row>
    <row r="12295" spans="1:1" s="427" customFormat="1" ht="12" hidden="1" customHeight="1">
      <c r="A12295" s="426"/>
    </row>
    <row r="12296" spans="1:1" s="427" customFormat="1" ht="12" hidden="1" customHeight="1">
      <c r="A12296" s="426"/>
    </row>
    <row r="12297" spans="1:1" s="427" customFormat="1" ht="12" hidden="1" customHeight="1">
      <c r="A12297" s="426"/>
    </row>
    <row r="12298" spans="1:1" s="427" customFormat="1" ht="12" hidden="1" customHeight="1">
      <c r="A12298" s="426"/>
    </row>
    <row r="12299" spans="1:1" s="427" customFormat="1" ht="12" hidden="1" customHeight="1">
      <c r="A12299" s="426"/>
    </row>
    <row r="12300" spans="1:1" s="427" customFormat="1" ht="12" hidden="1" customHeight="1">
      <c r="A12300" s="426"/>
    </row>
    <row r="12301" spans="1:1" s="427" customFormat="1" ht="12" hidden="1" customHeight="1">
      <c r="A12301" s="426"/>
    </row>
    <row r="12302" spans="1:1" s="427" customFormat="1" ht="12" hidden="1" customHeight="1">
      <c r="A12302" s="426"/>
    </row>
    <row r="12303" spans="1:1" s="427" customFormat="1" ht="12" hidden="1" customHeight="1">
      <c r="A12303" s="426"/>
    </row>
    <row r="12304" spans="1:1" s="427" customFormat="1" ht="12" hidden="1" customHeight="1">
      <c r="A12304" s="426"/>
    </row>
    <row r="12305" spans="1:1" s="427" customFormat="1" ht="12" hidden="1" customHeight="1">
      <c r="A12305" s="426"/>
    </row>
    <row r="12306" spans="1:1" s="427" customFormat="1" ht="12" hidden="1" customHeight="1">
      <c r="A12306" s="426"/>
    </row>
    <row r="12307" spans="1:1" s="427" customFormat="1" ht="12" hidden="1" customHeight="1">
      <c r="A12307" s="426"/>
    </row>
    <row r="12308" spans="1:1" s="427" customFormat="1" ht="12" hidden="1" customHeight="1">
      <c r="A12308" s="426"/>
    </row>
    <row r="12309" spans="1:1" s="427" customFormat="1" ht="12" hidden="1" customHeight="1">
      <c r="A12309" s="426"/>
    </row>
    <row r="12310" spans="1:1" s="427" customFormat="1" ht="12" hidden="1" customHeight="1">
      <c r="A12310" s="426"/>
    </row>
    <row r="12311" spans="1:1" s="427" customFormat="1" ht="12" hidden="1" customHeight="1">
      <c r="A12311" s="426"/>
    </row>
    <row r="12312" spans="1:1" s="427" customFormat="1" ht="12" hidden="1" customHeight="1">
      <c r="A12312" s="426"/>
    </row>
    <row r="12313" spans="1:1" s="427" customFormat="1" ht="12" hidden="1" customHeight="1">
      <c r="A12313" s="426"/>
    </row>
    <row r="12314" spans="1:1" s="427" customFormat="1" ht="12" hidden="1" customHeight="1">
      <c r="A12314" s="426"/>
    </row>
    <row r="12315" spans="1:1" s="427" customFormat="1" ht="12" hidden="1" customHeight="1">
      <c r="A12315" s="426"/>
    </row>
    <row r="12316" spans="1:1" s="427" customFormat="1" ht="12" hidden="1" customHeight="1">
      <c r="A12316" s="426"/>
    </row>
    <row r="12317" spans="1:1" s="427" customFormat="1" ht="12" hidden="1" customHeight="1">
      <c r="A12317" s="426"/>
    </row>
    <row r="12318" spans="1:1" s="427" customFormat="1" ht="12" hidden="1" customHeight="1">
      <c r="A12318" s="426"/>
    </row>
    <row r="12319" spans="1:1" s="427" customFormat="1" ht="12" hidden="1" customHeight="1">
      <c r="A12319" s="426"/>
    </row>
    <row r="12320" spans="1:1" s="427" customFormat="1" ht="12" hidden="1" customHeight="1">
      <c r="A12320" s="426"/>
    </row>
    <row r="12321" spans="1:1" s="427" customFormat="1" ht="12" hidden="1" customHeight="1">
      <c r="A12321" s="426"/>
    </row>
    <row r="12322" spans="1:1" s="427" customFormat="1" ht="12" hidden="1" customHeight="1">
      <c r="A12322" s="426"/>
    </row>
    <row r="12323" spans="1:1" s="427" customFormat="1" ht="12" hidden="1" customHeight="1">
      <c r="A12323" s="426"/>
    </row>
    <row r="12324" spans="1:1" s="427" customFormat="1" ht="12" hidden="1" customHeight="1">
      <c r="A12324" s="426"/>
    </row>
    <row r="12325" spans="1:1" s="427" customFormat="1" ht="12" hidden="1" customHeight="1">
      <c r="A12325" s="426"/>
    </row>
    <row r="12326" spans="1:1" s="427" customFormat="1" ht="12" hidden="1" customHeight="1">
      <c r="A12326" s="426"/>
    </row>
    <row r="12327" spans="1:1" s="427" customFormat="1" ht="12" hidden="1" customHeight="1">
      <c r="A12327" s="426"/>
    </row>
    <row r="12328" spans="1:1" s="427" customFormat="1" ht="12" hidden="1" customHeight="1">
      <c r="A12328" s="426"/>
    </row>
    <row r="12329" spans="1:1" s="427" customFormat="1" ht="12" hidden="1" customHeight="1">
      <c r="A12329" s="426"/>
    </row>
    <row r="12330" spans="1:1" s="427" customFormat="1" ht="12" hidden="1" customHeight="1">
      <c r="A12330" s="426"/>
    </row>
    <row r="12331" spans="1:1" s="427" customFormat="1" ht="12" hidden="1" customHeight="1">
      <c r="A12331" s="426"/>
    </row>
    <row r="12332" spans="1:1" s="427" customFormat="1" ht="12" hidden="1" customHeight="1">
      <c r="A12332" s="426"/>
    </row>
    <row r="12333" spans="1:1" s="427" customFormat="1" ht="12" hidden="1" customHeight="1">
      <c r="A12333" s="426"/>
    </row>
    <row r="12334" spans="1:1" s="427" customFormat="1" ht="12" hidden="1" customHeight="1">
      <c r="A12334" s="426"/>
    </row>
    <row r="12335" spans="1:1" s="427" customFormat="1" ht="12" hidden="1" customHeight="1">
      <c r="A12335" s="426"/>
    </row>
    <row r="12336" spans="1:1" s="427" customFormat="1" ht="12" hidden="1" customHeight="1">
      <c r="A12336" s="426"/>
    </row>
    <row r="12337" spans="1:1" s="427" customFormat="1" ht="12" hidden="1" customHeight="1">
      <c r="A12337" s="426"/>
    </row>
    <row r="12338" spans="1:1" s="427" customFormat="1" ht="12" hidden="1" customHeight="1">
      <c r="A12338" s="426"/>
    </row>
    <row r="12339" spans="1:1" s="427" customFormat="1" ht="12" hidden="1" customHeight="1">
      <c r="A12339" s="426"/>
    </row>
    <row r="12340" spans="1:1" s="427" customFormat="1" ht="12" hidden="1" customHeight="1">
      <c r="A12340" s="426"/>
    </row>
    <row r="12341" spans="1:1" s="427" customFormat="1" ht="12" hidden="1" customHeight="1">
      <c r="A12341" s="426"/>
    </row>
    <row r="12342" spans="1:1" s="427" customFormat="1" ht="12" hidden="1" customHeight="1">
      <c r="A12342" s="426"/>
    </row>
    <row r="12343" spans="1:1" s="427" customFormat="1" ht="12" hidden="1" customHeight="1">
      <c r="A12343" s="426"/>
    </row>
    <row r="12344" spans="1:1" s="427" customFormat="1" ht="12" hidden="1" customHeight="1">
      <c r="A12344" s="426"/>
    </row>
    <row r="12345" spans="1:1" s="427" customFormat="1" ht="12" hidden="1" customHeight="1">
      <c r="A12345" s="426"/>
    </row>
    <row r="12346" spans="1:1" s="427" customFormat="1" ht="12" hidden="1" customHeight="1">
      <c r="A12346" s="426"/>
    </row>
    <row r="12347" spans="1:1" s="427" customFormat="1" ht="12" hidden="1" customHeight="1">
      <c r="A12347" s="426"/>
    </row>
    <row r="12348" spans="1:1" s="427" customFormat="1" ht="12" hidden="1" customHeight="1">
      <c r="A12348" s="426"/>
    </row>
    <row r="12349" spans="1:1" s="427" customFormat="1" ht="12" hidden="1" customHeight="1">
      <c r="A12349" s="426"/>
    </row>
    <row r="12350" spans="1:1" s="427" customFormat="1" ht="12" hidden="1" customHeight="1">
      <c r="A12350" s="426"/>
    </row>
    <row r="12351" spans="1:1" s="427" customFormat="1" ht="12" hidden="1" customHeight="1">
      <c r="A12351" s="426"/>
    </row>
    <row r="12352" spans="1:1" s="427" customFormat="1" ht="12" hidden="1" customHeight="1">
      <c r="A12352" s="426"/>
    </row>
    <row r="12353" spans="1:1" s="427" customFormat="1" ht="12" hidden="1" customHeight="1">
      <c r="A12353" s="426"/>
    </row>
    <row r="12354" spans="1:1" s="427" customFormat="1" ht="12" hidden="1" customHeight="1">
      <c r="A12354" s="426"/>
    </row>
    <row r="12355" spans="1:1" s="427" customFormat="1" ht="12" hidden="1" customHeight="1">
      <c r="A12355" s="426"/>
    </row>
    <row r="12356" spans="1:1" s="427" customFormat="1" ht="12" hidden="1" customHeight="1">
      <c r="A12356" s="426"/>
    </row>
    <row r="12357" spans="1:1" s="427" customFormat="1" ht="12" hidden="1" customHeight="1">
      <c r="A12357" s="426"/>
    </row>
    <row r="12358" spans="1:1" s="427" customFormat="1" ht="12" hidden="1" customHeight="1">
      <c r="A12358" s="426"/>
    </row>
    <row r="12359" spans="1:1" s="427" customFormat="1" ht="12" hidden="1" customHeight="1">
      <c r="A12359" s="426"/>
    </row>
    <row r="12360" spans="1:1" s="427" customFormat="1" ht="12" hidden="1" customHeight="1">
      <c r="A12360" s="426"/>
    </row>
    <row r="12361" spans="1:1" s="427" customFormat="1" ht="12" hidden="1" customHeight="1">
      <c r="A12361" s="426"/>
    </row>
    <row r="12362" spans="1:1" s="427" customFormat="1" ht="12" hidden="1" customHeight="1">
      <c r="A12362" s="426"/>
    </row>
    <row r="12363" spans="1:1" s="427" customFormat="1" ht="12" hidden="1" customHeight="1">
      <c r="A12363" s="426"/>
    </row>
    <row r="12364" spans="1:1" s="427" customFormat="1" ht="12" hidden="1" customHeight="1">
      <c r="A12364" s="426"/>
    </row>
    <row r="12365" spans="1:1" s="427" customFormat="1" ht="12" hidden="1" customHeight="1">
      <c r="A12365" s="426"/>
    </row>
    <row r="12366" spans="1:1" s="427" customFormat="1" ht="12" hidden="1" customHeight="1">
      <c r="A12366" s="426"/>
    </row>
    <row r="12367" spans="1:1" s="427" customFormat="1" ht="12" hidden="1" customHeight="1">
      <c r="A12367" s="426"/>
    </row>
    <row r="12368" spans="1:1" s="427" customFormat="1" ht="12" hidden="1" customHeight="1">
      <c r="A12368" s="426"/>
    </row>
    <row r="12369" spans="1:1" s="427" customFormat="1" ht="12" hidden="1" customHeight="1">
      <c r="A12369" s="426"/>
    </row>
    <row r="12370" spans="1:1" s="427" customFormat="1" ht="12" hidden="1" customHeight="1">
      <c r="A12370" s="426"/>
    </row>
    <row r="12371" spans="1:1" s="427" customFormat="1" ht="12" hidden="1" customHeight="1">
      <c r="A12371" s="426"/>
    </row>
    <row r="12372" spans="1:1" s="427" customFormat="1" ht="12" hidden="1" customHeight="1">
      <c r="A12372" s="426"/>
    </row>
    <row r="12373" spans="1:1" s="427" customFormat="1" ht="12" hidden="1" customHeight="1">
      <c r="A12373" s="426"/>
    </row>
    <row r="12374" spans="1:1" s="427" customFormat="1" ht="12" hidden="1" customHeight="1">
      <c r="A12374" s="426"/>
    </row>
    <row r="12375" spans="1:1" s="427" customFormat="1" ht="12" hidden="1" customHeight="1">
      <c r="A12375" s="426"/>
    </row>
    <row r="12376" spans="1:1" s="427" customFormat="1" ht="12" hidden="1" customHeight="1">
      <c r="A12376" s="426"/>
    </row>
    <row r="12377" spans="1:1" s="427" customFormat="1" ht="12" hidden="1" customHeight="1">
      <c r="A12377" s="426"/>
    </row>
    <row r="12378" spans="1:1" s="427" customFormat="1" ht="12" hidden="1" customHeight="1">
      <c r="A12378" s="426"/>
    </row>
    <row r="12379" spans="1:1" s="427" customFormat="1" ht="12" hidden="1" customHeight="1">
      <c r="A12379" s="426"/>
    </row>
    <row r="12380" spans="1:1" s="427" customFormat="1" ht="12" hidden="1" customHeight="1">
      <c r="A12380" s="426"/>
    </row>
    <row r="12381" spans="1:1" s="427" customFormat="1" ht="12" hidden="1" customHeight="1">
      <c r="A12381" s="426"/>
    </row>
    <row r="12382" spans="1:1" s="427" customFormat="1" ht="12" hidden="1" customHeight="1">
      <c r="A12382" s="426"/>
    </row>
    <row r="12383" spans="1:1" s="427" customFormat="1" ht="12" hidden="1" customHeight="1">
      <c r="A12383" s="426"/>
    </row>
    <row r="12384" spans="1:1" s="427" customFormat="1" ht="12" hidden="1" customHeight="1">
      <c r="A12384" s="426"/>
    </row>
    <row r="12385" spans="1:1" s="427" customFormat="1" ht="12" hidden="1" customHeight="1">
      <c r="A12385" s="426"/>
    </row>
    <row r="12386" spans="1:1" s="427" customFormat="1" ht="12" hidden="1" customHeight="1">
      <c r="A12386" s="426"/>
    </row>
    <row r="12387" spans="1:1" s="427" customFormat="1" ht="12" hidden="1" customHeight="1">
      <c r="A12387" s="426"/>
    </row>
    <row r="12388" spans="1:1" s="427" customFormat="1" ht="12" hidden="1" customHeight="1">
      <c r="A12388" s="426"/>
    </row>
    <row r="12389" spans="1:1" s="427" customFormat="1" ht="12" hidden="1" customHeight="1">
      <c r="A12389" s="426"/>
    </row>
    <row r="12390" spans="1:1" s="427" customFormat="1" ht="12" hidden="1" customHeight="1">
      <c r="A12390" s="426"/>
    </row>
    <row r="12391" spans="1:1" s="427" customFormat="1" ht="12" hidden="1" customHeight="1">
      <c r="A12391" s="426"/>
    </row>
    <row r="12392" spans="1:1" s="427" customFormat="1" ht="12" hidden="1" customHeight="1">
      <c r="A12392" s="426"/>
    </row>
    <row r="12393" spans="1:1" s="427" customFormat="1" ht="12" hidden="1" customHeight="1">
      <c r="A12393" s="426"/>
    </row>
    <row r="12394" spans="1:1" s="427" customFormat="1" ht="12" hidden="1" customHeight="1">
      <c r="A12394" s="426"/>
    </row>
    <row r="12395" spans="1:1" s="427" customFormat="1" ht="12" hidden="1" customHeight="1">
      <c r="A12395" s="426"/>
    </row>
    <row r="12396" spans="1:1" s="427" customFormat="1" ht="12" hidden="1" customHeight="1">
      <c r="A12396" s="426"/>
    </row>
    <row r="12397" spans="1:1" s="427" customFormat="1" ht="12" hidden="1" customHeight="1">
      <c r="A12397" s="426"/>
    </row>
    <row r="12398" spans="1:1" s="427" customFormat="1" ht="12" hidden="1" customHeight="1">
      <c r="A12398" s="426"/>
    </row>
    <row r="12399" spans="1:1" s="427" customFormat="1" ht="12" hidden="1" customHeight="1">
      <c r="A12399" s="426"/>
    </row>
    <row r="12400" spans="1:1" s="427" customFormat="1" ht="12" hidden="1" customHeight="1">
      <c r="A12400" s="426"/>
    </row>
    <row r="12401" spans="1:1" s="427" customFormat="1" ht="12" hidden="1" customHeight="1">
      <c r="A12401" s="426"/>
    </row>
    <row r="12402" spans="1:1" s="427" customFormat="1" ht="12" hidden="1" customHeight="1">
      <c r="A12402" s="426"/>
    </row>
    <row r="12403" spans="1:1" s="427" customFormat="1" ht="12" hidden="1" customHeight="1">
      <c r="A12403" s="426"/>
    </row>
    <row r="12404" spans="1:1" s="427" customFormat="1" ht="12" hidden="1" customHeight="1">
      <c r="A12404" s="426"/>
    </row>
    <row r="12405" spans="1:1" s="427" customFormat="1" ht="12" hidden="1" customHeight="1">
      <c r="A12405" s="426"/>
    </row>
    <row r="12406" spans="1:1" s="427" customFormat="1" ht="12" hidden="1" customHeight="1">
      <c r="A12406" s="426"/>
    </row>
    <row r="12407" spans="1:1" s="427" customFormat="1" ht="12" hidden="1" customHeight="1">
      <c r="A12407" s="426"/>
    </row>
    <row r="12408" spans="1:1" s="427" customFormat="1" ht="12" hidden="1" customHeight="1">
      <c r="A12408" s="426"/>
    </row>
    <row r="12409" spans="1:1" s="427" customFormat="1" ht="12" hidden="1" customHeight="1">
      <c r="A12409" s="426"/>
    </row>
    <row r="12410" spans="1:1" s="427" customFormat="1" ht="12" hidden="1" customHeight="1">
      <c r="A12410" s="426"/>
    </row>
    <row r="12411" spans="1:1" s="427" customFormat="1" ht="12" hidden="1" customHeight="1">
      <c r="A12411" s="426"/>
    </row>
    <row r="12412" spans="1:1" s="427" customFormat="1" ht="12" hidden="1" customHeight="1">
      <c r="A12412" s="426"/>
    </row>
    <row r="12413" spans="1:1" s="427" customFormat="1" ht="12" hidden="1" customHeight="1">
      <c r="A12413" s="426"/>
    </row>
    <row r="12414" spans="1:1" s="427" customFormat="1" ht="12" hidden="1" customHeight="1">
      <c r="A12414" s="426"/>
    </row>
    <row r="12415" spans="1:1" s="427" customFormat="1" ht="12" hidden="1" customHeight="1">
      <c r="A12415" s="426"/>
    </row>
    <row r="12416" spans="1:1" s="427" customFormat="1" ht="12" hidden="1" customHeight="1">
      <c r="A12416" s="426"/>
    </row>
    <row r="12417" spans="1:1" s="427" customFormat="1" ht="12" hidden="1" customHeight="1">
      <c r="A12417" s="426"/>
    </row>
    <row r="12418" spans="1:1" s="427" customFormat="1" ht="12" hidden="1" customHeight="1">
      <c r="A12418" s="426"/>
    </row>
    <row r="12419" spans="1:1" s="427" customFormat="1" ht="12" hidden="1" customHeight="1">
      <c r="A12419" s="426"/>
    </row>
    <row r="12420" spans="1:1" s="427" customFormat="1" ht="12" hidden="1" customHeight="1">
      <c r="A12420" s="426"/>
    </row>
    <row r="12421" spans="1:1" s="427" customFormat="1" ht="12" hidden="1" customHeight="1">
      <c r="A12421" s="426"/>
    </row>
    <row r="12422" spans="1:1" s="427" customFormat="1" ht="12" hidden="1" customHeight="1">
      <c r="A12422" s="426"/>
    </row>
    <row r="12423" spans="1:1" s="427" customFormat="1" ht="12" hidden="1" customHeight="1">
      <c r="A12423" s="426"/>
    </row>
    <row r="12424" spans="1:1" s="427" customFormat="1" ht="12" hidden="1" customHeight="1">
      <c r="A12424" s="426"/>
    </row>
    <row r="12425" spans="1:1" s="427" customFormat="1" ht="12" hidden="1" customHeight="1">
      <c r="A12425" s="426"/>
    </row>
    <row r="12426" spans="1:1" s="427" customFormat="1" ht="12" hidden="1" customHeight="1">
      <c r="A12426" s="426"/>
    </row>
    <row r="12427" spans="1:1" s="427" customFormat="1" ht="12" hidden="1" customHeight="1">
      <c r="A12427" s="426"/>
    </row>
    <row r="12428" spans="1:1" s="427" customFormat="1" ht="12" hidden="1" customHeight="1">
      <c r="A12428" s="426"/>
    </row>
    <row r="12429" spans="1:1" s="427" customFormat="1" ht="12" hidden="1" customHeight="1">
      <c r="A12429" s="426"/>
    </row>
    <row r="12430" spans="1:1" s="427" customFormat="1" ht="12" hidden="1" customHeight="1">
      <c r="A12430" s="426"/>
    </row>
    <row r="12431" spans="1:1" s="427" customFormat="1" ht="12" hidden="1" customHeight="1">
      <c r="A12431" s="426"/>
    </row>
    <row r="12432" spans="1:1" s="427" customFormat="1" ht="12" hidden="1" customHeight="1">
      <c r="A12432" s="426"/>
    </row>
    <row r="12433" spans="1:1" s="427" customFormat="1" ht="12" hidden="1" customHeight="1">
      <c r="A12433" s="426"/>
    </row>
    <row r="12434" spans="1:1" s="427" customFormat="1" ht="12" hidden="1" customHeight="1">
      <c r="A12434" s="426"/>
    </row>
    <row r="12435" spans="1:1" s="427" customFormat="1" ht="12" hidden="1" customHeight="1">
      <c r="A12435" s="426"/>
    </row>
    <row r="12436" spans="1:1" s="427" customFormat="1" ht="12" hidden="1" customHeight="1">
      <c r="A12436" s="426"/>
    </row>
    <row r="12437" spans="1:1" s="427" customFormat="1" ht="12" hidden="1" customHeight="1">
      <c r="A12437" s="426"/>
    </row>
    <row r="12438" spans="1:1" s="427" customFormat="1" ht="12" hidden="1" customHeight="1">
      <c r="A12438" s="426"/>
    </row>
    <row r="12439" spans="1:1" s="427" customFormat="1" ht="12" hidden="1" customHeight="1">
      <c r="A12439" s="426"/>
    </row>
    <row r="12440" spans="1:1" s="427" customFormat="1" ht="12" hidden="1" customHeight="1">
      <c r="A12440" s="426"/>
    </row>
    <row r="12441" spans="1:1" s="427" customFormat="1" ht="12" hidden="1" customHeight="1">
      <c r="A12441" s="426"/>
    </row>
    <row r="12442" spans="1:1" s="427" customFormat="1" ht="12" hidden="1" customHeight="1">
      <c r="A12442" s="426"/>
    </row>
    <row r="12443" spans="1:1" s="427" customFormat="1" ht="12" hidden="1" customHeight="1">
      <c r="A12443" s="426"/>
    </row>
    <row r="12444" spans="1:1" s="427" customFormat="1" ht="12" hidden="1" customHeight="1">
      <c r="A12444" s="426"/>
    </row>
    <row r="12445" spans="1:1" s="427" customFormat="1" ht="12" hidden="1" customHeight="1">
      <c r="A12445" s="426"/>
    </row>
    <row r="12446" spans="1:1" s="427" customFormat="1" ht="12" hidden="1" customHeight="1">
      <c r="A12446" s="426"/>
    </row>
    <row r="12447" spans="1:1" s="427" customFormat="1" ht="12" hidden="1" customHeight="1">
      <c r="A12447" s="426"/>
    </row>
    <row r="12448" spans="1:1" s="427" customFormat="1" ht="12" hidden="1" customHeight="1">
      <c r="A12448" s="426"/>
    </row>
    <row r="12449" spans="1:1" s="427" customFormat="1" ht="12" hidden="1" customHeight="1">
      <c r="A12449" s="426"/>
    </row>
    <row r="12450" spans="1:1" s="427" customFormat="1" ht="12" hidden="1" customHeight="1">
      <c r="A12450" s="426"/>
    </row>
    <row r="12451" spans="1:1" s="427" customFormat="1" ht="12" hidden="1" customHeight="1">
      <c r="A12451" s="426"/>
    </row>
    <row r="12452" spans="1:1" s="427" customFormat="1" ht="12" hidden="1" customHeight="1">
      <c r="A12452" s="426"/>
    </row>
    <row r="12453" spans="1:1" s="427" customFormat="1" ht="12" hidden="1" customHeight="1">
      <c r="A12453" s="426"/>
    </row>
    <row r="12454" spans="1:1" s="427" customFormat="1" ht="12" hidden="1" customHeight="1">
      <c r="A12454" s="426"/>
    </row>
    <row r="12455" spans="1:1" s="427" customFormat="1" ht="12" hidden="1" customHeight="1">
      <c r="A12455" s="426"/>
    </row>
    <row r="12456" spans="1:1" s="427" customFormat="1" ht="12" hidden="1" customHeight="1">
      <c r="A12456" s="426"/>
    </row>
    <row r="12457" spans="1:1" s="427" customFormat="1" ht="12" hidden="1" customHeight="1">
      <c r="A12457" s="426"/>
    </row>
    <row r="12458" spans="1:1" s="427" customFormat="1" ht="12" hidden="1" customHeight="1">
      <c r="A12458" s="426"/>
    </row>
    <row r="12459" spans="1:1" s="427" customFormat="1" ht="12" hidden="1" customHeight="1">
      <c r="A12459" s="426"/>
    </row>
    <row r="12460" spans="1:1" s="427" customFormat="1" ht="12" hidden="1" customHeight="1">
      <c r="A12460" s="426"/>
    </row>
    <row r="12461" spans="1:1" s="427" customFormat="1" ht="12" hidden="1" customHeight="1">
      <c r="A12461" s="426"/>
    </row>
    <row r="12462" spans="1:1" s="427" customFormat="1" ht="12" hidden="1" customHeight="1">
      <c r="A12462" s="426"/>
    </row>
    <row r="12463" spans="1:1" s="427" customFormat="1" ht="12" hidden="1" customHeight="1">
      <c r="A12463" s="426"/>
    </row>
    <row r="12464" spans="1:1" s="427" customFormat="1" ht="12" hidden="1" customHeight="1">
      <c r="A12464" s="426"/>
    </row>
    <row r="12465" spans="1:1" s="427" customFormat="1" ht="12" hidden="1" customHeight="1">
      <c r="A12465" s="426"/>
    </row>
    <row r="12466" spans="1:1" s="427" customFormat="1" ht="12" hidden="1" customHeight="1">
      <c r="A12466" s="426"/>
    </row>
    <row r="12467" spans="1:1" s="427" customFormat="1" ht="12" hidden="1" customHeight="1">
      <c r="A12467" s="426"/>
    </row>
    <row r="12468" spans="1:1" s="427" customFormat="1" ht="12" hidden="1" customHeight="1">
      <c r="A12468" s="426"/>
    </row>
    <row r="12469" spans="1:1" s="427" customFormat="1" ht="12" hidden="1" customHeight="1">
      <c r="A12469" s="426"/>
    </row>
    <row r="12470" spans="1:1" s="427" customFormat="1" ht="12" hidden="1" customHeight="1">
      <c r="A12470" s="426"/>
    </row>
    <row r="12471" spans="1:1" s="427" customFormat="1" ht="12" hidden="1" customHeight="1">
      <c r="A12471" s="426"/>
    </row>
    <row r="12472" spans="1:1" s="427" customFormat="1" ht="12" hidden="1" customHeight="1">
      <c r="A12472" s="426"/>
    </row>
    <row r="12473" spans="1:1" s="427" customFormat="1" ht="12" hidden="1" customHeight="1">
      <c r="A12473" s="426"/>
    </row>
    <row r="12474" spans="1:1" s="427" customFormat="1" ht="12" hidden="1" customHeight="1">
      <c r="A12474" s="426"/>
    </row>
    <row r="12475" spans="1:1" s="427" customFormat="1" ht="12" hidden="1" customHeight="1">
      <c r="A12475" s="426"/>
    </row>
    <row r="12476" spans="1:1" s="427" customFormat="1" ht="12" hidden="1" customHeight="1">
      <c r="A12476" s="426"/>
    </row>
    <row r="12477" spans="1:1" s="427" customFormat="1" ht="12" hidden="1" customHeight="1">
      <c r="A12477" s="426"/>
    </row>
    <row r="12478" spans="1:1" s="427" customFormat="1" ht="12" hidden="1" customHeight="1">
      <c r="A12478" s="426"/>
    </row>
    <row r="12479" spans="1:1" s="427" customFormat="1" ht="12" hidden="1" customHeight="1">
      <c r="A12479" s="426"/>
    </row>
    <row r="12480" spans="1:1" s="427" customFormat="1" ht="12" hidden="1" customHeight="1">
      <c r="A12480" s="426"/>
    </row>
    <row r="12481" spans="1:1" s="427" customFormat="1" ht="12" hidden="1" customHeight="1">
      <c r="A12481" s="426"/>
    </row>
    <row r="12482" spans="1:1" s="427" customFormat="1" ht="12" hidden="1" customHeight="1">
      <c r="A12482" s="426"/>
    </row>
    <row r="12483" spans="1:1" s="427" customFormat="1" ht="12" hidden="1" customHeight="1">
      <c r="A12483" s="426"/>
    </row>
    <row r="12484" spans="1:1" s="427" customFormat="1" ht="12" hidden="1" customHeight="1">
      <c r="A12484" s="426"/>
    </row>
    <row r="12485" spans="1:1" s="427" customFormat="1" ht="12" hidden="1" customHeight="1">
      <c r="A12485" s="426"/>
    </row>
    <row r="12486" spans="1:1" s="427" customFormat="1" ht="12" hidden="1" customHeight="1">
      <c r="A12486" s="426"/>
    </row>
    <row r="12487" spans="1:1" s="427" customFormat="1" ht="12" hidden="1" customHeight="1">
      <c r="A12487" s="426"/>
    </row>
    <row r="12488" spans="1:1" s="427" customFormat="1" ht="12" hidden="1" customHeight="1">
      <c r="A12488" s="426"/>
    </row>
    <row r="12489" spans="1:1" s="427" customFormat="1" ht="12" hidden="1" customHeight="1">
      <c r="A12489" s="426"/>
    </row>
    <row r="12490" spans="1:1" s="427" customFormat="1" ht="12" hidden="1" customHeight="1">
      <c r="A12490" s="426"/>
    </row>
    <row r="12491" spans="1:1" s="427" customFormat="1" ht="12" hidden="1" customHeight="1">
      <c r="A12491" s="426"/>
    </row>
    <row r="12492" spans="1:1" s="427" customFormat="1" ht="12" hidden="1" customHeight="1">
      <c r="A12492" s="426"/>
    </row>
    <row r="12493" spans="1:1" s="427" customFormat="1" ht="12" hidden="1" customHeight="1">
      <c r="A12493" s="426"/>
    </row>
    <row r="12494" spans="1:1" s="427" customFormat="1" ht="12" hidden="1" customHeight="1">
      <c r="A12494" s="426"/>
    </row>
    <row r="12495" spans="1:1" s="427" customFormat="1" ht="12" hidden="1" customHeight="1">
      <c r="A12495" s="426"/>
    </row>
    <row r="12496" spans="1:1" s="427" customFormat="1" ht="12" hidden="1" customHeight="1">
      <c r="A12496" s="426"/>
    </row>
    <row r="12497" spans="1:1" s="427" customFormat="1" ht="12" hidden="1" customHeight="1">
      <c r="A12497" s="426"/>
    </row>
    <row r="12498" spans="1:1" s="427" customFormat="1" ht="12" hidden="1" customHeight="1">
      <c r="A12498" s="426"/>
    </row>
    <row r="12499" spans="1:1" s="427" customFormat="1" ht="12" hidden="1" customHeight="1">
      <c r="A12499" s="426"/>
    </row>
    <row r="12500" spans="1:1" s="427" customFormat="1" ht="12" hidden="1" customHeight="1">
      <c r="A12500" s="426"/>
    </row>
    <row r="12501" spans="1:1" s="427" customFormat="1" ht="12" hidden="1" customHeight="1">
      <c r="A12501" s="426"/>
    </row>
    <row r="12502" spans="1:1" s="427" customFormat="1" ht="12" hidden="1" customHeight="1">
      <c r="A12502" s="426"/>
    </row>
    <row r="12503" spans="1:1" s="427" customFormat="1" ht="12" hidden="1" customHeight="1">
      <c r="A12503" s="426"/>
    </row>
    <row r="12504" spans="1:1" s="427" customFormat="1" ht="12" hidden="1" customHeight="1">
      <c r="A12504" s="426"/>
    </row>
    <row r="12505" spans="1:1" s="427" customFormat="1" ht="12" hidden="1" customHeight="1">
      <c r="A12505" s="426"/>
    </row>
    <row r="12506" spans="1:1" s="427" customFormat="1" ht="12" hidden="1" customHeight="1">
      <c r="A12506" s="426"/>
    </row>
    <row r="12507" spans="1:1" s="427" customFormat="1" ht="12" hidden="1" customHeight="1">
      <c r="A12507" s="426"/>
    </row>
    <row r="12508" spans="1:1" s="427" customFormat="1" ht="12" hidden="1" customHeight="1">
      <c r="A12508" s="426"/>
    </row>
    <row r="12509" spans="1:1" s="427" customFormat="1" ht="12" hidden="1" customHeight="1">
      <c r="A12509" s="426"/>
    </row>
    <row r="12510" spans="1:1" s="427" customFormat="1" ht="12" hidden="1" customHeight="1">
      <c r="A12510" s="426"/>
    </row>
    <row r="12511" spans="1:1" s="427" customFormat="1" ht="12" hidden="1" customHeight="1">
      <c r="A12511" s="426"/>
    </row>
    <row r="12512" spans="1:1" s="427" customFormat="1" ht="12" hidden="1" customHeight="1">
      <c r="A12512" s="426"/>
    </row>
    <row r="12513" spans="1:1" s="427" customFormat="1" ht="12" hidden="1" customHeight="1">
      <c r="A12513" s="426"/>
    </row>
    <row r="12514" spans="1:1" s="427" customFormat="1" ht="12" hidden="1" customHeight="1">
      <c r="A12514" s="426"/>
    </row>
    <row r="12515" spans="1:1" s="427" customFormat="1" ht="12" hidden="1" customHeight="1">
      <c r="A12515" s="426"/>
    </row>
    <row r="12516" spans="1:1" s="427" customFormat="1" ht="12" hidden="1" customHeight="1">
      <c r="A12516" s="426"/>
    </row>
    <row r="12517" spans="1:1" s="427" customFormat="1" ht="12" hidden="1" customHeight="1">
      <c r="A12517" s="426"/>
    </row>
    <row r="12518" spans="1:1" s="427" customFormat="1" ht="12" hidden="1" customHeight="1">
      <c r="A12518" s="426"/>
    </row>
    <row r="12519" spans="1:1" s="427" customFormat="1" ht="12" hidden="1" customHeight="1">
      <c r="A12519" s="426"/>
    </row>
    <row r="12520" spans="1:1" s="427" customFormat="1" ht="12" hidden="1" customHeight="1">
      <c r="A12520" s="426"/>
    </row>
    <row r="12521" spans="1:1" s="427" customFormat="1" ht="12" hidden="1" customHeight="1">
      <c r="A12521" s="426"/>
    </row>
    <row r="12522" spans="1:1" s="427" customFormat="1" ht="12" hidden="1" customHeight="1">
      <c r="A12522" s="426"/>
    </row>
    <row r="12523" spans="1:1" s="427" customFormat="1" ht="12" hidden="1" customHeight="1">
      <c r="A12523" s="426"/>
    </row>
    <row r="12524" spans="1:1" s="427" customFormat="1" ht="12" hidden="1" customHeight="1">
      <c r="A12524" s="426"/>
    </row>
    <row r="12525" spans="1:1" s="427" customFormat="1" ht="12" hidden="1" customHeight="1">
      <c r="A12525" s="426"/>
    </row>
    <row r="12526" spans="1:1" s="427" customFormat="1" ht="12" hidden="1" customHeight="1">
      <c r="A12526" s="426"/>
    </row>
    <row r="12527" spans="1:1" s="427" customFormat="1" ht="12" hidden="1" customHeight="1">
      <c r="A12527" s="426"/>
    </row>
    <row r="12528" spans="1:1" s="427" customFormat="1" ht="12" hidden="1" customHeight="1">
      <c r="A12528" s="426"/>
    </row>
    <row r="12529" spans="1:1" s="427" customFormat="1" ht="12" hidden="1" customHeight="1">
      <c r="A12529" s="426"/>
    </row>
    <row r="12530" spans="1:1" s="427" customFormat="1" ht="12" hidden="1" customHeight="1">
      <c r="A12530" s="426"/>
    </row>
    <row r="12531" spans="1:1" s="427" customFormat="1" ht="12" hidden="1" customHeight="1">
      <c r="A12531" s="426"/>
    </row>
    <row r="12532" spans="1:1" s="427" customFormat="1" ht="12" hidden="1" customHeight="1">
      <c r="A12532" s="426"/>
    </row>
    <row r="12533" spans="1:1" s="427" customFormat="1" ht="12" hidden="1" customHeight="1">
      <c r="A12533" s="426"/>
    </row>
    <row r="12534" spans="1:1" s="427" customFormat="1" ht="12" hidden="1" customHeight="1">
      <c r="A12534" s="426"/>
    </row>
    <row r="12535" spans="1:1" s="427" customFormat="1" ht="12" hidden="1" customHeight="1">
      <c r="A12535" s="426"/>
    </row>
    <row r="12536" spans="1:1" s="427" customFormat="1" ht="12" hidden="1" customHeight="1">
      <c r="A12536" s="426"/>
    </row>
    <row r="12537" spans="1:1" s="427" customFormat="1" ht="12" hidden="1" customHeight="1">
      <c r="A12537" s="426"/>
    </row>
    <row r="12538" spans="1:1" s="427" customFormat="1" ht="12" hidden="1" customHeight="1">
      <c r="A12538" s="426"/>
    </row>
    <row r="12539" spans="1:1" s="427" customFormat="1" ht="12" hidden="1" customHeight="1">
      <c r="A12539" s="426"/>
    </row>
    <row r="12540" spans="1:1" s="427" customFormat="1" ht="12" hidden="1" customHeight="1">
      <c r="A12540" s="426"/>
    </row>
    <row r="12541" spans="1:1" s="427" customFormat="1" ht="12" hidden="1" customHeight="1">
      <c r="A12541" s="426"/>
    </row>
    <row r="12542" spans="1:1" s="427" customFormat="1" ht="12" hidden="1" customHeight="1">
      <c r="A12542" s="426"/>
    </row>
    <row r="12543" spans="1:1" s="427" customFormat="1" ht="12" hidden="1" customHeight="1">
      <c r="A12543" s="426"/>
    </row>
    <row r="12544" spans="1:1" s="427" customFormat="1" ht="12" hidden="1" customHeight="1">
      <c r="A12544" s="426"/>
    </row>
    <row r="12545" spans="1:1" s="427" customFormat="1" ht="12" hidden="1" customHeight="1">
      <c r="A12545" s="426"/>
    </row>
    <row r="12546" spans="1:1" s="427" customFormat="1" ht="12" hidden="1" customHeight="1">
      <c r="A12546" s="426"/>
    </row>
    <row r="12547" spans="1:1" s="427" customFormat="1" ht="12" hidden="1" customHeight="1">
      <c r="A12547" s="426"/>
    </row>
    <row r="12548" spans="1:1" s="427" customFormat="1" ht="12" hidden="1" customHeight="1">
      <c r="A12548" s="426"/>
    </row>
    <row r="12549" spans="1:1" s="427" customFormat="1" ht="12" hidden="1" customHeight="1">
      <c r="A12549" s="426"/>
    </row>
    <row r="12550" spans="1:1" s="427" customFormat="1" ht="12" hidden="1" customHeight="1">
      <c r="A12550" s="426"/>
    </row>
    <row r="12551" spans="1:1" s="427" customFormat="1" ht="12" hidden="1" customHeight="1">
      <c r="A12551" s="426"/>
    </row>
    <row r="12552" spans="1:1" s="427" customFormat="1" ht="12" hidden="1" customHeight="1">
      <c r="A12552" s="426"/>
    </row>
    <row r="12553" spans="1:1" s="427" customFormat="1" ht="12" hidden="1" customHeight="1">
      <c r="A12553" s="426"/>
    </row>
    <row r="12554" spans="1:1" s="427" customFormat="1" ht="12" hidden="1" customHeight="1">
      <c r="A12554" s="426"/>
    </row>
    <row r="12555" spans="1:1" s="427" customFormat="1" ht="12" hidden="1" customHeight="1">
      <c r="A12555" s="426"/>
    </row>
    <row r="12556" spans="1:1" s="427" customFormat="1" ht="12" hidden="1" customHeight="1">
      <c r="A12556" s="426"/>
    </row>
    <row r="12557" spans="1:1" s="427" customFormat="1" ht="12" hidden="1" customHeight="1">
      <c r="A12557" s="426"/>
    </row>
    <row r="12558" spans="1:1" s="427" customFormat="1" ht="12" hidden="1" customHeight="1">
      <c r="A12558" s="426"/>
    </row>
    <row r="12559" spans="1:1" s="427" customFormat="1" ht="12" hidden="1" customHeight="1">
      <c r="A12559" s="426"/>
    </row>
    <row r="12560" spans="1:1" s="427" customFormat="1" ht="12" hidden="1" customHeight="1">
      <c r="A12560" s="426"/>
    </row>
    <row r="12561" spans="1:1" s="427" customFormat="1" ht="12" hidden="1" customHeight="1">
      <c r="A12561" s="426"/>
    </row>
    <row r="12562" spans="1:1" s="427" customFormat="1" ht="12" hidden="1" customHeight="1">
      <c r="A12562" s="426"/>
    </row>
    <row r="12563" spans="1:1" s="427" customFormat="1" ht="12" hidden="1" customHeight="1">
      <c r="A12563" s="426"/>
    </row>
    <row r="12564" spans="1:1" s="427" customFormat="1" ht="12" hidden="1" customHeight="1">
      <c r="A12564" s="426"/>
    </row>
    <row r="12565" spans="1:1" s="427" customFormat="1" ht="12" hidden="1" customHeight="1">
      <c r="A12565" s="426"/>
    </row>
    <row r="12566" spans="1:1" s="427" customFormat="1" ht="12" hidden="1" customHeight="1">
      <c r="A12566" s="426"/>
    </row>
    <row r="12567" spans="1:1" s="427" customFormat="1" ht="12" hidden="1" customHeight="1">
      <c r="A12567" s="426"/>
    </row>
    <row r="12568" spans="1:1" s="427" customFormat="1" ht="12" hidden="1" customHeight="1">
      <c r="A12568" s="426"/>
    </row>
    <row r="12569" spans="1:1" s="427" customFormat="1" ht="12" hidden="1" customHeight="1">
      <c r="A12569" s="426"/>
    </row>
    <row r="12570" spans="1:1" s="427" customFormat="1" ht="12" hidden="1" customHeight="1">
      <c r="A12570" s="426"/>
    </row>
    <row r="12571" spans="1:1" s="427" customFormat="1" ht="12" hidden="1" customHeight="1">
      <c r="A12571" s="426"/>
    </row>
    <row r="12572" spans="1:1" s="427" customFormat="1" ht="12" hidden="1" customHeight="1">
      <c r="A12572" s="426"/>
    </row>
    <row r="12573" spans="1:1" s="427" customFormat="1" ht="12" hidden="1" customHeight="1">
      <c r="A12573" s="426"/>
    </row>
    <row r="12574" spans="1:1" s="427" customFormat="1" ht="12" hidden="1" customHeight="1">
      <c r="A12574" s="426"/>
    </row>
    <row r="12575" spans="1:1" s="427" customFormat="1" ht="12" hidden="1" customHeight="1">
      <c r="A12575" s="426"/>
    </row>
    <row r="12576" spans="1:1" s="427" customFormat="1" ht="12" hidden="1" customHeight="1">
      <c r="A12576" s="426"/>
    </row>
    <row r="12577" spans="1:1" s="427" customFormat="1" ht="12" hidden="1" customHeight="1">
      <c r="A12577" s="426"/>
    </row>
    <row r="12578" spans="1:1" s="427" customFormat="1" ht="12" hidden="1" customHeight="1">
      <c r="A12578" s="426"/>
    </row>
    <row r="12579" spans="1:1" s="427" customFormat="1" ht="12" hidden="1" customHeight="1">
      <c r="A12579" s="426"/>
    </row>
    <row r="12580" spans="1:1" s="427" customFormat="1" ht="12" hidden="1" customHeight="1">
      <c r="A12580" s="426"/>
    </row>
    <row r="12581" spans="1:1" s="427" customFormat="1" ht="12" hidden="1" customHeight="1">
      <c r="A12581" s="426"/>
    </row>
    <row r="12582" spans="1:1" s="427" customFormat="1" ht="12" hidden="1" customHeight="1">
      <c r="A12582" s="426"/>
    </row>
    <row r="12583" spans="1:1" s="427" customFormat="1" ht="12" hidden="1" customHeight="1">
      <c r="A12583" s="426"/>
    </row>
    <row r="12584" spans="1:1" s="427" customFormat="1" ht="12" hidden="1" customHeight="1">
      <c r="A12584" s="426"/>
    </row>
    <row r="12585" spans="1:1" s="427" customFormat="1" ht="12" hidden="1" customHeight="1">
      <c r="A12585" s="426"/>
    </row>
    <row r="12586" spans="1:1" s="427" customFormat="1" ht="12" hidden="1" customHeight="1">
      <c r="A12586" s="426"/>
    </row>
    <row r="12587" spans="1:1" s="427" customFormat="1" ht="12" hidden="1" customHeight="1">
      <c r="A12587" s="426"/>
    </row>
    <row r="12588" spans="1:1" s="427" customFormat="1" ht="12" hidden="1" customHeight="1">
      <c r="A12588" s="426"/>
    </row>
    <row r="12589" spans="1:1" s="427" customFormat="1" ht="12" hidden="1" customHeight="1">
      <c r="A12589" s="426"/>
    </row>
    <row r="12590" spans="1:1" s="427" customFormat="1" ht="12" hidden="1" customHeight="1">
      <c r="A12590" s="426"/>
    </row>
    <row r="12591" spans="1:1" s="427" customFormat="1" ht="12" hidden="1" customHeight="1">
      <c r="A12591" s="426"/>
    </row>
    <row r="12592" spans="1:1" s="427" customFormat="1" ht="12" hidden="1" customHeight="1">
      <c r="A12592" s="426"/>
    </row>
    <row r="12593" spans="1:1" s="427" customFormat="1" ht="12" hidden="1" customHeight="1">
      <c r="A12593" s="426"/>
    </row>
    <row r="12594" spans="1:1" s="427" customFormat="1" ht="12" hidden="1" customHeight="1">
      <c r="A12594" s="426"/>
    </row>
    <row r="12595" spans="1:1" s="427" customFormat="1" ht="12" hidden="1" customHeight="1">
      <c r="A12595" s="426"/>
    </row>
    <row r="12596" spans="1:1" s="427" customFormat="1" ht="12" hidden="1" customHeight="1">
      <c r="A12596" s="426"/>
    </row>
    <row r="12597" spans="1:1" s="427" customFormat="1" ht="12" hidden="1" customHeight="1">
      <c r="A12597" s="426"/>
    </row>
    <row r="12598" spans="1:1" s="427" customFormat="1" ht="12" hidden="1" customHeight="1">
      <c r="A12598" s="426"/>
    </row>
    <row r="12599" spans="1:1" s="427" customFormat="1" ht="12" hidden="1" customHeight="1">
      <c r="A12599" s="426"/>
    </row>
    <row r="12600" spans="1:1" s="427" customFormat="1" ht="12" hidden="1" customHeight="1">
      <c r="A12600" s="426"/>
    </row>
    <row r="12601" spans="1:1" s="427" customFormat="1" ht="12" hidden="1" customHeight="1">
      <c r="A12601" s="426"/>
    </row>
    <row r="12602" spans="1:1" s="427" customFormat="1" ht="12" hidden="1" customHeight="1">
      <c r="A12602" s="426"/>
    </row>
    <row r="12603" spans="1:1" s="427" customFormat="1" ht="12" hidden="1" customHeight="1">
      <c r="A12603" s="426"/>
    </row>
    <row r="12604" spans="1:1" s="427" customFormat="1" ht="12" hidden="1" customHeight="1">
      <c r="A12604" s="426"/>
    </row>
    <row r="12605" spans="1:1" s="427" customFormat="1" ht="12" hidden="1" customHeight="1">
      <c r="A12605" s="426"/>
    </row>
    <row r="12606" spans="1:1" s="427" customFormat="1" ht="12" hidden="1" customHeight="1">
      <c r="A12606" s="426"/>
    </row>
    <row r="12607" spans="1:1" s="427" customFormat="1" ht="12" hidden="1" customHeight="1">
      <c r="A12607" s="426"/>
    </row>
    <row r="12608" spans="1:1" s="427" customFormat="1" ht="12" hidden="1" customHeight="1">
      <c r="A12608" s="426"/>
    </row>
    <row r="12609" spans="1:1" s="427" customFormat="1" ht="12" hidden="1" customHeight="1">
      <c r="A12609" s="426"/>
    </row>
    <row r="12610" spans="1:1" s="427" customFormat="1" ht="12" hidden="1" customHeight="1">
      <c r="A12610" s="426"/>
    </row>
    <row r="12611" spans="1:1" s="427" customFormat="1" ht="12" hidden="1" customHeight="1">
      <c r="A12611" s="426"/>
    </row>
    <row r="12612" spans="1:1" s="427" customFormat="1" ht="12" hidden="1" customHeight="1">
      <c r="A12612" s="426"/>
    </row>
    <row r="12613" spans="1:1" s="427" customFormat="1" ht="12" hidden="1" customHeight="1">
      <c r="A12613" s="426"/>
    </row>
    <row r="12614" spans="1:1" s="427" customFormat="1" ht="12" hidden="1" customHeight="1">
      <c r="A12614" s="426"/>
    </row>
    <row r="12615" spans="1:1" s="427" customFormat="1" ht="12" hidden="1" customHeight="1">
      <c r="A12615" s="426"/>
    </row>
    <row r="12616" spans="1:1" s="427" customFormat="1" ht="12" hidden="1" customHeight="1">
      <c r="A12616" s="426"/>
    </row>
    <row r="12617" spans="1:1" s="427" customFormat="1" ht="12" hidden="1" customHeight="1">
      <c r="A12617" s="426"/>
    </row>
    <row r="12618" spans="1:1" s="427" customFormat="1" ht="12" hidden="1" customHeight="1">
      <c r="A12618" s="426"/>
    </row>
    <row r="12619" spans="1:1" s="427" customFormat="1" ht="12" hidden="1" customHeight="1">
      <c r="A12619" s="426"/>
    </row>
    <row r="12620" spans="1:1" s="427" customFormat="1" ht="12" hidden="1" customHeight="1">
      <c r="A12620" s="426"/>
    </row>
    <row r="12621" spans="1:1" s="427" customFormat="1" ht="12" hidden="1" customHeight="1">
      <c r="A12621" s="426"/>
    </row>
    <row r="12622" spans="1:1" s="427" customFormat="1" ht="12" hidden="1" customHeight="1">
      <c r="A12622" s="426"/>
    </row>
    <row r="12623" spans="1:1" s="427" customFormat="1" ht="12" hidden="1" customHeight="1">
      <c r="A12623" s="426"/>
    </row>
    <row r="12624" spans="1:1" s="427" customFormat="1" ht="12" hidden="1" customHeight="1">
      <c r="A12624" s="426"/>
    </row>
    <row r="12625" spans="1:1" s="427" customFormat="1" ht="12" hidden="1" customHeight="1">
      <c r="A12625" s="426"/>
    </row>
    <row r="12626" spans="1:1" s="427" customFormat="1" ht="12" hidden="1" customHeight="1">
      <c r="A12626" s="426"/>
    </row>
    <row r="12627" spans="1:1" s="427" customFormat="1" ht="12" hidden="1" customHeight="1">
      <c r="A12627" s="426"/>
    </row>
    <row r="12628" spans="1:1" s="427" customFormat="1" ht="12" hidden="1" customHeight="1">
      <c r="A12628" s="426"/>
    </row>
    <row r="12629" spans="1:1" s="427" customFormat="1" ht="12" hidden="1" customHeight="1">
      <c r="A12629" s="426"/>
    </row>
    <row r="12630" spans="1:1" s="427" customFormat="1" ht="12" hidden="1" customHeight="1">
      <c r="A12630" s="426"/>
    </row>
    <row r="12631" spans="1:1" s="427" customFormat="1" ht="12" hidden="1" customHeight="1">
      <c r="A12631" s="426"/>
    </row>
    <row r="12632" spans="1:1" s="427" customFormat="1" ht="12" hidden="1" customHeight="1">
      <c r="A12632" s="426"/>
    </row>
    <row r="12633" spans="1:1" s="427" customFormat="1" ht="12" hidden="1" customHeight="1">
      <c r="A12633" s="426"/>
    </row>
    <row r="12634" spans="1:1" s="427" customFormat="1" ht="12" hidden="1" customHeight="1">
      <c r="A12634" s="426"/>
    </row>
    <row r="12635" spans="1:1" s="427" customFormat="1" ht="12" hidden="1" customHeight="1">
      <c r="A12635" s="426"/>
    </row>
    <row r="12636" spans="1:1" s="427" customFormat="1" ht="12" hidden="1" customHeight="1">
      <c r="A12636" s="426"/>
    </row>
    <row r="12637" spans="1:1" s="427" customFormat="1" ht="12" hidden="1" customHeight="1">
      <c r="A12637" s="426"/>
    </row>
    <row r="12638" spans="1:1" s="427" customFormat="1" ht="12" hidden="1" customHeight="1">
      <c r="A12638" s="426"/>
    </row>
    <row r="12639" spans="1:1" s="427" customFormat="1" ht="12" hidden="1" customHeight="1">
      <c r="A12639" s="426"/>
    </row>
    <row r="12640" spans="1:1" s="427" customFormat="1" ht="12" hidden="1" customHeight="1">
      <c r="A12640" s="426"/>
    </row>
    <row r="12641" spans="1:1" s="427" customFormat="1" ht="12" hidden="1" customHeight="1">
      <c r="A12641" s="426"/>
    </row>
    <row r="12642" spans="1:1" s="427" customFormat="1" ht="12" hidden="1" customHeight="1">
      <c r="A12642" s="426"/>
    </row>
    <row r="12643" spans="1:1" s="427" customFormat="1" ht="12" hidden="1" customHeight="1">
      <c r="A12643" s="426"/>
    </row>
    <row r="12644" spans="1:1" s="427" customFormat="1" ht="12" hidden="1" customHeight="1">
      <c r="A12644" s="426"/>
    </row>
    <row r="12645" spans="1:1" s="427" customFormat="1" ht="12" hidden="1" customHeight="1">
      <c r="A12645" s="426"/>
    </row>
    <row r="12646" spans="1:1" s="427" customFormat="1" ht="12" hidden="1" customHeight="1">
      <c r="A12646" s="426"/>
    </row>
    <row r="12647" spans="1:1" s="427" customFormat="1" ht="12" hidden="1" customHeight="1">
      <c r="A12647" s="426"/>
    </row>
    <row r="12648" spans="1:1" s="427" customFormat="1" ht="12" hidden="1" customHeight="1">
      <c r="A12648" s="426"/>
    </row>
    <row r="12649" spans="1:1" s="427" customFormat="1" ht="12" hidden="1" customHeight="1">
      <c r="A12649" s="426"/>
    </row>
    <row r="12650" spans="1:1" s="427" customFormat="1" ht="12" hidden="1" customHeight="1">
      <c r="A12650" s="426"/>
    </row>
    <row r="12651" spans="1:1" s="427" customFormat="1" ht="12" hidden="1" customHeight="1">
      <c r="A12651" s="426"/>
    </row>
    <row r="12652" spans="1:1" s="427" customFormat="1" ht="12" hidden="1" customHeight="1">
      <c r="A12652" s="426"/>
    </row>
    <row r="12653" spans="1:1" s="427" customFormat="1" ht="12" hidden="1" customHeight="1">
      <c r="A12653" s="426"/>
    </row>
    <row r="12654" spans="1:1" s="427" customFormat="1" ht="12" hidden="1" customHeight="1">
      <c r="A12654" s="426"/>
    </row>
    <row r="12655" spans="1:1" s="427" customFormat="1" ht="12" hidden="1" customHeight="1">
      <c r="A12655" s="426"/>
    </row>
    <row r="12656" spans="1:1" s="427" customFormat="1" ht="12" hidden="1" customHeight="1">
      <c r="A12656" s="426"/>
    </row>
    <row r="12657" spans="1:1" s="427" customFormat="1" ht="12" hidden="1" customHeight="1">
      <c r="A12657" s="426"/>
    </row>
    <row r="12658" spans="1:1" s="427" customFormat="1" ht="12" hidden="1" customHeight="1">
      <c r="A12658" s="426"/>
    </row>
    <row r="12659" spans="1:1" s="427" customFormat="1" ht="12" hidden="1" customHeight="1">
      <c r="A12659" s="426"/>
    </row>
    <row r="12660" spans="1:1" s="427" customFormat="1" ht="12" hidden="1" customHeight="1">
      <c r="A12660" s="426"/>
    </row>
    <row r="12661" spans="1:1" s="427" customFormat="1" ht="12" hidden="1" customHeight="1">
      <c r="A12661" s="426"/>
    </row>
    <row r="12662" spans="1:1" s="427" customFormat="1" ht="12" hidden="1" customHeight="1">
      <c r="A12662" s="426"/>
    </row>
    <row r="12663" spans="1:1" s="427" customFormat="1" ht="12" hidden="1" customHeight="1">
      <c r="A12663" s="426"/>
    </row>
    <row r="12664" spans="1:1" s="427" customFormat="1" ht="12" hidden="1" customHeight="1">
      <c r="A12664" s="426"/>
    </row>
    <row r="12665" spans="1:1" s="427" customFormat="1" ht="12" hidden="1" customHeight="1">
      <c r="A12665" s="426"/>
    </row>
    <row r="12666" spans="1:1" s="427" customFormat="1" ht="12" hidden="1" customHeight="1">
      <c r="A12666" s="426"/>
    </row>
    <row r="12667" spans="1:1" s="427" customFormat="1" ht="12" hidden="1" customHeight="1">
      <c r="A12667" s="426"/>
    </row>
    <row r="12668" spans="1:1" s="427" customFormat="1" ht="12" hidden="1" customHeight="1">
      <c r="A12668" s="426"/>
    </row>
    <row r="12669" spans="1:1" s="427" customFormat="1" ht="12" hidden="1" customHeight="1">
      <c r="A12669" s="426"/>
    </row>
    <row r="12670" spans="1:1" s="427" customFormat="1" ht="12" hidden="1" customHeight="1">
      <c r="A12670" s="426"/>
    </row>
    <row r="12671" spans="1:1" s="427" customFormat="1" ht="12" hidden="1" customHeight="1">
      <c r="A12671" s="426"/>
    </row>
    <row r="12672" spans="1:1" s="427" customFormat="1" ht="12" hidden="1" customHeight="1">
      <c r="A12672" s="426"/>
    </row>
    <row r="12673" spans="1:1" s="427" customFormat="1" ht="12" hidden="1" customHeight="1">
      <c r="A12673" s="426"/>
    </row>
    <row r="12674" spans="1:1" s="427" customFormat="1" ht="12" hidden="1" customHeight="1">
      <c r="A12674" s="426"/>
    </row>
    <row r="12675" spans="1:1" s="427" customFormat="1" ht="12" hidden="1" customHeight="1">
      <c r="A12675" s="426"/>
    </row>
    <row r="12676" spans="1:1" s="427" customFormat="1" ht="12" hidden="1" customHeight="1">
      <c r="A12676" s="426"/>
    </row>
    <row r="12677" spans="1:1" s="427" customFormat="1" ht="12" hidden="1" customHeight="1">
      <c r="A12677" s="426"/>
    </row>
    <row r="12678" spans="1:1" s="427" customFormat="1" ht="12" hidden="1" customHeight="1">
      <c r="A12678" s="426"/>
    </row>
    <row r="12679" spans="1:1" s="427" customFormat="1" ht="12" hidden="1" customHeight="1">
      <c r="A12679" s="426"/>
    </row>
    <row r="12680" spans="1:1" s="427" customFormat="1" ht="12" hidden="1" customHeight="1">
      <c r="A12680" s="426"/>
    </row>
    <row r="12681" spans="1:1" s="427" customFormat="1" ht="12" hidden="1" customHeight="1">
      <c r="A12681" s="426"/>
    </row>
    <row r="12682" spans="1:1" s="427" customFormat="1" ht="12" hidden="1" customHeight="1">
      <c r="A12682" s="426"/>
    </row>
    <row r="12683" spans="1:1" s="427" customFormat="1" ht="12" hidden="1" customHeight="1">
      <c r="A12683" s="426"/>
    </row>
    <row r="12684" spans="1:1" s="427" customFormat="1" ht="12" hidden="1" customHeight="1">
      <c r="A12684" s="426"/>
    </row>
    <row r="12685" spans="1:1" s="427" customFormat="1" ht="12" hidden="1" customHeight="1">
      <c r="A12685" s="426"/>
    </row>
    <row r="12686" spans="1:1" s="427" customFormat="1" ht="12" hidden="1" customHeight="1">
      <c r="A12686" s="426"/>
    </row>
    <row r="12687" spans="1:1" s="427" customFormat="1" ht="12" hidden="1" customHeight="1">
      <c r="A12687" s="426"/>
    </row>
    <row r="12688" spans="1:1" s="427" customFormat="1" ht="12" hidden="1" customHeight="1">
      <c r="A12688" s="426"/>
    </row>
    <row r="12689" spans="1:1" s="427" customFormat="1" ht="12" hidden="1" customHeight="1">
      <c r="A12689" s="426"/>
    </row>
    <row r="12690" spans="1:1" s="427" customFormat="1" ht="12" hidden="1" customHeight="1">
      <c r="A12690" s="426"/>
    </row>
    <row r="12691" spans="1:1" s="427" customFormat="1" ht="12" hidden="1" customHeight="1">
      <c r="A12691" s="426"/>
    </row>
    <row r="12692" spans="1:1" s="427" customFormat="1" ht="12" hidden="1" customHeight="1">
      <c r="A12692" s="426"/>
    </row>
    <row r="12693" spans="1:1" s="427" customFormat="1" ht="12" hidden="1" customHeight="1">
      <c r="A12693" s="426"/>
    </row>
    <row r="12694" spans="1:1" s="427" customFormat="1" ht="12" hidden="1" customHeight="1">
      <c r="A12694" s="426"/>
    </row>
    <row r="12695" spans="1:1" s="427" customFormat="1" ht="12" hidden="1" customHeight="1">
      <c r="A12695" s="426"/>
    </row>
    <row r="12696" spans="1:1" s="427" customFormat="1" ht="12" hidden="1" customHeight="1">
      <c r="A12696" s="426"/>
    </row>
    <row r="12697" spans="1:1" s="427" customFormat="1" ht="12" hidden="1" customHeight="1">
      <c r="A12697" s="426"/>
    </row>
    <row r="12698" spans="1:1" s="427" customFormat="1" ht="12" hidden="1" customHeight="1">
      <c r="A12698" s="426"/>
    </row>
    <row r="12699" spans="1:1" s="427" customFormat="1" ht="12" hidden="1" customHeight="1">
      <c r="A12699" s="426"/>
    </row>
    <row r="12700" spans="1:1" s="427" customFormat="1" ht="12" hidden="1" customHeight="1">
      <c r="A12700" s="426"/>
    </row>
    <row r="12701" spans="1:1" s="427" customFormat="1" ht="12" hidden="1" customHeight="1">
      <c r="A12701" s="426"/>
    </row>
    <row r="12702" spans="1:1" s="427" customFormat="1" ht="12" hidden="1" customHeight="1">
      <c r="A12702" s="426"/>
    </row>
    <row r="12703" spans="1:1" s="427" customFormat="1" ht="12" hidden="1" customHeight="1">
      <c r="A12703" s="426"/>
    </row>
    <row r="12704" spans="1:1" s="427" customFormat="1" ht="12" hidden="1" customHeight="1">
      <c r="A12704" s="426"/>
    </row>
    <row r="12705" spans="1:1" s="427" customFormat="1" ht="12" hidden="1" customHeight="1">
      <c r="A12705" s="426"/>
    </row>
    <row r="12706" spans="1:1" s="427" customFormat="1" ht="12" hidden="1" customHeight="1">
      <c r="A12706" s="426"/>
    </row>
    <row r="12707" spans="1:1" s="427" customFormat="1" ht="12" hidden="1" customHeight="1">
      <c r="A12707" s="426"/>
    </row>
    <row r="12708" spans="1:1" s="427" customFormat="1" ht="12" hidden="1" customHeight="1">
      <c r="A12708" s="426"/>
    </row>
    <row r="12709" spans="1:1" s="427" customFormat="1" ht="12" hidden="1" customHeight="1">
      <c r="A12709" s="426"/>
    </row>
    <row r="12710" spans="1:1" s="427" customFormat="1" ht="12" hidden="1" customHeight="1">
      <c r="A12710" s="426"/>
    </row>
    <row r="12711" spans="1:1" s="427" customFormat="1" ht="12" hidden="1" customHeight="1">
      <c r="A12711" s="426"/>
    </row>
    <row r="12712" spans="1:1" s="427" customFormat="1" ht="12" hidden="1" customHeight="1">
      <c r="A12712" s="426"/>
    </row>
    <row r="12713" spans="1:1" s="427" customFormat="1" ht="12" hidden="1" customHeight="1">
      <c r="A12713" s="426"/>
    </row>
    <row r="12714" spans="1:1" s="427" customFormat="1" ht="12" hidden="1" customHeight="1">
      <c r="A12714" s="426"/>
    </row>
    <row r="12715" spans="1:1" s="427" customFormat="1" ht="12" hidden="1" customHeight="1">
      <c r="A12715" s="426"/>
    </row>
    <row r="12716" spans="1:1" s="427" customFormat="1" ht="12" hidden="1" customHeight="1">
      <c r="A12716" s="426"/>
    </row>
    <row r="12717" spans="1:1" s="427" customFormat="1" ht="12" hidden="1" customHeight="1">
      <c r="A12717" s="426"/>
    </row>
    <row r="12718" spans="1:1" s="427" customFormat="1" ht="12" hidden="1" customHeight="1">
      <c r="A12718" s="426"/>
    </row>
    <row r="12719" spans="1:1" s="427" customFormat="1" ht="12" hidden="1" customHeight="1">
      <c r="A12719" s="426"/>
    </row>
    <row r="12720" spans="1:1" s="427" customFormat="1" ht="12" hidden="1" customHeight="1">
      <c r="A12720" s="426"/>
    </row>
    <row r="12721" spans="1:1" s="427" customFormat="1" ht="12" hidden="1" customHeight="1">
      <c r="A12721" s="426"/>
    </row>
    <row r="12722" spans="1:1" s="427" customFormat="1" ht="12" hidden="1" customHeight="1">
      <c r="A12722" s="426"/>
    </row>
    <row r="12723" spans="1:1" s="427" customFormat="1" ht="12" hidden="1" customHeight="1">
      <c r="A12723" s="426"/>
    </row>
    <row r="12724" spans="1:1" s="427" customFormat="1" ht="12" hidden="1" customHeight="1">
      <c r="A12724" s="426"/>
    </row>
    <row r="12725" spans="1:1" s="427" customFormat="1" ht="12" hidden="1" customHeight="1">
      <c r="A12725" s="426"/>
    </row>
    <row r="12726" spans="1:1" s="427" customFormat="1" ht="12" hidden="1" customHeight="1">
      <c r="A12726" s="426"/>
    </row>
    <row r="12727" spans="1:1" s="427" customFormat="1" ht="12" hidden="1" customHeight="1">
      <c r="A12727" s="426"/>
    </row>
    <row r="12728" spans="1:1" s="427" customFormat="1" ht="12" hidden="1" customHeight="1">
      <c r="A12728" s="426"/>
    </row>
    <row r="12729" spans="1:1" s="427" customFormat="1" ht="12" hidden="1" customHeight="1">
      <c r="A12729" s="426"/>
    </row>
    <row r="12730" spans="1:1" s="427" customFormat="1" ht="12" hidden="1" customHeight="1">
      <c r="A12730" s="426"/>
    </row>
    <row r="12731" spans="1:1" s="427" customFormat="1" ht="12" hidden="1" customHeight="1">
      <c r="A12731" s="426"/>
    </row>
    <row r="12732" spans="1:1" s="427" customFormat="1" ht="12" hidden="1" customHeight="1">
      <c r="A12732" s="426"/>
    </row>
    <row r="12733" spans="1:1" s="427" customFormat="1" ht="12" hidden="1" customHeight="1">
      <c r="A12733" s="426"/>
    </row>
    <row r="12734" spans="1:1" s="427" customFormat="1" ht="12" hidden="1" customHeight="1">
      <c r="A12734" s="426"/>
    </row>
    <row r="12735" spans="1:1" s="427" customFormat="1" ht="12" hidden="1" customHeight="1">
      <c r="A12735" s="426"/>
    </row>
    <row r="12736" spans="1:1" s="427" customFormat="1" ht="12" hidden="1" customHeight="1">
      <c r="A12736" s="426"/>
    </row>
    <row r="12737" spans="1:1" s="427" customFormat="1" ht="12" hidden="1" customHeight="1">
      <c r="A12737" s="426"/>
    </row>
    <row r="12738" spans="1:1" s="427" customFormat="1" ht="12" hidden="1" customHeight="1">
      <c r="A12738" s="426"/>
    </row>
    <row r="12739" spans="1:1" s="427" customFormat="1" ht="12" hidden="1" customHeight="1">
      <c r="A12739" s="426"/>
    </row>
    <row r="12740" spans="1:1" s="427" customFormat="1" ht="12" hidden="1" customHeight="1">
      <c r="A12740" s="426"/>
    </row>
    <row r="12741" spans="1:1" s="427" customFormat="1" ht="12" hidden="1" customHeight="1">
      <c r="A12741" s="426"/>
    </row>
    <row r="12742" spans="1:1" s="427" customFormat="1" ht="12" hidden="1" customHeight="1">
      <c r="A12742" s="426"/>
    </row>
    <row r="12743" spans="1:1" s="427" customFormat="1" ht="12" hidden="1" customHeight="1">
      <c r="A12743" s="426"/>
    </row>
    <row r="12744" spans="1:1" s="427" customFormat="1" ht="12" hidden="1" customHeight="1">
      <c r="A12744" s="426"/>
    </row>
    <row r="12745" spans="1:1" s="427" customFormat="1" ht="12" hidden="1" customHeight="1">
      <c r="A12745" s="426"/>
    </row>
    <row r="12746" spans="1:1" s="427" customFormat="1" ht="12" hidden="1" customHeight="1">
      <c r="A12746" s="426"/>
    </row>
    <row r="12747" spans="1:1" s="427" customFormat="1" ht="12" hidden="1" customHeight="1">
      <c r="A12747" s="426"/>
    </row>
    <row r="12748" spans="1:1" s="427" customFormat="1" ht="12" hidden="1" customHeight="1">
      <c r="A12748" s="426"/>
    </row>
    <row r="12749" spans="1:1" s="427" customFormat="1" ht="12" hidden="1" customHeight="1">
      <c r="A12749" s="426"/>
    </row>
    <row r="12750" spans="1:1" s="427" customFormat="1" ht="12" hidden="1" customHeight="1">
      <c r="A12750" s="426"/>
    </row>
    <row r="12751" spans="1:1" s="427" customFormat="1" ht="12" hidden="1" customHeight="1">
      <c r="A12751" s="426"/>
    </row>
    <row r="12752" spans="1:1" s="427" customFormat="1" ht="12" hidden="1" customHeight="1">
      <c r="A12752" s="426"/>
    </row>
    <row r="12753" spans="1:1" s="427" customFormat="1" ht="12" hidden="1" customHeight="1">
      <c r="A12753" s="426"/>
    </row>
    <row r="12754" spans="1:1" s="427" customFormat="1" ht="12" hidden="1" customHeight="1">
      <c r="A12754" s="426"/>
    </row>
    <row r="12755" spans="1:1" s="427" customFormat="1" ht="12" hidden="1" customHeight="1">
      <c r="A12755" s="426"/>
    </row>
    <row r="12756" spans="1:1" s="427" customFormat="1" ht="12" hidden="1" customHeight="1">
      <c r="A12756" s="426"/>
    </row>
    <row r="12757" spans="1:1" s="427" customFormat="1" ht="12" hidden="1" customHeight="1">
      <c r="A12757" s="426"/>
    </row>
    <row r="12758" spans="1:1" s="427" customFormat="1" ht="12" hidden="1" customHeight="1">
      <c r="A12758" s="426"/>
    </row>
    <row r="12759" spans="1:1" s="427" customFormat="1" ht="12" hidden="1" customHeight="1">
      <c r="A12759" s="426"/>
    </row>
    <row r="12760" spans="1:1" s="427" customFormat="1" ht="12" hidden="1" customHeight="1">
      <c r="A12760" s="426"/>
    </row>
    <row r="12761" spans="1:1" s="427" customFormat="1" ht="12" hidden="1" customHeight="1">
      <c r="A12761" s="426"/>
    </row>
    <row r="12762" spans="1:1" s="427" customFormat="1" ht="12" hidden="1" customHeight="1">
      <c r="A12762" s="426"/>
    </row>
    <row r="12763" spans="1:1" s="427" customFormat="1" ht="12" hidden="1" customHeight="1">
      <c r="A12763" s="426"/>
    </row>
    <row r="12764" spans="1:1" s="427" customFormat="1" ht="12" hidden="1" customHeight="1">
      <c r="A12764" s="426"/>
    </row>
    <row r="12765" spans="1:1" s="427" customFormat="1" ht="12" hidden="1" customHeight="1">
      <c r="A12765" s="426"/>
    </row>
    <row r="12766" spans="1:1" s="427" customFormat="1" ht="12" hidden="1" customHeight="1">
      <c r="A12766" s="426"/>
    </row>
    <row r="12767" spans="1:1" s="427" customFormat="1" ht="12" hidden="1" customHeight="1">
      <c r="A12767" s="426"/>
    </row>
    <row r="12768" spans="1:1" s="427" customFormat="1" ht="12" hidden="1" customHeight="1">
      <c r="A12768" s="426"/>
    </row>
    <row r="12769" spans="1:1" s="427" customFormat="1" ht="12" hidden="1" customHeight="1">
      <c r="A12769" s="426"/>
    </row>
    <row r="12770" spans="1:1" s="427" customFormat="1" ht="12" hidden="1" customHeight="1">
      <c r="A12770" s="426"/>
    </row>
    <row r="12771" spans="1:1" s="427" customFormat="1" ht="12" hidden="1" customHeight="1">
      <c r="A12771" s="426"/>
    </row>
    <row r="12772" spans="1:1" s="427" customFormat="1" ht="12" hidden="1" customHeight="1">
      <c r="A12772" s="426"/>
    </row>
    <row r="12773" spans="1:1" s="427" customFormat="1" ht="12" hidden="1" customHeight="1">
      <c r="A12773" s="426"/>
    </row>
    <row r="12774" spans="1:1" s="427" customFormat="1" ht="12" hidden="1" customHeight="1">
      <c r="A12774" s="426"/>
    </row>
    <row r="12775" spans="1:1" s="427" customFormat="1" ht="12" hidden="1" customHeight="1">
      <c r="A12775" s="426"/>
    </row>
    <row r="12776" spans="1:1" s="427" customFormat="1" ht="12" hidden="1" customHeight="1">
      <c r="A12776" s="426"/>
    </row>
    <row r="12777" spans="1:1" s="427" customFormat="1" ht="12" hidden="1" customHeight="1">
      <c r="A12777" s="426"/>
    </row>
    <row r="12778" spans="1:1" s="427" customFormat="1" ht="12" hidden="1" customHeight="1">
      <c r="A12778" s="426"/>
    </row>
    <row r="12779" spans="1:1" s="427" customFormat="1" ht="12" hidden="1" customHeight="1">
      <c r="A12779" s="426"/>
    </row>
    <row r="12780" spans="1:1" s="427" customFormat="1" ht="12" hidden="1" customHeight="1">
      <c r="A12780" s="426"/>
    </row>
    <row r="12781" spans="1:1" s="427" customFormat="1" ht="12" hidden="1" customHeight="1">
      <c r="A12781" s="426"/>
    </row>
    <row r="12782" spans="1:1" s="427" customFormat="1" ht="12" hidden="1" customHeight="1">
      <c r="A12782" s="426"/>
    </row>
    <row r="12783" spans="1:1" s="427" customFormat="1" ht="12" hidden="1" customHeight="1">
      <c r="A12783" s="426"/>
    </row>
    <row r="12784" spans="1:1" s="427" customFormat="1" ht="12" hidden="1" customHeight="1">
      <c r="A12784" s="426"/>
    </row>
    <row r="12785" spans="1:1" s="427" customFormat="1" ht="12" hidden="1" customHeight="1">
      <c r="A12785" s="426"/>
    </row>
    <row r="12786" spans="1:1" s="427" customFormat="1" ht="12" hidden="1" customHeight="1">
      <c r="A12786" s="426"/>
    </row>
    <row r="12787" spans="1:1" s="427" customFormat="1" ht="12" hidden="1" customHeight="1">
      <c r="A12787" s="426"/>
    </row>
    <row r="12788" spans="1:1" s="427" customFormat="1" ht="12" hidden="1" customHeight="1">
      <c r="A12788" s="426"/>
    </row>
    <row r="12789" spans="1:1" s="427" customFormat="1" ht="12" hidden="1" customHeight="1">
      <c r="A12789" s="426"/>
    </row>
    <row r="12790" spans="1:1" s="427" customFormat="1" ht="12" hidden="1" customHeight="1">
      <c r="A12790" s="426"/>
    </row>
    <row r="12791" spans="1:1" s="427" customFormat="1" ht="12" hidden="1" customHeight="1">
      <c r="A12791" s="426"/>
    </row>
    <row r="12792" spans="1:1" s="427" customFormat="1" ht="12" hidden="1" customHeight="1">
      <c r="A12792" s="426"/>
    </row>
    <row r="12793" spans="1:1" s="427" customFormat="1" ht="12" hidden="1" customHeight="1">
      <c r="A12793" s="426"/>
    </row>
    <row r="12794" spans="1:1" s="427" customFormat="1" ht="12" hidden="1" customHeight="1">
      <c r="A12794" s="426"/>
    </row>
    <row r="12795" spans="1:1" s="427" customFormat="1" ht="12" hidden="1" customHeight="1">
      <c r="A12795" s="426"/>
    </row>
    <row r="12796" spans="1:1" s="427" customFormat="1" ht="12" hidden="1" customHeight="1">
      <c r="A12796" s="426"/>
    </row>
    <row r="12797" spans="1:1" s="427" customFormat="1" ht="12" hidden="1" customHeight="1">
      <c r="A12797" s="426"/>
    </row>
    <row r="12798" spans="1:1" s="427" customFormat="1" ht="12" hidden="1" customHeight="1">
      <c r="A12798" s="426"/>
    </row>
    <row r="12799" spans="1:1" s="427" customFormat="1" ht="12" hidden="1" customHeight="1">
      <c r="A12799" s="426"/>
    </row>
    <row r="12800" spans="1:1" s="427" customFormat="1" ht="12" hidden="1" customHeight="1">
      <c r="A12800" s="426"/>
    </row>
    <row r="12801" spans="1:1" s="427" customFormat="1" ht="12" hidden="1" customHeight="1">
      <c r="A12801" s="426"/>
    </row>
    <row r="12802" spans="1:1" s="427" customFormat="1" ht="12" hidden="1" customHeight="1">
      <c r="A12802" s="426"/>
    </row>
    <row r="12803" spans="1:1" s="427" customFormat="1" ht="12" hidden="1" customHeight="1">
      <c r="A12803" s="426"/>
    </row>
    <row r="12804" spans="1:1" s="427" customFormat="1" ht="12" hidden="1" customHeight="1">
      <c r="A12804" s="426"/>
    </row>
    <row r="12805" spans="1:1" s="427" customFormat="1" ht="12" hidden="1" customHeight="1">
      <c r="A12805" s="426"/>
    </row>
    <row r="12806" spans="1:1" s="427" customFormat="1" ht="12" hidden="1" customHeight="1">
      <c r="A12806" s="426"/>
    </row>
    <row r="12807" spans="1:1" s="427" customFormat="1" ht="12" hidden="1" customHeight="1">
      <c r="A12807" s="426"/>
    </row>
    <row r="12808" spans="1:1" s="427" customFormat="1" ht="12" hidden="1" customHeight="1">
      <c r="A12808" s="426"/>
    </row>
    <row r="12809" spans="1:1" s="427" customFormat="1" ht="12" hidden="1" customHeight="1">
      <c r="A12809" s="426"/>
    </row>
    <row r="12810" spans="1:1" s="427" customFormat="1" ht="12" hidden="1" customHeight="1">
      <c r="A12810" s="426"/>
    </row>
    <row r="12811" spans="1:1" s="427" customFormat="1" ht="12" hidden="1" customHeight="1">
      <c r="A12811" s="426"/>
    </row>
    <row r="12812" spans="1:1" s="427" customFormat="1" ht="12" hidden="1" customHeight="1">
      <c r="A12812" s="426"/>
    </row>
    <row r="12813" spans="1:1" s="427" customFormat="1" ht="12" hidden="1" customHeight="1">
      <c r="A12813" s="426"/>
    </row>
    <row r="12814" spans="1:1" s="427" customFormat="1" ht="12" hidden="1" customHeight="1">
      <c r="A12814" s="426"/>
    </row>
    <row r="12815" spans="1:1" s="427" customFormat="1" ht="12" hidden="1" customHeight="1">
      <c r="A12815" s="426"/>
    </row>
    <row r="12816" spans="1:1" s="427" customFormat="1" ht="12" hidden="1" customHeight="1">
      <c r="A12816" s="426"/>
    </row>
    <row r="12817" spans="1:1" s="427" customFormat="1" ht="12" hidden="1" customHeight="1">
      <c r="A12817" s="426"/>
    </row>
    <row r="12818" spans="1:1" s="427" customFormat="1" ht="12" hidden="1" customHeight="1">
      <c r="A12818" s="426"/>
    </row>
    <row r="12819" spans="1:1" s="427" customFormat="1" ht="12" hidden="1" customHeight="1">
      <c r="A12819" s="426"/>
    </row>
    <row r="12820" spans="1:1" s="427" customFormat="1" ht="12" hidden="1" customHeight="1">
      <c r="A12820" s="426"/>
    </row>
    <row r="12821" spans="1:1" s="427" customFormat="1" ht="12" hidden="1" customHeight="1">
      <c r="A12821" s="426"/>
    </row>
    <row r="12822" spans="1:1" s="427" customFormat="1" ht="12" hidden="1" customHeight="1">
      <c r="A12822" s="426"/>
    </row>
    <row r="12823" spans="1:1" s="427" customFormat="1" ht="12" hidden="1" customHeight="1">
      <c r="A12823" s="426"/>
    </row>
    <row r="12824" spans="1:1" s="427" customFormat="1" ht="12" hidden="1" customHeight="1">
      <c r="A12824" s="426"/>
    </row>
    <row r="12825" spans="1:1" s="427" customFormat="1" ht="12" hidden="1" customHeight="1">
      <c r="A12825" s="426"/>
    </row>
    <row r="12826" spans="1:1" s="427" customFormat="1" ht="12" hidden="1" customHeight="1">
      <c r="A12826" s="426"/>
    </row>
    <row r="12827" spans="1:1" s="427" customFormat="1" ht="12" hidden="1" customHeight="1">
      <c r="A12827" s="426"/>
    </row>
    <row r="12828" spans="1:1" s="427" customFormat="1" ht="12" hidden="1" customHeight="1">
      <c r="A12828" s="426"/>
    </row>
    <row r="12829" spans="1:1" s="427" customFormat="1" ht="12" hidden="1" customHeight="1">
      <c r="A12829" s="426"/>
    </row>
    <row r="12830" spans="1:1" s="427" customFormat="1" ht="12" hidden="1" customHeight="1">
      <c r="A12830" s="426"/>
    </row>
    <row r="12831" spans="1:1" s="427" customFormat="1" ht="12" hidden="1" customHeight="1">
      <c r="A12831" s="426"/>
    </row>
    <row r="12832" spans="1:1" s="427" customFormat="1" ht="12" hidden="1" customHeight="1">
      <c r="A12832" s="426"/>
    </row>
    <row r="12833" spans="1:1" s="427" customFormat="1" ht="12" hidden="1" customHeight="1">
      <c r="A12833" s="426"/>
    </row>
    <row r="12834" spans="1:1" s="427" customFormat="1" ht="12" hidden="1" customHeight="1">
      <c r="A12834" s="426"/>
    </row>
    <row r="12835" spans="1:1" s="427" customFormat="1" ht="12" hidden="1" customHeight="1">
      <c r="A12835" s="426"/>
    </row>
    <row r="12836" spans="1:1" s="427" customFormat="1" ht="12" hidden="1" customHeight="1">
      <c r="A12836" s="426"/>
    </row>
    <row r="12837" spans="1:1" s="427" customFormat="1" ht="12" hidden="1" customHeight="1">
      <c r="A12837" s="426"/>
    </row>
    <row r="12838" spans="1:1" s="427" customFormat="1" ht="12" hidden="1" customHeight="1">
      <c r="A12838" s="426"/>
    </row>
    <row r="12839" spans="1:1" s="427" customFormat="1" ht="12" hidden="1" customHeight="1">
      <c r="A12839" s="426"/>
    </row>
    <row r="12840" spans="1:1" s="427" customFormat="1" ht="12" hidden="1" customHeight="1">
      <c r="A12840" s="426"/>
    </row>
    <row r="12841" spans="1:1" s="427" customFormat="1" ht="12" hidden="1" customHeight="1">
      <c r="A12841" s="426"/>
    </row>
    <row r="12842" spans="1:1" s="427" customFormat="1" ht="12" hidden="1" customHeight="1">
      <c r="A12842" s="426"/>
    </row>
    <row r="12843" spans="1:1" s="427" customFormat="1" ht="12" hidden="1" customHeight="1">
      <c r="A12843" s="426"/>
    </row>
    <row r="12844" spans="1:1" s="427" customFormat="1" ht="12" hidden="1" customHeight="1">
      <c r="A12844" s="426"/>
    </row>
    <row r="12845" spans="1:1" s="427" customFormat="1" ht="12" hidden="1" customHeight="1">
      <c r="A12845" s="426"/>
    </row>
    <row r="12846" spans="1:1" s="427" customFormat="1" ht="12" hidden="1" customHeight="1">
      <c r="A12846" s="426"/>
    </row>
    <row r="12847" spans="1:1" s="427" customFormat="1" ht="12" hidden="1" customHeight="1">
      <c r="A12847" s="426"/>
    </row>
    <row r="12848" spans="1:1" s="427" customFormat="1" ht="12" hidden="1" customHeight="1">
      <c r="A12848" s="426"/>
    </row>
    <row r="12849" spans="1:1" s="427" customFormat="1" ht="12" hidden="1" customHeight="1">
      <c r="A12849" s="426"/>
    </row>
    <row r="12850" spans="1:1" s="427" customFormat="1" ht="12" hidden="1" customHeight="1">
      <c r="A12850" s="426"/>
    </row>
    <row r="12851" spans="1:1" s="427" customFormat="1" ht="12" hidden="1" customHeight="1">
      <c r="A12851" s="426"/>
    </row>
    <row r="12852" spans="1:1" s="427" customFormat="1" ht="12" hidden="1" customHeight="1">
      <c r="A12852" s="426"/>
    </row>
    <row r="12853" spans="1:1" s="427" customFormat="1" ht="12" hidden="1" customHeight="1">
      <c r="A12853" s="426"/>
    </row>
    <row r="12854" spans="1:1" s="427" customFormat="1" ht="12" hidden="1" customHeight="1">
      <c r="A12854" s="426"/>
    </row>
    <row r="12855" spans="1:1" s="427" customFormat="1" ht="12" hidden="1" customHeight="1">
      <c r="A12855" s="426"/>
    </row>
    <row r="12856" spans="1:1" s="427" customFormat="1" ht="12" hidden="1" customHeight="1">
      <c r="A12856" s="426"/>
    </row>
    <row r="12857" spans="1:1" s="427" customFormat="1" ht="12" hidden="1" customHeight="1">
      <c r="A12857" s="426"/>
    </row>
    <row r="12858" spans="1:1" s="427" customFormat="1" ht="12" hidden="1" customHeight="1">
      <c r="A12858" s="426"/>
    </row>
    <row r="12859" spans="1:1" s="427" customFormat="1" ht="12" hidden="1" customHeight="1">
      <c r="A12859" s="426"/>
    </row>
    <row r="12860" spans="1:1" s="427" customFormat="1" ht="12" hidden="1" customHeight="1">
      <c r="A12860" s="426"/>
    </row>
    <row r="12861" spans="1:1" s="427" customFormat="1" ht="12" hidden="1" customHeight="1">
      <c r="A12861" s="426"/>
    </row>
    <row r="12862" spans="1:1" s="427" customFormat="1" ht="12" hidden="1" customHeight="1">
      <c r="A12862" s="426"/>
    </row>
    <row r="12863" spans="1:1" s="427" customFormat="1" ht="12" hidden="1" customHeight="1">
      <c r="A12863" s="426"/>
    </row>
    <row r="12864" spans="1:1" s="427" customFormat="1" ht="12" hidden="1" customHeight="1">
      <c r="A12864" s="426"/>
    </row>
    <row r="12865" spans="1:1" s="427" customFormat="1" ht="12" hidden="1" customHeight="1">
      <c r="A12865" s="426"/>
    </row>
    <row r="12866" spans="1:1" s="427" customFormat="1" ht="12" hidden="1" customHeight="1">
      <c r="A12866" s="426"/>
    </row>
    <row r="12867" spans="1:1" s="427" customFormat="1" ht="12" hidden="1" customHeight="1">
      <c r="A12867" s="426"/>
    </row>
    <row r="12868" spans="1:1" s="427" customFormat="1" ht="12" hidden="1" customHeight="1">
      <c r="A12868" s="426"/>
    </row>
    <row r="12869" spans="1:1" s="427" customFormat="1" ht="12" hidden="1" customHeight="1">
      <c r="A12869" s="426"/>
    </row>
    <row r="12870" spans="1:1" s="427" customFormat="1" ht="12" hidden="1" customHeight="1">
      <c r="A12870" s="426"/>
    </row>
    <row r="12871" spans="1:1" s="427" customFormat="1" ht="12" hidden="1" customHeight="1">
      <c r="A12871" s="426"/>
    </row>
    <row r="12872" spans="1:1" s="427" customFormat="1" ht="12" hidden="1" customHeight="1">
      <c r="A12872" s="426"/>
    </row>
    <row r="12873" spans="1:1" s="427" customFormat="1" ht="12" hidden="1" customHeight="1">
      <c r="A12873" s="426"/>
    </row>
    <row r="12874" spans="1:1" s="427" customFormat="1" ht="12" hidden="1" customHeight="1">
      <c r="A12874" s="426"/>
    </row>
    <row r="12875" spans="1:1" s="427" customFormat="1" ht="12" hidden="1" customHeight="1">
      <c r="A12875" s="426"/>
    </row>
    <row r="12876" spans="1:1" s="427" customFormat="1" ht="12" hidden="1" customHeight="1">
      <c r="A12876" s="426"/>
    </row>
    <row r="12877" spans="1:1" s="427" customFormat="1" ht="12" hidden="1" customHeight="1">
      <c r="A12877" s="426"/>
    </row>
    <row r="12878" spans="1:1" s="427" customFormat="1" ht="12" hidden="1" customHeight="1">
      <c r="A12878" s="426"/>
    </row>
    <row r="12879" spans="1:1" s="427" customFormat="1" ht="12" hidden="1" customHeight="1">
      <c r="A12879" s="426"/>
    </row>
    <row r="12880" spans="1:1" s="427" customFormat="1" ht="12" hidden="1" customHeight="1">
      <c r="A12880" s="426"/>
    </row>
    <row r="12881" spans="1:1" s="427" customFormat="1" ht="12" hidden="1" customHeight="1">
      <c r="A12881" s="426"/>
    </row>
    <row r="12882" spans="1:1" s="427" customFormat="1" ht="12" hidden="1" customHeight="1">
      <c r="A12882" s="426"/>
    </row>
    <row r="12883" spans="1:1" s="427" customFormat="1" ht="12" hidden="1" customHeight="1">
      <c r="A12883" s="426"/>
    </row>
    <row r="12884" spans="1:1" s="427" customFormat="1" ht="12" hidden="1" customHeight="1">
      <c r="A12884" s="426"/>
    </row>
    <row r="12885" spans="1:1" s="427" customFormat="1" ht="12" hidden="1" customHeight="1">
      <c r="A12885" s="426"/>
    </row>
    <row r="12886" spans="1:1" s="427" customFormat="1" ht="12" hidden="1" customHeight="1">
      <c r="A12886" s="426"/>
    </row>
    <row r="12887" spans="1:1" s="427" customFormat="1" ht="12" hidden="1" customHeight="1">
      <c r="A12887" s="426"/>
    </row>
    <row r="12888" spans="1:1" s="427" customFormat="1" ht="12" hidden="1" customHeight="1">
      <c r="A12888" s="426"/>
    </row>
    <row r="12889" spans="1:1" s="427" customFormat="1" ht="12" hidden="1" customHeight="1">
      <c r="A12889" s="426"/>
    </row>
    <row r="12890" spans="1:1" s="427" customFormat="1" ht="12" hidden="1" customHeight="1">
      <c r="A12890" s="426"/>
    </row>
    <row r="12891" spans="1:1" s="427" customFormat="1" ht="12" hidden="1" customHeight="1">
      <c r="A12891" s="426"/>
    </row>
    <row r="12892" spans="1:1" s="427" customFormat="1" ht="12" hidden="1" customHeight="1">
      <c r="A12892" s="426"/>
    </row>
    <row r="12893" spans="1:1" s="427" customFormat="1" ht="12" hidden="1" customHeight="1">
      <c r="A12893" s="426"/>
    </row>
    <row r="12894" spans="1:1" s="427" customFormat="1" ht="12" hidden="1" customHeight="1">
      <c r="A12894" s="426"/>
    </row>
    <row r="12895" spans="1:1" s="427" customFormat="1" ht="12" hidden="1" customHeight="1">
      <c r="A12895" s="426"/>
    </row>
    <row r="12896" spans="1:1" s="427" customFormat="1" ht="12" hidden="1" customHeight="1">
      <c r="A12896" s="426"/>
    </row>
    <row r="12897" spans="1:1" s="427" customFormat="1" ht="12" hidden="1" customHeight="1">
      <c r="A12897" s="426"/>
    </row>
    <row r="12898" spans="1:1" s="427" customFormat="1" ht="12" hidden="1" customHeight="1">
      <c r="A12898" s="426"/>
    </row>
    <row r="12899" spans="1:1" s="427" customFormat="1" ht="12" hidden="1" customHeight="1">
      <c r="A12899" s="426"/>
    </row>
    <row r="12900" spans="1:1" s="427" customFormat="1" ht="12" hidden="1" customHeight="1">
      <c r="A12900" s="426"/>
    </row>
    <row r="12901" spans="1:1" s="427" customFormat="1" ht="12" hidden="1" customHeight="1">
      <c r="A12901" s="426"/>
    </row>
    <row r="12902" spans="1:1" s="427" customFormat="1" ht="12" hidden="1" customHeight="1">
      <c r="A12902" s="426"/>
    </row>
    <row r="12903" spans="1:1" s="427" customFormat="1" ht="12" hidden="1" customHeight="1">
      <c r="A12903" s="426"/>
    </row>
    <row r="12904" spans="1:1" s="427" customFormat="1" ht="12" hidden="1" customHeight="1">
      <c r="A12904" s="426"/>
    </row>
    <row r="12905" spans="1:1" s="427" customFormat="1" ht="12" hidden="1" customHeight="1">
      <c r="A12905" s="426"/>
    </row>
    <row r="12906" spans="1:1" s="427" customFormat="1" ht="12" hidden="1" customHeight="1">
      <c r="A12906" s="426"/>
    </row>
    <row r="12907" spans="1:1" s="427" customFormat="1" ht="12" hidden="1" customHeight="1">
      <c r="A12907" s="426"/>
    </row>
    <row r="12908" spans="1:1" s="427" customFormat="1" ht="12" hidden="1" customHeight="1">
      <c r="A12908" s="426"/>
    </row>
    <row r="12909" spans="1:1" s="427" customFormat="1" ht="12" hidden="1" customHeight="1">
      <c r="A12909" s="426"/>
    </row>
    <row r="12910" spans="1:1" s="427" customFormat="1" ht="12" hidden="1" customHeight="1">
      <c r="A12910" s="426"/>
    </row>
    <row r="12911" spans="1:1" s="427" customFormat="1" ht="12" hidden="1" customHeight="1">
      <c r="A12911" s="426"/>
    </row>
    <row r="12912" spans="1:1" s="427" customFormat="1" ht="12" hidden="1" customHeight="1">
      <c r="A12912" s="426"/>
    </row>
    <row r="12913" spans="1:1" s="427" customFormat="1" ht="12" hidden="1" customHeight="1">
      <c r="A12913" s="426"/>
    </row>
    <row r="12914" spans="1:1" s="427" customFormat="1" ht="12" hidden="1" customHeight="1">
      <c r="A12914" s="426"/>
    </row>
    <row r="12915" spans="1:1" s="427" customFormat="1" ht="12" hidden="1" customHeight="1">
      <c r="A12915" s="426"/>
    </row>
    <row r="12916" spans="1:1" s="427" customFormat="1" ht="12" hidden="1" customHeight="1">
      <c r="A12916" s="426"/>
    </row>
    <row r="12917" spans="1:1" s="427" customFormat="1" ht="12" hidden="1" customHeight="1">
      <c r="A12917" s="426"/>
    </row>
    <row r="12918" spans="1:1" s="427" customFormat="1" ht="12" hidden="1" customHeight="1">
      <c r="A12918" s="426"/>
    </row>
    <row r="12919" spans="1:1" s="427" customFormat="1" ht="12" hidden="1" customHeight="1">
      <c r="A12919" s="426"/>
    </row>
    <row r="12920" spans="1:1" s="427" customFormat="1" ht="12" hidden="1" customHeight="1">
      <c r="A12920" s="426"/>
    </row>
    <row r="12921" spans="1:1" s="427" customFormat="1" ht="12" hidden="1" customHeight="1">
      <c r="A12921" s="426"/>
    </row>
    <row r="12922" spans="1:1" s="427" customFormat="1" ht="12" hidden="1" customHeight="1">
      <c r="A12922" s="426"/>
    </row>
    <row r="12923" spans="1:1" s="427" customFormat="1" ht="12" hidden="1" customHeight="1">
      <c r="A12923" s="426"/>
    </row>
    <row r="12924" spans="1:1" s="427" customFormat="1" ht="12" hidden="1" customHeight="1">
      <c r="A12924" s="426"/>
    </row>
    <row r="12925" spans="1:1" s="427" customFormat="1" ht="12" hidden="1" customHeight="1">
      <c r="A12925" s="426"/>
    </row>
    <row r="12926" spans="1:1" s="427" customFormat="1" ht="12" hidden="1" customHeight="1">
      <c r="A12926" s="426"/>
    </row>
    <row r="12927" spans="1:1" s="427" customFormat="1" ht="12" hidden="1" customHeight="1">
      <c r="A12927" s="426"/>
    </row>
    <row r="12928" spans="1:1" s="427" customFormat="1" ht="12" hidden="1" customHeight="1">
      <c r="A12928" s="426"/>
    </row>
    <row r="12929" spans="1:1" s="427" customFormat="1" ht="12" hidden="1" customHeight="1">
      <c r="A12929" s="426"/>
    </row>
    <row r="12930" spans="1:1" s="427" customFormat="1" ht="12" hidden="1" customHeight="1">
      <c r="A12930" s="426"/>
    </row>
    <row r="12931" spans="1:1" s="427" customFormat="1" ht="12" hidden="1" customHeight="1">
      <c r="A12931" s="426"/>
    </row>
    <row r="12932" spans="1:1" s="427" customFormat="1" ht="12" hidden="1" customHeight="1">
      <c r="A12932" s="426"/>
    </row>
    <row r="12933" spans="1:1" s="427" customFormat="1" ht="12" hidden="1" customHeight="1">
      <c r="A12933" s="426"/>
    </row>
    <row r="12934" spans="1:1" s="427" customFormat="1" ht="12" hidden="1" customHeight="1">
      <c r="A12934" s="426"/>
    </row>
    <row r="12935" spans="1:1" s="427" customFormat="1" ht="12" hidden="1" customHeight="1">
      <c r="A12935" s="426"/>
    </row>
    <row r="12936" spans="1:1" s="427" customFormat="1" ht="12" hidden="1" customHeight="1">
      <c r="A12936" s="426"/>
    </row>
    <row r="12937" spans="1:1" s="427" customFormat="1" ht="12" hidden="1" customHeight="1">
      <c r="A12937" s="426"/>
    </row>
    <row r="12938" spans="1:1" s="427" customFormat="1" ht="12" hidden="1" customHeight="1">
      <c r="A12938" s="426"/>
    </row>
    <row r="12939" spans="1:1" s="427" customFormat="1" ht="12" hidden="1" customHeight="1">
      <c r="A12939" s="426"/>
    </row>
    <row r="12940" spans="1:1" s="427" customFormat="1" ht="12" hidden="1" customHeight="1">
      <c r="A12940" s="426"/>
    </row>
    <row r="12941" spans="1:1" s="427" customFormat="1" ht="12" hidden="1" customHeight="1">
      <c r="A12941" s="426"/>
    </row>
    <row r="12942" spans="1:1" s="427" customFormat="1" ht="12" hidden="1" customHeight="1">
      <c r="A12942" s="426"/>
    </row>
    <row r="12943" spans="1:1" s="427" customFormat="1" ht="12" hidden="1" customHeight="1">
      <c r="A12943" s="426"/>
    </row>
    <row r="12944" spans="1:1" s="427" customFormat="1" ht="12" hidden="1" customHeight="1">
      <c r="A12944" s="426"/>
    </row>
    <row r="12945" spans="1:1" s="427" customFormat="1" ht="12" hidden="1" customHeight="1">
      <c r="A12945" s="426"/>
    </row>
    <row r="12946" spans="1:1" s="427" customFormat="1" ht="12" hidden="1" customHeight="1">
      <c r="A12946" s="426"/>
    </row>
    <row r="12947" spans="1:1" s="427" customFormat="1" ht="12" hidden="1" customHeight="1">
      <c r="A12947" s="426"/>
    </row>
    <row r="12948" spans="1:1" s="427" customFormat="1" ht="12" hidden="1" customHeight="1">
      <c r="A12948" s="426"/>
    </row>
    <row r="12949" spans="1:1" s="427" customFormat="1" ht="12" hidden="1" customHeight="1">
      <c r="A12949" s="426"/>
    </row>
    <row r="12950" spans="1:1" s="427" customFormat="1" ht="12" hidden="1" customHeight="1">
      <c r="A12950" s="426"/>
    </row>
    <row r="12951" spans="1:1" s="427" customFormat="1" ht="12" hidden="1" customHeight="1">
      <c r="A12951" s="426"/>
    </row>
    <row r="12952" spans="1:1" s="427" customFormat="1" ht="12" hidden="1" customHeight="1">
      <c r="A12952" s="426"/>
    </row>
    <row r="12953" spans="1:1" s="427" customFormat="1" ht="12" hidden="1" customHeight="1">
      <c r="A12953" s="426"/>
    </row>
    <row r="12954" spans="1:1" s="427" customFormat="1" ht="12" hidden="1" customHeight="1">
      <c r="A12954" s="426"/>
    </row>
    <row r="12955" spans="1:1" s="427" customFormat="1" ht="12" hidden="1" customHeight="1">
      <c r="A12955" s="426"/>
    </row>
    <row r="12956" spans="1:1" s="427" customFormat="1" ht="12" hidden="1" customHeight="1">
      <c r="A12956" s="426"/>
    </row>
    <row r="12957" spans="1:1" s="427" customFormat="1" ht="12" hidden="1" customHeight="1">
      <c r="A12957" s="426"/>
    </row>
    <row r="12958" spans="1:1" s="427" customFormat="1" ht="12" hidden="1" customHeight="1">
      <c r="A12958" s="426"/>
    </row>
    <row r="12959" spans="1:1" s="427" customFormat="1" ht="12" hidden="1" customHeight="1">
      <c r="A12959" s="426"/>
    </row>
    <row r="12960" spans="1:1" s="427" customFormat="1" ht="12" hidden="1" customHeight="1">
      <c r="A12960" s="426"/>
    </row>
    <row r="12961" spans="1:1" s="427" customFormat="1" ht="12" hidden="1" customHeight="1">
      <c r="A12961" s="426"/>
    </row>
    <row r="12962" spans="1:1" s="427" customFormat="1" ht="12" hidden="1" customHeight="1">
      <c r="A12962" s="426"/>
    </row>
    <row r="12963" spans="1:1" s="427" customFormat="1" ht="12" hidden="1" customHeight="1">
      <c r="A12963" s="426"/>
    </row>
    <row r="12964" spans="1:1" s="427" customFormat="1" ht="12" hidden="1" customHeight="1">
      <c r="A12964" s="426"/>
    </row>
    <row r="12965" spans="1:1" s="427" customFormat="1" ht="12" hidden="1" customHeight="1">
      <c r="A12965" s="426"/>
    </row>
    <row r="12966" spans="1:1" s="427" customFormat="1" ht="12" hidden="1" customHeight="1">
      <c r="A12966" s="426"/>
    </row>
    <row r="12967" spans="1:1" s="427" customFormat="1" ht="12" hidden="1" customHeight="1">
      <c r="A12967" s="426"/>
    </row>
    <row r="12968" spans="1:1" s="427" customFormat="1" ht="12" hidden="1" customHeight="1">
      <c r="A12968" s="426"/>
    </row>
    <row r="12969" spans="1:1" s="427" customFormat="1" ht="12" hidden="1" customHeight="1">
      <c r="A12969" s="426"/>
    </row>
    <row r="12970" spans="1:1" s="427" customFormat="1" ht="12" hidden="1" customHeight="1">
      <c r="A12970" s="426"/>
    </row>
    <row r="12971" spans="1:1" s="427" customFormat="1" ht="12" hidden="1" customHeight="1">
      <c r="A12971" s="426"/>
    </row>
    <row r="12972" spans="1:1" s="427" customFormat="1" ht="12" hidden="1" customHeight="1">
      <c r="A12972" s="426"/>
    </row>
    <row r="12973" spans="1:1" s="427" customFormat="1" ht="12" hidden="1" customHeight="1">
      <c r="A12973" s="426"/>
    </row>
    <row r="12974" spans="1:1" s="427" customFormat="1" ht="12" hidden="1" customHeight="1">
      <c r="A12974" s="426"/>
    </row>
    <row r="12975" spans="1:1" s="427" customFormat="1" ht="12" hidden="1" customHeight="1">
      <c r="A12975" s="426"/>
    </row>
    <row r="12976" spans="1:1" s="427" customFormat="1" ht="12" hidden="1" customHeight="1">
      <c r="A12976" s="426"/>
    </row>
    <row r="12977" spans="1:1" s="427" customFormat="1" ht="12" hidden="1" customHeight="1">
      <c r="A12977" s="426"/>
    </row>
    <row r="12978" spans="1:1" s="427" customFormat="1" ht="12" hidden="1" customHeight="1">
      <c r="A12978" s="426"/>
    </row>
    <row r="12979" spans="1:1" s="427" customFormat="1" ht="12" hidden="1" customHeight="1">
      <c r="A12979" s="426"/>
    </row>
    <row r="12980" spans="1:1" s="427" customFormat="1" ht="12" hidden="1" customHeight="1">
      <c r="A12980" s="426"/>
    </row>
    <row r="12981" spans="1:1" s="427" customFormat="1" ht="12" hidden="1" customHeight="1">
      <c r="A12981" s="426"/>
    </row>
    <row r="12982" spans="1:1" s="427" customFormat="1" ht="12" hidden="1" customHeight="1">
      <c r="A12982" s="426"/>
    </row>
    <row r="12983" spans="1:1" s="427" customFormat="1" ht="12" hidden="1" customHeight="1">
      <c r="A12983" s="426"/>
    </row>
    <row r="12984" spans="1:1" s="427" customFormat="1" ht="12" hidden="1" customHeight="1">
      <c r="A12984" s="426"/>
    </row>
    <row r="12985" spans="1:1" s="427" customFormat="1" ht="12" hidden="1" customHeight="1">
      <c r="A12985" s="426"/>
    </row>
    <row r="12986" spans="1:1" s="427" customFormat="1" ht="12" hidden="1" customHeight="1">
      <c r="A12986" s="426"/>
    </row>
    <row r="12987" spans="1:1" s="427" customFormat="1" ht="12" hidden="1" customHeight="1">
      <c r="A12987" s="426"/>
    </row>
    <row r="12988" spans="1:1" s="427" customFormat="1" ht="12" hidden="1" customHeight="1">
      <c r="A12988" s="426"/>
    </row>
    <row r="12989" spans="1:1" s="427" customFormat="1" ht="12" hidden="1" customHeight="1">
      <c r="A12989" s="426"/>
    </row>
    <row r="12990" spans="1:1" s="427" customFormat="1" ht="12" hidden="1" customHeight="1">
      <c r="A12990" s="426"/>
    </row>
    <row r="12991" spans="1:1" s="427" customFormat="1" ht="12" hidden="1" customHeight="1">
      <c r="A12991" s="426"/>
    </row>
    <row r="12992" spans="1:1" s="427" customFormat="1" ht="12" hidden="1" customHeight="1">
      <c r="A12992" s="426"/>
    </row>
    <row r="12993" spans="1:1" s="427" customFormat="1" ht="12" hidden="1" customHeight="1">
      <c r="A12993" s="426"/>
    </row>
    <row r="12994" spans="1:1" s="427" customFormat="1" ht="12" hidden="1" customHeight="1">
      <c r="A12994" s="426"/>
    </row>
    <row r="12995" spans="1:1" s="427" customFormat="1" ht="12" hidden="1" customHeight="1">
      <c r="A12995" s="426"/>
    </row>
    <row r="12996" spans="1:1" s="427" customFormat="1" ht="12" hidden="1" customHeight="1">
      <c r="A12996" s="426"/>
    </row>
    <row r="12997" spans="1:1" s="427" customFormat="1" ht="12" hidden="1" customHeight="1">
      <c r="A12997" s="426"/>
    </row>
    <row r="12998" spans="1:1" s="427" customFormat="1" ht="12" hidden="1" customHeight="1">
      <c r="A12998" s="426"/>
    </row>
    <row r="12999" spans="1:1" s="427" customFormat="1" ht="12" hidden="1" customHeight="1">
      <c r="A12999" s="426"/>
    </row>
    <row r="13000" spans="1:1" s="427" customFormat="1" ht="12" hidden="1" customHeight="1">
      <c r="A13000" s="426"/>
    </row>
    <row r="13001" spans="1:1" s="427" customFormat="1" ht="12" hidden="1" customHeight="1">
      <c r="A13001" s="426"/>
    </row>
    <row r="13002" spans="1:1" s="427" customFormat="1" ht="12" hidden="1" customHeight="1">
      <c r="A13002" s="426"/>
    </row>
    <row r="13003" spans="1:1" s="427" customFormat="1" ht="12" hidden="1" customHeight="1">
      <c r="A13003" s="426"/>
    </row>
    <row r="13004" spans="1:1" s="427" customFormat="1" ht="12" hidden="1" customHeight="1">
      <c r="A13004" s="426"/>
    </row>
    <row r="13005" spans="1:1" s="427" customFormat="1" ht="12" hidden="1" customHeight="1">
      <c r="A13005" s="426"/>
    </row>
    <row r="13006" spans="1:1" s="427" customFormat="1" ht="12" hidden="1" customHeight="1">
      <c r="A13006" s="426"/>
    </row>
    <row r="13007" spans="1:1" s="427" customFormat="1" ht="12" hidden="1" customHeight="1">
      <c r="A13007" s="426"/>
    </row>
    <row r="13008" spans="1:1" s="427" customFormat="1" ht="12" hidden="1" customHeight="1">
      <c r="A13008" s="426"/>
    </row>
    <row r="13009" spans="1:1" s="427" customFormat="1" ht="12" hidden="1" customHeight="1">
      <c r="A13009" s="426"/>
    </row>
    <row r="13010" spans="1:1" s="427" customFormat="1" ht="12" hidden="1" customHeight="1">
      <c r="A13010" s="426"/>
    </row>
    <row r="13011" spans="1:1" s="427" customFormat="1" ht="12" hidden="1" customHeight="1">
      <c r="A13011" s="426"/>
    </row>
    <row r="13012" spans="1:1" s="427" customFormat="1" ht="12" hidden="1" customHeight="1">
      <c r="A13012" s="426"/>
    </row>
    <row r="13013" spans="1:1" s="427" customFormat="1" ht="12" hidden="1" customHeight="1">
      <c r="A13013" s="426"/>
    </row>
    <row r="13014" spans="1:1" s="427" customFormat="1" ht="12" hidden="1" customHeight="1">
      <c r="A13014" s="426"/>
    </row>
    <row r="13015" spans="1:1" s="427" customFormat="1" ht="12" hidden="1" customHeight="1">
      <c r="A13015" s="426"/>
    </row>
    <row r="13016" spans="1:1" s="427" customFormat="1" ht="12" hidden="1" customHeight="1">
      <c r="A13016" s="426"/>
    </row>
    <row r="13017" spans="1:1" s="427" customFormat="1" ht="12" hidden="1" customHeight="1">
      <c r="A13017" s="426"/>
    </row>
    <row r="13018" spans="1:1" s="427" customFormat="1" ht="12" hidden="1" customHeight="1">
      <c r="A13018" s="426"/>
    </row>
    <row r="13019" spans="1:1" s="427" customFormat="1" ht="12" hidden="1" customHeight="1">
      <c r="A13019" s="426"/>
    </row>
    <row r="13020" spans="1:1" s="427" customFormat="1" ht="12" hidden="1" customHeight="1">
      <c r="A13020" s="426"/>
    </row>
    <row r="13021" spans="1:1" s="427" customFormat="1" ht="12" hidden="1" customHeight="1">
      <c r="A13021" s="426"/>
    </row>
    <row r="13022" spans="1:1" s="427" customFormat="1" ht="12" hidden="1" customHeight="1">
      <c r="A13022" s="426"/>
    </row>
    <row r="13023" spans="1:1" s="427" customFormat="1" ht="12" hidden="1" customHeight="1">
      <c r="A13023" s="426"/>
    </row>
    <row r="13024" spans="1:1" s="427" customFormat="1" ht="12" hidden="1" customHeight="1">
      <c r="A13024" s="426"/>
    </row>
    <row r="13025" spans="1:1" s="427" customFormat="1" ht="12" hidden="1" customHeight="1">
      <c r="A13025" s="426"/>
    </row>
    <row r="13026" spans="1:1" s="427" customFormat="1" ht="12" hidden="1" customHeight="1">
      <c r="A13026" s="426"/>
    </row>
    <row r="13027" spans="1:1" s="427" customFormat="1" ht="12" hidden="1" customHeight="1">
      <c r="A13027" s="426"/>
    </row>
    <row r="13028" spans="1:1" s="427" customFormat="1" ht="12" hidden="1" customHeight="1">
      <c r="A13028" s="426"/>
    </row>
    <row r="13029" spans="1:1" s="427" customFormat="1" ht="12" hidden="1" customHeight="1">
      <c r="A13029" s="426"/>
    </row>
    <row r="13030" spans="1:1" s="427" customFormat="1" ht="12" hidden="1" customHeight="1">
      <c r="A13030" s="426"/>
    </row>
    <row r="13031" spans="1:1" s="427" customFormat="1" ht="12" hidden="1" customHeight="1">
      <c r="A13031" s="426"/>
    </row>
    <row r="13032" spans="1:1" s="427" customFormat="1" ht="12" hidden="1" customHeight="1">
      <c r="A13032" s="426"/>
    </row>
    <row r="13033" spans="1:1" s="427" customFormat="1" ht="12" hidden="1" customHeight="1">
      <c r="A13033" s="426"/>
    </row>
    <row r="13034" spans="1:1" s="427" customFormat="1" ht="12" hidden="1" customHeight="1">
      <c r="A13034" s="426"/>
    </row>
    <row r="13035" spans="1:1" s="427" customFormat="1" ht="12" hidden="1" customHeight="1">
      <c r="A13035" s="426"/>
    </row>
    <row r="13036" spans="1:1" s="427" customFormat="1" ht="12" hidden="1" customHeight="1">
      <c r="A13036" s="426"/>
    </row>
    <row r="13037" spans="1:1" s="427" customFormat="1" ht="12" hidden="1" customHeight="1">
      <c r="A13037" s="426"/>
    </row>
    <row r="13038" spans="1:1" s="427" customFormat="1" ht="12" hidden="1" customHeight="1">
      <c r="A13038" s="426"/>
    </row>
    <row r="13039" spans="1:1" s="427" customFormat="1" ht="12" hidden="1" customHeight="1">
      <c r="A13039" s="426"/>
    </row>
    <row r="13040" spans="1:1" s="427" customFormat="1" ht="12" hidden="1" customHeight="1">
      <c r="A13040" s="426"/>
    </row>
    <row r="13041" spans="1:1" s="427" customFormat="1" ht="12" hidden="1" customHeight="1">
      <c r="A13041" s="426"/>
    </row>
    <row r="13042" spans="1:1" s="427" customFormat="1" ht="12" hidden="1" customHeight="1">
      <c r="A13042" s="426"/>
    </row>
    <row r="13043" spans="1:1" s="427" customFormat="1" ht="12" hidden="1" customHeight="1">
      <c r="A13043" s="426"/>
    </row>
    <row r="13044" spans="1:1" s="427" customFormat="1" ht="12" hidden="1" customHeight="1">
      <c r="A13044" s="426"/>
    </row>
    <row r="13045" spans="1:1" s="427" customFormat="1" ht="12" hidden="1" customHeight="1">
      <c r="A13045" s="426"/>
    </row>
    <row r="13046" spans="1:1" s="427" customFormat="1" ht="12" hidden="1" customHeight="1">
      <c r="A13046" s="426"/>
    </row>
    <row r="13047" spans="1:1" s="427" customFormat="1" ht="12" hidden="1" customHeight="1">
      <c r="A13047" s="426"/>
    </row>
    <row r="13048" spans="1:1" s="427" customFormat="1" ht="12" hidden="1" customHeight="1">
      <c r="A13048" s="426"/>
    </row>
    <row r="13049" spans="1:1" s="427" customFormat="1" ht="12" hidden="1" customHeight="1">
      <c r="A13049" s="426"/>
    </row>
    <row r="13050" spans="1:1" s="427" customFormat="1" ht="12" hidden="1" customHeight="1">
      <c r="A13050" s="426"/>
    </row>
    <row r="13051" spans="1:1" s="427" customFormat="1" ht="12" hidden="1" customHeight="1">
      <c r="A13051" s="426"/>
    </row>
    <row r="13052" spans="1:1" s="427" customFormat="1" ht="12" hidden="1" customHeight="1">
      <c r="A13052" s="426"/>
    </row>
    <row r="13053" spans="1:1" s="427" customFormat="1" ht="12" hidden="1" customHeight="1">
      <c r="A13053" s="426"/>
    </row>
    <row r="13054" spans="1:1" s="427" customFormat="1" ht="12" hidden="1" customHeight="1">
      <c r="A13054" s="426"/>
    </row>
    <row r="13055" spans="1:1" s="427" customFormat="1" ht="12" hidden="1" customHeight="1">
      <c r="A13055" s="426"/>
    </row>
    <row r="13056" spans="1:1" s="427" customFormat="1" ht="12" hidden="1" customHeight="1">
      <c r="A13056" s="426"/>
    </row>
    <row r="13057" spans="1:1" s="427" customFormat="1" ht="12" hidden="1" customHeight="1">
      <c r="A13057" s="426"/>
    </row>
    <row r="13058" spans="1:1" s="427" customFormat="1" ht="12" hidden="1" customHeight="1">
      <c r="A13058" s="426"/>
    </row>
    <row r="13059" spans="1:1" s="427" customFormat="1" ht="12" hidden="1" customHeight="1">
      <c r="A13059" s="426"/>
    </row>
    <row r="13060" spans="1:1" s="427" customFormat="1" ht="12" hidden="1" customHeight="1">
      <c r="A13060" s="426"/>
    </row>
    <row r="13061" spans="1:1" s="427" customFormat="1" ht="12" hidden="1" customHeight="1">
      <c r="A13061" s="426"/>
    </row>
    <row r="13062" spans="1:1" s="427" customFormat="1" ht="12" hidden="1" customHeight="1">
      <c r="A13062" s="426"/>
    </row>
    <row r="13063" spans="1:1" s="427" customFormat="1" ht="12" hidden="1" customHeight="1">
      <c r="A13063" s="426"/>
    </row>
    <row r="13064" spans="1:1" s="427" customFormat="1" ht="12" hidden="1" customHeight="1">
      <c r="A13064" s="426"/>
    </row>
    <row r="13065" spans="1:1" s="427" customFormat="1" ht="12" hidden="1" customHeight="1">
      <c r="A13065" s="426"/>
    </row>
    <row r="13066" spans="1:1" s="427" customFormat="1" ht="12" hidden="1" customHeight="1">
      <c r="A13066" s="426"/>
    </row>
    <row r="13067" spans="1:1" s="427" customFormat="1" ht="12" hidden="1" customHeight="1">
      <c r="A13067" s="426"/>
    </row>
    <row r="13068" spans="1:1" s="427" customFormat="1" ht="12" hidden="1" customHeight="1">
      <c r="A13068" s="426"/>
    </row>
    <row r="13069" spans="1:1" s="427" customFormat="1" ht="12" hidden="1" customHeight="1">
      <c r="A13069" s="426"/>
    </row>
    <row r="13070" spans="1:1" s="427" customFormat="1" ht="12" hidden="1" customHeight="1">
      <c r="A13070" s="426"/>
    </row>
    <row r="13071" spans="1:1" s="427" customFormat="1" ht="12" hidden="1" customHeight="1">
      <c r="A13071" s="426"/>
    </row>
    <row r="13072" spans="1:1" s="427" customFormat="1" ht="12" hidden="1" customHeight="1">
      <c r="A13072" s="426"/>
    </row>
    <row r="13073" spans="1:1" s="427" customFormat="1" ht="12" hidden="1" customHeight="1">
      <c r="A13073" s="426"/>
    </row>
    <row r="13074" spans="1:1" s="427" customFormat="1" ht="12" hidden="1" customHeight="1">
      <c r="A13074" s="426"/>
    </row>
    <row r="13075" spans="1:1" s="427" customFormat="1" ht="12" hidden="1" customHeight="1">
      <c r="A13075" s="426"/>
    </row>
    <row r="13076" spans="1:1" s="427" customFormat="1" ht="12" hidden="1" customHeight="1">
      <c r="A13076" s="426"/>
    </row>
    <row r="13077" spans="1:1" s="427" customFormat="1" ht="12" hidden="1" customHeight="1">
      <c r="A13077" s="426"/>
    </row>
    <row r="13078" spans="1:1" s="427" customFormat="1" ht="12" hidden="1" customHeight="1">
      <c r="A13078" s="426"/>
    </row>
    <row r="13079" spans="1:1" s="427" customFormat="1" ht="12" hidden="1" customHeight="1">
      <c r="A13079" s="426"/>
    </row>
    <row r="13080" spans="1:1" s="427" customFormat="1" ht="12" hidden="1" customHeight="1">
      <c r="A13080" s="426"/>
    </row>
    <row r="13081" spans="1:1" s="427" customFormat="1" ht="12" hidden="1" customHeight="1">
      <c r="A13081" s="426"/>
    </row>
    <row r="13082" spans="1:1" s="427" customFormat="1" ht="12" hidden="1" customHeight="1">
      <c r="A13082" s="426"/>
    </row>
    <row r="13083" spans="1:1" s="427" customFormat="1" ht="12" hidden="1" customHeight="1">
      <c r="A13083" s="426"/>
    </row>
    <row r="13084" spans="1:1" s="427" customFormat="1" ht="12" hidden="1" customHeight="1">
      <c r="A13084" s="426"/>
    </row>
    <row r="13085" spans="1:1" s="427" customFormat="1" ht="12" hidden="1" customHeight="1">
      <c r="A13085" s="426"/>
    </row>
    <row r="13086" spans="1:1" s="427" customFormat="1" ht="12" hidden="1" customHeight="1">
      <c r="A13086" s="426"/>
    </row>
    <row r="13087" spans="1:1" s="427" customFormat="1" ht="12" hidden="1" customHeight="1">
      <c r="A13087" s="426"/>
    </row>
    <row r="13088" spans="1:1" s="427" customFormat="1" ht="12" hidden="1" customHeight="1">
      <c r="A13088" s="426"/>
    </row>
    <row r="13089" spans="1:1" s="427" customFormat="1" ht="12" hidden="1" customHeight="1">
      <c r="A13089" s="426"/>
    </row>
    <row r="13090" spans="1:1" s="427" customFormat="1" ht="12" hidden="1" customHeight="1">
      <c r="A13090" s="426"/>
    </row>
    <row r="13091" spans="1:1" s="427" customFormat="1" ht="12" hidden="1" customHeight="1">
      <c r="A13091" s="426"/>
    </row>
    <row r="13092" spans="1:1" s="427" customFormat="1" ht="12" hidden="1" customHeight="1">
      <c r="A13092" s="426"/>
    </row>
    <row r="13093" spans="1:1" s="427" customFormat="1" ht="12" hidden="1" customHeight="1">
      <c r="A13093" s="426"/>
    </row>
    <row r="13094" spans="1:1" s="427" customFormat="1" ht="12" hidden="1" customHeight="1">
      <c r="A13094" s="426"/>
    </row>
    <row r="13095" spans="1:1" s="427" customFormat="1" ht="12" hidden="1" customHeight="1">
      <c r="A13095" s="426"/>
    </row>
    <row r="13096" spans="1:1" s="427" customFormat="1" ht="12" hidden="1" customHeight="1">
      <c r="A13096" s="426"/>
    </row>
    <row r="13097" spans="1:1" s="427" customFormat="1" ht="12" hidden="1" customHeight="1">
      <c r="A13097" s="426"/>
    </row>
    <row r="13098" spans="1:1" s="427" customFormat="1" ht="12" hidden="1" customHeight="1">
      <c r="A13098" s="426"/>
    </row>
    <row r="13099" spans="1:1" s="427" customFormat="1" ht="12" hidden="1" customHeight="1">
      <c r="A13099" s="426"/>
    </row>
    <row r="13100" spans="1:1" s="427" customFormat="1" ht="12" hidden="1" customHeight="1">
      <c r="A13100" s="426"/>
    </row>
    <row r="13101" spans="1:1" s="427" customFormat="1" ht="12" hidden="1" customHeight="1">
      <c r="A13101" s="426"/>
    </row>
    <row r="13102" spans="1:1" s="427" customFormat="1" ht="12" hidden="1" customHeight="1">
      <c r="A13102" s="426"/>
    </row>
    <row r="13103" spans="1:1" s="427" customFormat="1" ht="12" hidden="1" customHeight="1">
      <c r="A13103" s="426"/>
    </row>
    <row r="13104" spans="1:1" s="427" customFormat="1" ht="12" hidden="1" customHeight="1">
      <c r="A13104" s="426"/>
    </row>
    <row r="13105" spans="1:1" s="427" customFormat="1" ht="12" hidden="1" customHeight="1">
      <c r="A13105" s="426"/>
    </row>
    <row r="13106" spans="1:1" s="427" customFormat="1" ht="12" hidden="1" customHeight="1">
      <c r="A13106" s="426"/>
    </row>
    <row r="13107" spans="1:1" s="427" customFormat="1" ht="12" hidden="1" customHeight="1">
      <c r="A13107" s="426"/>
    </row>
    <row r="13108" spans="1:1" s="427" customFormat="1" ht="12" hidden="1" customHeight="1">
      <c r="A13108" s="426"/>
    </row>
    <row r="13109" spans="1:1" s="427" customFormat="1" ht="12" hidden="1" customHeight="1">
      <c r="A13109" s="426"/>
    </row>
    <row r="13110" spans="1:1" s="427" customFormat="1" ht="12" hidden="1" customHeight="1">
      <c r="A13110" s="426"/>
    </row>
    <row r="13111" spans="1:1" s="427" customFormat="1" ht="12" hidden="1" customHeight="1">
      <c r="A13111" s="426"/>
    </row>
    <row r="13112" spans="1:1" s="427" customFormat="1" ht="12" hidden="1" customHeight="1">
      <c r="A13112" s="426"/>
    </row>
    <row r="13113" spans="1:1" s="427" customFormat="1" ht="12" hidden="1" customHeight="1">
      <c r="A13113" s="426"/>
    </row>
    <row r="13114" spans="1:1" s="427" customFormat="1" ht="12" hidden="1" customHeight="1">
      <c r="A13114" s="426"/>
    </row>
    <row r="13115" spans="1:1" s="427" customFormat="1" ht="12" hidden="1" customHeight="1">
      <c r="A13115" s="426"/>
    </row>
    <row r="13116" spans="1:1" s="427" customFormat="1" ht="12" hidden="1" customHeight="1">
      <c r="A13116" s="426"/>
    </row>
    <row r="13117" spans="1:1" s="427" customFormat="1" ht="12" hidden="1" customHeight="1">
      <c r="A13117" s="426"/>
    </row>
    <row r="13118" spans="1:1" s="427" customFormat="1" ht="12" hidden="1" customHeight="1">
      <c r="A13118" s="426"/>
    </row>
    <row r="13119" spans="1:1" s="427" customFormat="1" ht="12" hidden="1" customHeight="1">
      <c r="A13119" s="426"/>
    </row>
    <row r="13120" spans="1:1" s="427" customFormat="1" ht="12" hidden="1" customHeight="1">
      <c r="A13120" s="426"/>
    </row>
    <row r="13121" spans="1:1" s="427" customFormat="1" ht="12" hidden="1" customHeight="1">
      <c r="A13121" s="426"/>
    </row>
    <row r="13122" spans="1:1" s="427" customFormat="1" ht="12" hidden="1" customHeight="1">
      <c r="A13122" s="426"/>
    </row>
    <row r="13123" spans="1:1" s="427" customFormat="1" ht="12" hidden="1" customHeight="1">
      <c r="A13123" s="426"/>
    </row>
    <row r="13124" spans="1:1" s="427" customFormat="1" ht="12" hidden="1" customHeight="1">
      <c r="A13124" s="426"/>
    </row>
    <row r="13125" spans="1:1" s="427" customFormat="1" ht="12" hidden="1" customHeight="1">
      <c r="A13125" s="426"/>
    </row>
    <row r="13126" spans="1:1" s="427" customFormat="1" ht="12" hidden="1" customHeight="1">
      <c r="A13126" s="426"/>
    </row>
    <row r="13127" spans="1:1" s="427" customFormat="1" ht="12" hidden="1" customHeight="1">
      <c r="A13127" s="426"/>
    </row>
    <row r="13128" spans="1:1" s="427" customFormat="1" ht="12" hidden="1" customHeight="1">
      <c r="A13128" s="426"/>
    </row>
    <row r="13129" spans="1:1" s="427" customFormat="1" ht="12" hidden="1" customHeight="1">
      <c r="A13129" s="426"/>
    </row>
    <row r="13130" spans="1:1" s="427" customFormat="1" ht="12" hidden="1" customHeight="1">
      <c r="A13130" s="426"/>
    </row>
    <row r="13131" spans="1:1" s="427" customFormat="1" ht="12" hidden="1" customHeight="1">
      <c r="A13131" s="426"/>
    </row>
    <row r="13132" spans="1:1" s="427" customFormat="1" ht="12" hidden="1" customHeight="1">
      <c r="A13132" s="426"/>
    </row>
    <row r="13133" spans="1:1" s="427" customFormat="1" ht="12" hidden="1" customHeight="1">
      <c r="A13133" s="426"/>
    </row>
    <row r="13134" spans="1:1" s="427" customFormat="1" ht="12" hidden="1" customHeight="1">
      <c r="A13134" s="426"/>
    </row>
    <row r="13135" spans="1:1" s="427" customFormat="1" ht="12" hidden="1" customHeight="1">
      <c r="A13135" s="426"/>
    </row>
    <row r="13136" spans="1:1" s="427" customFormat="1" ht="12" hidden="1" customHeight="1">
      <c r="A13136" s="426"/>
    </row>
    <row r="13137" spans="1:1" s="427" customFormat="1" ht="12" hidden="1" customHeight="1">
      <c r="A13137" s="426"/>
    </row>
    <row r="13138" spans="1:1" s="427" customFormat="1" ht="12" hidden="1" customHeight="1">
      <c r="A13138" s="426"/>
    </row>
    <row r="13139" spans="1:1" s="427" customFormat="1" ht="12" hidden="1" customHeight="1">
      <c r="A13139" s="426"/>
    </row>
    <row r="13140" spans="1:1" s="427" customFormat="1" ht="12" hidden="1" customHeight="1">
      <c r="A13140" s="426"/>
    </row>
    <row r="13141" spans="1:1" s="427" customFormat="1" ht="12" hidden="1" customHeight="1">
      <c r="A13141" s="426"/>
    </row>
    <row r="13142" spans="1:1" s="427" customFormat="1" ht="12" hidden="1" customHeight="1">
      <c r="A13142" s="426"/>
    </row>
    <row r="13143" spans="1:1" s="427" customFormat="1" ht="12" hidden="1" customHeight="1">
      <c r="A13143" s="426"/>
    </row>
    <row r="13144" spans="1:1" s="427" customFormat="1" ht="12" hidden="1" customHeight="1">
      <c r="A13144" s="426"/>
    </row>
    <row r="13145" spans="1:1" s="427" customFormat="1" ht="12" hidden="1" customHeight="1">
      <c r="A13145" s="426"/>
    </row>
    <row r="13146" spans="1:1" s="427" customFormat="1" ht="12" hidden="1" customHeight="1">
      <c r="A13146" s="426"/>
    </row>
    <row r="13147" spans="1:1" s="427" customFormat="1" ht="12" hidden="1" customHeight="1">
      <c r="A13147" s="426"/>
    </row>
    <row r="13148" spans="1:1" s="427" customFormat="1" ht="12" hidden="1" customHeight="1">
      <c r="A13148" s="426"/>
    </row>
    <row r="13149" spans="1:1" s="427" customFormat="1" ht="12" hidden="1" customHeight="1">
      <c r="A13149" s="426"/>
    </row>
    <row r="13150" spans="1:1" s="427" customFormat="1" ht="12" hidden="1" customHeight="1">
      <c r="A13150" s="426"/>
    </row>
    <row r="13151" spans="1:1" s="427" customFormat="1" ht="12" hidden="1" customHeight="1">
      <c r="A13151" s="426"/>
    </row>
    <row r="13152" spans="1:1" s="427" customFormat="1" ht="12" hidden="1" customHeight="1">
      <c r="A13152" s="426"/>
    </row>
    <row r="13153" spans="1:1" s="427" customFormat="1" ht="12" hidden="1" customHeight="1">
      <c r="A13153" s="426"/>
    </row>
    <row r="13154" spans="1:1" s="427" customFormat="1" ht="12" hidden="1" customHeight="1">
      <c r="A13154" s="426"/>
    </row>
    <row r="13155" spans="1:1" s="427" customFormat="1" ht="12" hidden="1" customHeight="1">
      <c r="A13155" s="426"/>
    </row>
    <row r="13156" spans="1:1" s="427" customFormat="1" ht="12" hidden="1" customHeight="1">
      <c r="A13156" s="426"/>
    </row>
    <row r="13157" spans="1:1" s="427" customFormat="1" ht="12" hidden="1" customHeight="1">
      <c r="A13157" s="426"/>
    </row>
    <row r="13158" spans="1:1" s="427" customFormat="1" ht="12" hidden="1" customHeight="1">
      <c r="A13158" s="426"/>
    </row>
    <row r="13159" spans="1:1" s="427" customFormat="1" ht="12" hidden="1" customHeight="1">
      <c r="A13159" s="426"/>
    </row>
    <row r="13160" spans="1:1" s="427" customFormat="1" ht="12" hidden="1" customHeight="1">
      <c r="A13160" s="426"/>
    </row>
    <row r="13161" spans="1:1" s="427" customFormat="1" ht="12" hidden="1" customHeight="1">
      <c r="A13161" s="426"/>
    </row>
    <row r="13162" spans="1:1" s="427" customFormat="1" ht="12" hidden="1" customHeight="1">
      <c r="A13162" s="426"/>
    </row>
    <row r="13163" spans="1:1" s="427" customFormat="1" ht="12" hidden="1" customHeight="1">
      <c r="A13163" s="426"/>
    </row>
    <row r="13164" spans="1:1" s="427" customFormat="1" ht="12" hidden="1" customHeight="1">
      <c r="A13164" s="426"/>
    </row>
    <row r="13165" spans="1:1" s="427" customFormat="1" ht="12" hidden="1" customHeight="1">
      <c r="A13165" s="426"/>
    </row>
    <row r="13166" spans="1:1" s="427" customFormat="1" ht="12" hidden="1" customHeight="1">
      <c r="A13166" s="426"/>
    </row>
    <row r="13167" spans="1:1" s="427" customFormat="1" ht="12" hidden="1" customHeight="1">
      <c r="A13167" s="426"/>
    </row>
    <row r="13168" spans="1:1" s="427" customFormat="1" ht="12" hidden="1" customHeight="1">
      <c r="A13168" s="426"/>
    </row>
    <row r="13169" spans="1:1" s="427" customFormat="1" ht="12" hidden="1" customHeight="1">
      <c r="A13169" s="426"/>
    </row>
    <row r="13170" spans="1:1" s="427" customFormat="1" ht="12" hidden="1" customHeight="1">
      <c r="A13170" s="426"/>
    </row>
    <row r="13171" spans="1:1" s="427" customFormat="1" ht="12" hidden="1" customHeight="1">
      <c r="A13171" s="426"/>
    </row>
    <row r="13172" spans="1:1" s="427" customFormat="1" ht="12" hidden="1" customHeight="1">
      <c r="A13172" s="426"/>
    </row>
    <row r="13173" spans="1:1" s="427" customFormat="1" ht="12" hidden="1" customHeight="1">
      <c r="A13173" s="426"/>
    </row>
    <row r="13174" spans="1:1" s="427" customFormat="1" ht="12" hidden="1" customHeight="1">
      <c r="A13174" s="426"/>
    </row>
    <row r="13175" spans="1:1" s="427" customFormat="1" ht="12" hidden="1" customHeight="1">
      <c r="A13175" s="426"/>
    </row>
    <row r="13176" spans="1:1" s="427" customFormat="1" ht="12" hidden="1" customHeight="1">
      <c r="A13176" s="426"/>
    </row>
    <row r="13177" spans="1:1" s="427" customFormat="1" ht="12" hidden="1" customHeight="1">
      <c r="A13177" s="426"/>
    </row>
    <row r="13178" spans="1:1" s="427" customFormat="1" ht="12" hidden="1" customHeight="1">
      <c r="A13178" s="426"/>
    </row>
    <row r="13179" spans="1:1" s="427" customFormat="1" ht="12" hidden="1" customHeight="1">
      <c r="A13179" s="426"/>
    </row>
    <row r="13180" spans="1:1" s="427" customFormat="1" ht="12" hidden="1" customHeight="1">
      <c r="A13180" s="426"/>
    </row>
    <row r="13181" spans="1:1" s="427" customFormat="1" ht="12" hidden="1" customHeight="1">
      <c r="A13181" s="426"/>
    </row>
    <row r="13182" spans="1:1" s="427" customFormat="1" ht="12" hidden="1" customHeight="1">
      <c r="A13182" s="426"/>
    </row>
    <row r="13183" spans="1:1" s="427" customFormat="1" ht="12" hidden="1" customHeight="1">
      <c r="A13183" s="426"/>
    </row>
    <row r="13184" spans="1:1" s="427" customFormat="1" ht="12" hidden="1" customHeight="1">
      <c r="A13184" s="426"/>
    </row>
    <row r="13185" spans="1:1" s="427" customFormat="1" ht="12" hidden="1" customHeight="1">
      <c r="A13185" s="426"/>
    </row>
    <row r="13186" spans="1:1" s="427" customFormat="1" ht="12" hidden="1" customHeight="1">
      <c r="A13186" s="426"/>
    </row>
    <row r="13187" spans="1:1" s="427" customFormat="1" ht="12" hidden="1" customHeight="1">
      <c r="A13187" s="426"/>
    </row>
    <row r="13188" spans="1:1" s="427" customFormat="1" ht="12" hidden="1" customHeight="1">
      <c r="A13188" s="426"/>
    </row>
    <row r="13189" spans="1:1" s="427" customFormat="1" ht="12" hidden="1" customHeight="1">
      <c r="A13189" s="426"/>
    </row>
    <row r="13190" spans="1:1" s="427" customFormat="1" ht="12" hidden="1" customHeight="1">
      <c r="A13190" s="426"/>
    </row>
    <row r="13191" spans="1:1" s="427" customFormat="1" ht="12" hidden="1" customHeight="1">
      <c r="A13191" s="426"/>
    </row>
    <row r="13192" spans="1:1" s="427" customFormat="1" ht="12" hidden="1" customHeight="1">
      <c r="A13192" s="426"/>
    </row>
    <row r="13193" spans="1:1" s="427" customFormat="1" ht="12" hidden="1" customHeight="1">
      <c r="A13193" s="426"/>
    </row>
    <row r="13194" spans="1:1" s="427" customFormat="1" ht="12" hidden="1" customHeight="1">
      <c r="A13194" s="426"/>
    </row>
    <row r="13195" spans="1:1" s="427" customFormat="1" ht="12" hidden="1" customHeight="1">
      <c r="A13195" s="426"/>
    </row>
    <row r="13196" spans="1:1" s="427" customFormat="1" ht="12" hidden="1" customHeight="1">
      <c r="A13196" s="426"/>
    </row>
    <row r="13197" spans="1:1" s="427" customFormat="1" ht="12" hidden="1" customHeight="1">
      <c r="A13197" s="426"/>
    </row>
    <row r="13198" spans="1:1" s="427" customFormat="1" ht="12" hidden="1" customHeight="1">
      <c r="A13198" s="426"/>
    </row>
    <row r="13199" spans="1:1" s="427" customFormat="1" ht="12" hidden="1" customHeight="1">
      <c r="A13199" s="426"/>
    </row>
    <row r="13200" spans="1:1" s="427" customFormat="1" ht="12" hidden="1" customHeight="1">
      <c r="A13200" s="426"/>
    </row>
    <row r="13201" spans="1:1" s="427" customFormat="1" ht="12" hidden="1" customHeight="1">
      <c r="A13201" s="426"/>
    </row>
    <row r="13202" spans="1:1" s="427" customFormat="1" ht="12" hidden="1" customHeight="1">
      <c r="A13202" s="426"/>
    </row>
    <row r="13203" spans="1:1" s="427" customFormat="1" ht="12" hidden="1" customHeight="1">
      <c r="A13203" s="426"/>
    </row>
    <row r="13204" spans="1:1" s="427" customFormat="1" ht="12" hidden="1" customHeight="1">
      <c r="A13204" s="426"/>
    </row>
    <row r="13205" spans="1:1" s="427" customFormat="1" ht="12" hidden="1" customHeight="1">
      <c r="A13205" s="426"/>
    </row>
    <row r="13206" spans="1:1" s="427" customFormat="1" ht="12" hidden="1" customHeight="1">
      <c r="A13206" s="426"/>
    </row>
    <row r="13207" spans="1:1" s="427" customFormat="1" ht="12" hidden="1" customHeight="1">
      <c r="A13207" s="426"/>
    </row>
    <row r="13208" spans="1:1" s="427" customFormat="1" ht="12" hidden="1" customHeight="1">
      <c r="A13208" s="426"/>
    </row>
    <row r="13209" spans="1:1" s="427" customFormat="1" ht="12" hidden="1" customHeight="1">
      <c r="A13209" s="426"/>
    </row>
    <row r="13210" spans="1:1" s="427" customFormat="1" ht="12" hidden="1" customHeight="1">
      <c r="A13210" s="426"/>
    </row>
    <row r="13211" spans="1:1" s="427" customFormat="1" ht="12" hidden="1" customHeight="1">
      <c r="A13211" s="426"/>
    </row>
    <row r="13212" spans="1:1" s="427" customFormat="1" ht="12" hidden="1" customHeight="1">
      <c r="A13212" s="426"/>
    </row>
    <row r="13213" spans="1:1" s="427" customFormat="1" ht="12" hidden="1" customHeight="1">
      <c r="A13213" s="426"/>
    </row>
    <row r="13214" spans="1:1" s="427" customFormat="1" ht="12" hidden="1" customHeight="1">
      <c r="A13214" s="426"/>
    </row>
    <row r="13215" spans="1:1" s="427" customFormat="1" ht="12" hidden="1" customHeight="1">
      <c r="A13215" s="426"/>
    </row>
    <row r="13216" spans="1:1" s="427" customFormat="1" ht="12" hidden="1" customHeight="1">
      <c r="A13216" s="426"/>
    </row>
    <row r="13217" spans="1:1" s="427" customFormat="1" ht="12" hidden="1" customHeight="1">
      <c r="A13217" s="426"/>
    </row>
    <row r="13218" spans="1:1" s="427" customFormat="1" ht="12" hidden="1" customHeight="1">
      <c r="A13218" s="426"/>
    </row>
    <row r="13219" spans="1:1" s="427" customFormat="1" ht="12" hidden="1" customHeight="1">
      <c r="A13219" s="426"/>
    </row>
    <row r="13220" spans="1:1" s="427" customFormat="1" ht="12" hidden="1" customHeight="1">
      <c r="A13220" s="426"/>
    </row>
    <row r="13221" spans="1:1" s="427" customFormat="1" ht="12" hidden="1" customHeight="1">
      <c r="A13221" s="426"/>
    </row>
    <row r="13222" spans="1:1" s="427" customFormat="1" ht="12" hidden="1" customHeight="1">
      <c r="A13222" s="426"/>
    </row>
    <row r="13223" spans="1:1" s="427" customFormat="1" ht="12" hidden="1" customHeight="1">
      <c r="A13223" s="426"/>
    </row>
    <row r="13224" spans="1:1" s="427" customFormat="1" ht="12" hidden="1" customHeight="1">
      <c r="A13224" s="426"/>
    </row>
    <row r="13225" spans="1:1" s="427" customFormat="1" ht="12" hidden="1" customHeight="1">
      <c r="A13225" s="426"/>
    </row>
    <row r="13226" spans="1:1" s="427" customFormat="1" ht="12" hidden="1" customHeight="1">
      <c r="A13226" s="426"/>
    </row>
    <row r="13227" spans="1:1" s="427" customFormat="1" ht="12" hidden="1" customHeight="1">
      <c r="A13227" s="426"/>
    </row>
    <row r="13228" spans="1:1" s="427" customFormat="1" ht="12" hidden="1" customHeight="1">
      <c r="A13228" s="426"/>
    </row>
    <row r="13229" spans="1:1" s="427" customFormat="1" ht="12" hidden="1" customHeight="1">
      <c r="A13229" s="426"/>
    </row>
    <row r="13230" spans="1:1" s="427" customFormat="1" ht="12" hidden="1" customHeight="1">
      <c r="A13230" s="426"/>
    </row>
    <row r="13231" spans="1:1" s="427" customFormat="1" ht="12" hidden="1" customHeight="1">
      <c r="A13231" s="426"/>
    </row>
    <row r="13232" spans="1:1" s="427" customFormat="1" ht="12" hidden="1" customHeight="1">
      <c r="A13232" s="426"/>
    </row>
    <row r="13233" spans="1:1" s="427" customFormat="1" ht="12" hidden="1" customHeight="1">
      <c r="A13233" s="426"/>
    </row>
    <row r="13234" spans="1:1" s="427" customFormat="1" ht="12" hidden="1" customHeight="1">
      <c r="A13234" s="426"/>
    </row>
    <row r="13235" spans="1:1" s="427" customFormat="1" ht="12" hidden="1" customHeight="1">
      <c r="A13235" s="426"/>
    </row>
    <row r="13236" spans="1:1" s="427" customFormat="1" ht="12" hidden="1" customHeight="1">
      <c r="A13236" s="426"/>
    </row>
    <row r="13237" spans="1:1" s="427" customFormat="1" ht="12" hidden="1" customHeight="1">
      <c r="A13237" s="426"/>
    </row>
    <row r="13238" spans="1:1" s="427" customFormat="1" ht="12" hidden="1" customHeight="1">
      <c r="A13238" s="426"/>
    </row>
    <row r="13239" spans="1:1" s="427" customFormat="1" ht="12" hidden="1" customHeight="1">
      <c r="A13239" s="426"/>
    </row>
    <row r="13240" spans="1:1" s="427" customFormat="1" ht="12" hidden="1" customHeight="1">
      <c r="A13240" s="426"/>
    </row>
    <row r="13241" spans="1:1" s="427" customFormat="1" ht="12" hidden="1" customHeight="1">
      <c r="A13241" s="426"/>
    </row>
    <row r="13242" spans="1:1" s="427" customFormat="1" ht="12" hidden="1" customHeight="1">
      <c r="A13242" s="426"/>
    </row>
    <row r="13243" spans="1:1" s="427" customFormat="1" ht="12" hidden="1" customHeight="1">
      <c r="A13243" s="426"/>
    </row>
    <row r="13244" spans="1:1" s="427" customFormat="1" ht="12" hidden="1" customHeight="1">
      <c r="A13244" s="426"/>
    </row>
    <row r="13245" spans="1:1" s="427" customFormat="1" ht="12" hidden="1" customHeight="1">
      <c r="A13245" s="426"/>
    </row>
    <row r="13246" spans="1:1" s="427" customFormat="1" ht="12" hidden="1" customHeight="1">
      <c r="A13246" s="426"/>
    </row>
    <row r="13247" spans="1:1" s="427" customFormat="1" ht="12" hidden="1" customHeight="1">
      <c r="A13247" s="426"/>
    </row>
    <row r="13248" spans="1:1" s="427" customFormat="1" ht="12" hidden="1" customHeight="1">
      <c r="A13248" s="426"/>
    </row>
    <row r="13249" spans="1:1" s="427" customFormat="1" ht="12" hidden="1" customHeight="1">
      <c r="A13249" s="426"/>
    </row>
    <row r="13250" spans="1:1" s="427" customFormat="1" ht="12" hidden="1" customHeight="1">
      <c r="A13250" s="426"/>
    </row>
    <row r="13251" spans="1:1" s="427" customFormat="1" ht="12" hidden="1" customHeight="1">
      <c r="A13251" s="426"/>
    </row>
    <row r="13252" spans="1:1" s="427" customFormat="1" ht="12" hidden="1" customHeight="1">
      <c r="A13252" s="426"/>
    </row>
    <row r="13253" spans="1:1" s="427" customFormat="1" ht="12" hidden="1" customHeight="1">
      <c r="A13253" s="426"/>
    </row>
    <row r="13254" spans="1:1" s="427" customFormat="1" ht="12" hidden="1" customHeight="1">
      <c r="A13254" s="426"/>
    </row>
    <row r="13255" spans="1:1" s="427" customFormat="1" ht="12" hidden="1" customHeight="1">
      <c r="A13255" s="426"/>
    </row>
    <row r="13256" spans="1:1" s="427" customFormat="1" ht="12" hidden="1" customHeight="1">
      <c r="A13256" s="426"/>
    </row>
    <row r="13257" spans="1:1" s="427" customFormat="1" ht="12" hidden="1" customHeight="1">
      <c r="A13257" s="426"/>
    </row>
    <row r="13258" spans="1:1" s="427" customFormat="1" ht="12" hidden="1" customHeight="1">
      <c r="A13258" s="426"/>
    </row>
    <row r="13259" spans="1:1" s="427" customFormat="1" ht="12" hidden="1" customHeight="1">
      <c r="A13259" s="426"/>
    </row>
    <row r="13260" spans="1:1" s="427" customFormat="1" ht="12" hidden="1" customHeight="1">
      <c r="A13260" s="426"/>
    </row>
    <row r="13261" spans="1:1" s="427" customFormat="1" ht="12" hidden="1" customHeight="1">
      <c r="A13261" s="426"/>
    </row>
    <row r="13262" spans="1:1" s="427" customFormat="1" ht="12" hidden="1" customHeight="1">
      <c r="A13262" s="426"/>
    </row>
    <row r="13263" spans="1:1" s="427" customFormat="1" ht="12" hidden="1" customHeight="1">
      <c r="A13263" s="426"/>
    </row>
    <row r="13264" spans="1:1" s="427" customFormat="1" ht="12" hidden="1" customHeight="1">
      <c r="A13264" s="426"/>
    </row>
    <row r="13265" spans="1:1" s="427" customFormat="1" ht="12" hidden="1" customHeight="1">
      <c r="A13265" s="426"/>
    </row>
    <row r="13266" spans="1:1" s="427" customFormat="1" ht="12" hidden="1" customHeight="1">
      <c r="A13266" s="426"/>
    </row>
    <row r="13267" spans="1:1" s="427" customFormat="1" ht="12" hidden="1" customHeight="1">
      <c r="A13267" s="426"/>
    </row>
    <row r="13268" spans="1:1" s="427" customFormat="1" ht="12" hidden="1" customHeight="1">
      <c r="A13268" s="426"/>
    </row>
    <row r="13269" spans="1:1" s="427" customFormat="1" ht="12" hidden="1" customHeight="1">
      <c r="A13269" s="426"/>
    </row>
    <row r="13270" spans="1:1" s="427" customFormat="1" ht="12" hidden="1" customHeight="1">
      <c r="A13270" s="426"/>
    </row>
    <row r="13271" spans="1:1" s="427" customFormat="1" ht="12" hidden="1" customHeight="1">
      <c r="A13271" s="426"/>
    </row>
    <row r="13272" spans="1:1" s="427" customFormat="1" ht="12" hidden="1" customHeight="1">
      <c r="A13272" s="426"/>
    </row>
    <row r="13273" spans="1:1" s="427" customFormat="1" ht="12" hidden="1" customHeight="1">
      <c r="A13273" s="426"/>
    </row>
    <row r="13274" spans="1:1" s="427" customFormat="1" ht="12" hidden="1" customHeight="1">
      <c r="A13274" s="426"/>
    </row>
    <row r="13275" spans="1:1" s="427" customFormat="1" ht="12" hidden="1" customHeight="1">
      <c r="A13275" s="426"/>
    </row>
    <row r="13276" spans="1:1" s="427" customFormat="1" ht="12" hidden="1" customHeight="1">
      <c r="A13276" s="426"/>
    </row>
    <row r="13277" spans="1:1" s="427" customFormat="1" ht="12" hidden="1" customHeight="1">
      <c r="A13277" s="426"/>
    </row>
    <row r="13278" spans="1:1" s="427" customFormat="1" ht="12" hidden="1" customHeight="1">
      <c r="A13278" s="426"/>
    </row>
    <row r="13279" spans="1:1" s="427" customFormat="1" ht="12" hidden="1" customHeight="1">
      <c r="A13279" s="426"/>
    </row>
    <row r="13280" spans="1:1" s="427" customFormat="1" ht="12" hidden="1" customHeight="1">
      <c r="A13280" s="426"/>
    </row>
    <row r="13281" spans="1:1" s="427" customFormat="1" ht="12" hidden="1" customHeight="1">
      <c r="A13281" s="426"/>
    </row>
    <row r="13282" spans="1:1" s="427" customFormat="1" ht="12" hidden="1" customHeight="1">
      <c r="A13282" s="426"/>
    </row>
    <row r="13283" spans="1:1" s="427" customFormat="1" ht="12" hidden="1" customHeight="1">
      <c r="A13283" s="426"/>
    </row>
    <row r="13284" spans="1:1" s="427" customFormat="1" ht="12" hidden="1" customHeight="1">
      <c r="A13284" s="426"/>
    </row>
    <row r="13285" spans="1:1" s="427" customFormat="1" ht="12" hidden="1" customHeight="1">
      <c r="A13285" s="426"/>
    </row>
    <row r="13286" spans="1:1" s="427" customFormat="1" ht="12" hidden="1" customHeight="1">
      <c r="A13286" s="426"/>
    </row>
    <row r="13287" spans="1:1" s="427" customFormat="1" ht="12" hidden="1" customHeight="1">
      <c r="A13287" s="426"/>
    </row>
    <row r="13288" spans="1:1" s="427" customFormat="1" ht="12" hidden="1" customHeight="1">
      <c r="A13288" s="426"/>
    </row>
    <row r="13289" spans="1:1" s="427" customFormat="1" ht="12" hidden="1" customHeight="1">
      <c r="A13289" s="426"/>
    </row>
    <row r="13290" spans="1:1" s="427" customFormat="1" ht="12" hidden="1" customHeight="1">
      <c r="A13290" s="426"/>
    </row>
    <row r="13291" spans="1:1" s="427" customFormat="1" ht="12" hidden="1" customHeight="1">
      <c r="A13291" s="426"/>
    </row>
    <row r="13292" spans="1:1" s="427" customFormat="1" ht="12" hidden="1" customHeight="1">
      <c r="A13292" s="426"/>
    </row>
    <row r="13293" spans="1:1" s="427" customFormat="1" ht="12" hidden="1" customHeight="1">
      <c r="A13293" s="426"/>
    </row>
    <row r="13294" spans="1:1" s="427" customFormat="1" ht="12" hidden="1" customHeight="1">
      <c r="A13294" s="426"/>
    </row>
    <row r="13295" spans="1:1" s="427" customFormat="1" ht="12" hidden="1" customHeight="1">
      <c r="A13295" s="426"/>
    </row>
    <row r="13296" spans="1:1" s="427" customFormat="1" ht="12" hidden="1" customHeight="1">
      <c r="A13296" s="426"/>
    </row>
    <row r="13297" spans="1:1" s="427" customFormat="1" ht="12" hidden="1" customHeight="1">
      <c r="A13297" s="426"/>
    </row>
    <row r="13298" spans="1:1" s="427" customFormat="1" ht="12" hidden="1" customHeight="1">
      <c r="A13298" s="426"/>
    </row>
    <row r="13299" spans="1:1" s="427" customFormat="1" ht="12" hidden="1" customHeight="1">
      <c r="A13299" s="426"/>
    </row>
    <row r="13300" spans="1:1" s="427" customFormat="1" ht="12" hidden="1" customHeight="1">
      <c r="A13300" s="426"/>
    </row>
    <row r="13301" spans="1:1" s="427" customFormat="1" ht="12" hidden="1" customHeight="1">
      <c r="A13301" s="426"/>
    </row>
    <row r="13302" spans="1:1" s="427" customFormat="1" ht="12" hidden="1" customHeight="1">
      <c r="A13302" s="426"/>
    </row>
    <row r="13303" spans="1:1" s="427" customFormat="1" ht="12" hidden="1" customHeight="1">
      <c r="A13303" s="426"/>
    </row>
    <row r="13304" spans="1:1" s="427" customFormat="1" ht="12" hidden="1" customHeight="1">
      <c r="A13304" s="426"/>
    </row>
    <row r="13305" spans="1:1" s="427" customFormat="1" ht="12" hidden="1" customHeight="1">
      <c r="A13305" s="426"/>
    </row>
    <row r="13306" spans="1:1" s="427" customFormat="1" ht="12" hidden="1" customHeight="1">
      <c r="A13306" s="426"/>
    </row>
    <row r="13307" spans="1:1" s="427" customFormat="1" ht="12" hidden="1" customHeight="1">
      <c r="A13307" s="426"/>
    </row>
    <row r="13308" spans="1:1" s="427" customFormat="1" ht="12" hidden="1" customHeight="1">
      <c r="A13308" s="426"/>
    </row>
    <row r="13309" spans="1:1" s="427" customFormat="1" ht="12" hidden="1" customHeight="1">
      <c r="A13309" s="426"/>
    </row>
    <row r="13310" spans="1:1" s="427" customFormat="1" ht="12" hidden="1" customHeight="1">
      <c r="A13310" s="426"/>
    </row>
    <row r="13311" spans="1:1" s="427" customFormat="1" ht="12" hidden="1" customHeight="1">
      <c r="A13311" s="426"/>
    </row>
    <row r="13312" spans="1:1" s="427" customFormat="1" ht="12" hidden="1" customHeight="1">
      <c r="A13312" s="426"/>
    </row>
    <row r="13313" spans="1:1" s="427" customFormat="1" ht="12" hidden="1" customHeight="1">
      <c r="A13313" s="426"/>
    </row>
    <row r="13314" spans="1:1" s="427" customFormat="1" ht="12" hidden="1" customHeight="1">
      <c r="A13314" s="426"/>
    </row>
    <row r="13315" spans="1:1" s="427" customFormat="1" ht="12" hidden="1" customHeight="1">
      <c r="A13315" s="426"/>
    </row>
    <row r="13316" spans="1:1" s="427" customFormat="1" ht="12" hidden="1" customHeight="1">
      <c r="A13316" s="426"/>
    </row>
    <row r="13317" spans="1:1" s="427" customFormat="1" ht="12" hidden="1" customHeight="1">
      <c r="A13317" s="426"/>
    </row>
    <row r="13318" spans="1:1" s="427" customFormat="1" ht="12" hidden="1" customHeight="1">
      <c r="A13318" s="426"/>
    </row>
    <row r="13319" spans="1:1" s="427" customFormat="1" ht="12" hidden="1" customHeight="1">
      <c r="A13319" s="426"/>
    </row>
    <row r="13320" spans="1:1" s="427" customFormat="1" ht="12" hidden="1" customHeight="1">
      <c r="A13320" s="426"/>
    </row>
    <row r="13321" spans="1:1" s="427" customFormat="1" ht="12" hidden="1" customHeight="1">
      <c r="A13321" s="426"/>
    </row>
    <row r="13322" spans="1:1" s="427" customFormat="1" ht="12" hidden="1" customHeight="1">
      <c r="A13322" s="426"/>
    </row>
    <row r="13323" spans="1:1" s="427" customFormat="1" ht="12" hidden="1" customHeight="1">
      <c r="A13323" s="426"/>
    </row>
    <row r="13324" spans="1:1" s="427" customFormat="1" ht="12" hidden="1" customHeight="1">
      <c r="A13324" s="426"/>
    </row>
    <row r="13325" spans="1:1" s="427" customFormat="1" ht="12" hidden="1" customHeight="1">
      <c r="A13325" s="426"/>
    </row>
    <row r="13326" spans="1:1" s="427" customFormat="1" ht="12" hidden="1" customHeight="1">
      <c r="A13326" s="426"/>
    </row>
    <row r="13327" spans="1:1" s="427" customFormat="1" ht="12" hidden="1" customHeight="1">
      <c r="A13327" s="426"/>
    </row>
    <row r="13328" spans="1:1" s="427" customFormat="1" ht="12" hidden="1" customHeight="1">
      <c r="A13328" s="426"/>
    </row>
    <row r="13329" spans="1:1" s="427" customFormat="1" ht="12" hidden="1" customHeight="1">
      <c r="A13329" s="426"/>
    </row>
    <row r="13330" spans="1:1" s="427" customFormat="1" ht="12" hidden="1" customHeight="1">
      <c r="A13330" s="426"/>
    </row>
    <row r="13331" spans="1:1" s="427" customFormat="1" ht="12" hidden="1" customHeight="1">
      <c r="A13331" s="426"/>
    </row>
    <row r="13332" spans="1:1" s="427" customFormat="1" ht="12" hidden="1" customHeight="1">
      <c r="A13332" s="426"/>
    </row>
    <row r="13333" spans="1:1" s="427" customFormat="1" ht="12" hidden="1" customHeight="1">
      <c r="A13333" s="426"/>
    </row>
    <row r="13334" spans="1:1" s="427" customFormat="1" ht="12" hidden="1" customHeight="1">
      <c r="A13334" s="426"/>
    </row>
    <row r="13335" spans="1:1" s="427" customFormat="1" ht="12" hidden="1" customHeight="1">
      <c r="A13335" s="426"/>
    </row>
    <row r="13336" spans="1:1" s="427" customFormat="1" ht="12" hidden="1" customHeight="1">
      <c r="A13336" s="426"/>
    </row>
    <row r="13337" spans="1:1" s="427" customFormat="1" ht="12" hidden="1" customHeight="1">
      <c r="A13337" s="426"/>
    </row>
    <row r="13338" spans="1:1" s="427" customFormat="1" ht="12" hidden="1" customHeight="1">
      <c r="A13338" s="426"/>
    </row>
    <row r="13339" spans="1:1" s="427" customFormat="1" ht="12" hidden="1" customHeight="1">
      <c r="A13339" s="426"/>
    </row>
    <row r="13340" spans="1:1" s="427" customFormat="1" ht="12" hidden="1" customHeight="1">
      <c r="A13340" s="426"/>
    </row>
    <row r="13341" spans="1:1" s="427" customFormat="1" ht="12" hidden="1" customHeight="1">
      <c r="A13341" s="426"/>
    </row>
    <row r="13342" spans="1:1" s="427" customFormat="1" ht="12" hidden="1" customHeight="1">
      <c r="A13342" s="426"/>
    </row>
    <row r="13343" spans="1:1" s="427" customFormat="1" ht="12" hidden="1" customHeight="1">
      <c r="A13343" s="426"/>
    </row>
    <row r="13344" spans="1:1" s="427" customFormat="1" ht="12" hidden="1" customHeight="1">
      <c r="A13344" s="426"/>
    </row>
    <row r="13345" spans="1:1" s="427" customFormat="1" ht="12" hidden="1" customHeight="1">
      <c r="A13345" s="426"/>
    </row>
    <row r="13346" spans="1:1" s="427" customFormat="1" ht="12" hidden="1" customHeight="1">
      <c r="A13346" s="426"/>
    </row>
    <row r="13347" spans="1:1" s="427" customFormat="1" ht="12" hidden="1" customHeight="1">
      <c r="A13347" s="426"/>
    </row>
    <row r="13348" spans="1:1" s="427" customFormat="1" ht="12" hidden="1" customHeight="1">
      <c r="A13348" s="426"/>
    </row>
    <row r="13349" spans="1:1" s="427" customFormat="1" ht="12" hidden="1" customHeight="1">
      <c r="A13349" s="426"/>
    </row>
    <row r="13350" spans="1:1" s="427" customFormat="1" ht="12" hidden="1" customHeight="1">
      <c r="A13350" s="426"/>
    </row>
    <row r="13351" spans="1:1" s="427" customFormat="1" ht="12" hidden="1" customHeight="1">
      <c r="A13351" s="426"/>
    </row>
    <row r="13352" spans="1:1" s="427" customFormat="1" ht="12" hidden="1" customHeight="1">
      <c r="A13352" s="426"/>
    </row>
    <row r="13353" spans="1:1" s="427" customFormat="1" ht="12" hidden="1" customHeight="1">
      <c r="A13353" s="426"/>
    </row>
    <row r="13354" spans="1:1" s="427" customFormat="1" ht="12" hidden="1" customHeight="1">
      <c r="A13354" s="426"/>
    </row>
    <row r="13355" spans="1:1" s="427" customFormat="1" ht="12" hidden="1" customHeight="1">
      <c r="A13355" s="426"/>
    </row>
    <row r="13356" spans="1:1" s="427" customFormat="1" ht="12" hidden="1" customHeight="1">
      <c r="A13356" s="426"/>
    </row>
    <row r="13357" spans="1:1" s="427" customFormat="1" ht="12" hidden="1" customHeight="1">
      <c r="A13357" s="426"/>
    </row>
    <row r="13358" spans="1:1" s="427" customFormat="1" ht="12" hidden="1" customHeight="1">
      <c r="A13358" s="426"/>
    </row>
    <row r="13359" spans="1:1" s="427" customFormat="1" ht="12" hidden="1" customHeight="1">
      <c r="A13359" s="426"/>
    </row>
    <row r="13360" spans="1:1" s="427" customFormat="1" ht="12" hidden="1" customHeight="1">
      <c r="A13360" s="426"/>
    </row>
    <row r="13361" spans="1:1" s="427" customFormat="1" ht="12" hidden="1" customHeight="1">
      <c r="A13361" s="426"/>
    </row>
    <row r="13362" spans="1:1" s="427" customFormat="1" ht="12" hidden="1" customHeight="1">
      <c r="A13362" s="426"/>
    </row>
    <row r="13363" spans="1:1" s="427" customFormat="1" ht="12" hidden="1" customHeight="1">
      <c r="A13363" s="426"/>
    </row>
    <row r="13364" spans="1:1" s="427" customFormat="1" ht="12" hidden="1" customHeight="1">
      <c r="A13364" s="426"/>
    </row>
    <row r="13365" spans="1:1" s="427" customFormat="1" ht="12" hidden="1" customHeight="1">
      <c r="A13365" s="426"/>
    </row>
    <row r="13366" spans="1:1" s="427" customFormat="1" ht="12" hidden="1" customHeight="1">
      <c r="A13366" s="426"/>
    </row>
    <row r="13367" spans="1:1" s="427" customFormat="1" ht="12" hidden="1" customHeight="1">
      <c r="A13367" s="426"/>
    </row>
    <row r="13368" spans="1:1" s="427" customFormat="1" ht="12" hidden="1" customHeight="1">
      <c r="A13368" s="426"/>
    </row>
    <row r="13369" spans="1:1" s="427" customFormat="1" ht="12" hidden="1" customHeight="1">
      <c r="A13369" s="426"/>
    </row>
    <row r="13370" spans="1:1" s="427" customFormat="1" ht="12" hidden="1" customHeight="1">
      <c r="A13370" s="426"/>
    </row>
    <row r="13371" spans="1:1" s="427" customFormat="1" ht="12" hidden="1" customHeight="1">
      <c r="A13371" s="426"/>
    </row>
    <row r="13372" spans="1:1" s="427" customFormat="1" ht="12" hidden="1" customHeight="1">
      <c r="A13372" s="426"/>
    </row>
    <row r="13373" spans="1:1" s="427" customFormat="1" ht="12" hidden="1" customHeight="1">
      <c r="A13373" s="426"/>
    </row>
    <row r="13374" spans="1:1" s="427" customFormat="1" ht="12" hidden="1" customHeight="1">
      <c r="A13374" s="426"/>
    </row>
    <row r="13375" spans="1:1" s="427" customFormat="1" ht="12" hidden="1" customHeight="1">
      <c r="A13375" s="426"/>
    </row>
    <row r="13376" spans="1:1" s="427" customFormat="1" ht="12" hidden="1" customHeight="1">
      <c r="A13376" s="426"/>
    </row>
    <row r="13377" spans="1:1" s="427" customFormat="1" ht="12" hidden="1" customHeight="1">
      <c r="A13377" s="426"/>
    </row>
    <row r="13378" spans="1:1" s="427" customFormat="1" ht="12" hidden="1" customHeight="1">
      <c r="A13378" s="426"/>
    </row>
    <row r="13379" spans="1:1" s="427" customFormat="1" ht="12" hidden="1" customHeight="1">
      <c r="A13379" s="426"/>
    </row>
    <row r="13380" spans="1:1" s="427" customFormat="1" ht="12" hidden="1" customHeight="1">
      <c r="A13380" s="426"/>
    </row>
    <row r="13381" spans="1:1" s="427" customFormat="1" ht="12" hidden="1" customHeight="1">
      <c r="A13381" s="426"/>
    </row>
    <row r="13382" spans="1:1" s="427" customFormat="1" ht="12" hidden="1" customHeight="1">
      <c r="A13382" s="426"/>
    </row>
    <row r="13383" spans="1:1" s="427" customFormat="1" ht="12" hidden="1" customHeight="1">
      <c r="A13383" s="426"/>
    </row>
    <row r="13384" spans="1:1" s="427" customFormat="1" ht="12" hidden="1" customHeight="1">
      <c r="A13384" s="426"/>
    </row>
    <row r="13385" spans="1:1" s="427" customFormat="1" ht="12" hidden="1" customHeight="1">
      <c r="A13385" s="426"/>
    </row>
    <row r="13386" spans="1:1" s="427" customFormat="1" ht="12" hidden="1" customHeight="1">
      <c r="A13386" s="426"/>
    </row>
    <row r="13387" spans="1:1" s="427" customFormat="1" ht="12" hidden="1" customHeight="1">
      <c r="A13387" s="426"/>
    </row>
    <row r="13388" spans="1:1" s="427" customFormat="1" ht="12" hidden="1" customHeight="1">
      <c r="A13388" s="426"/>
    </row>
    <row r="13389" spans="1:1" s="427" customFormat="1" ht="12" hidden="1" customHeight="1">
      <c r="A13389" s="426"/>
    </row>
    <row r="13390" spans="1:1" s="427" customFormat="1" ht="12" hidden="1" customHeight="1">
      <c r="A13390" s="426"/>
    </row>
    <row r="13391" spans="1:1" s="427" customFormat="1" ht="12" hidden="1" customHeight="1">
      <c r="A13391" s="426"/>
    </row>
    <row r="13392" spans="1:1" s="427" customFormat="1" ht="12" hidden="1" customHeight="1">
      <c r="A13392" s="426"/>
    </row>
    <row r="13393" spans="1:1" s="427" customFormat="1" ht="12" hidden="1" customHeight="1">
      <c r="A13393" s="426"/>
    </row>
    <row r="13394" spans="1:1" s="427" customFormat="1" ht="12" hidden="1" customHeight="1">
      <c r="A13394" s="426"/>
    </row>
    <row r="13395" spans="1:1" s="427" customFormat="1" ht="12" hidden="1" customHeight="1">
      <c r="A13395" s="426"/>
    </row>
    <row r="13396" spans="1:1" s="427" customFormat="1" ht="12" hidden="1" customHeight="1">
      <c r="A13396" s="426"/>
    </row>
    <row r="13397" spans="1:1" s="427" customFormat="1" ht="12" hidden="1" customHeight="1">
      <c r="A13397" s="426"/>
    </row>
    <row r="13398" spans="1:1" s="427" customFormat="1" ht="12" hidden="1" customHeight="1">
      <c r="A13398" s="426"/>
    </row>
    <row r="13399" spans="1:1" s="427" customFormat="1" ht="12" hidden="1" customHeight="1">
      <c r="A13399" s="426"/>
    </row>
    <row r="13400" spans="1:1" s="427" customFormat="1" ht="12" hidden="1" customHeight="1">
      <c r="A13400" s="426"/>
    </row>
    <row r="13401" spans="1:1" s="427" customFormat="1" ht="12" hidden="1" customHeight="1">
      <c r="A13401" s="426"/>
    </row>
    <row r="13402" spans="1:1" s="427" customFormat="1" ht="12" hidden="1" customHeight="1">
      <c r="A13402" s="426"/>
    </row>
    <row r="13403" spans="1:1" s="427" customFormat="1" ht="12" hidden="1" customHeight="1">
      <c r="A13403" s="426"/>
    </row>
    <row r="13404" spans="1:1" s="427" customFormat="1" ht="12" hidden="1" customHeight="1">
      <c r="A13404" s="426"/>
    </row>
    <row r="13405" spans="1:1" s="427" customFormat="1" ht="12" hidden="1" customHeight="1">
      <c r="A13405" s="426"/>
    </row>
    <row r="13406" spans="1:1" s="427" customFormat="1" ht="12" hidden="1" customHeight="1">
      <c r="A13406" s="426"/>
    </row>
    <row r="13407" spans="1:1" s="427" customFormat="1" ht="12" hidden="1" customHeight="1">
      <c r="A13407" s="426"/>
    </row>
    <row r="13408" spans="1:1" s="427" customFormat="1" ht="12" hidden="1" customHeight="1">
      <c r="A13408" s="426"/>
    </row>
    <row r="13409" spans="1:1" s="427" customFormat="1" ht="12" hidden="1" customHeight="1">
      <c r="A13409" s="426"/>
    </row>
    <row r="13410" spans="1:1" s="427" customFormat="1" ht="12" hidden="1" customHeight="1">
      <c r="A13410" s="426"/>
    </row>
    <row r="13411" spans="1:1" s="427" customFormat="1" ht="12" hidden="1" customHeight="1">
      <c r="A13411" s="426"/>
    </row>
    <row r="13412" spans="1:1" s="427" customFormat="1" ht="12" hidden="1" customHeight="1">
      <c r="A13412" s="426"/>
    </row>
    <row r="13413" spans="1:1" s="427" customFormat="1" ht="12" hidden="1" customHeight="1">
      <c r="A13413" s="426"/>
    </row>
    <row r="13414" spans="1:1" s="427" customFormat="1" ht="12" hidden="1" customHeight="1">
      <c r="A13414" s="426"/>
    </row>
    <row r="13415" spans="1:1" s="427" customFormat="1" ht="12" hidden="1" customHeight="1">
      <c r="A13415" s="426"/>
    </row>
    <row r="13416" spans="1:1" s="427" customFormat="1" ht="12" hidden="1" customHeight="1">
      <c r="A13416" s="426"/>
    </row>
    <row r="13417" spans="1:1" s="427" customFormat="1" ht="12" hidden="1" customHeight="1">
      <c r="A13417" s="426"/>
    </row>
    <row r="13418" spans="1:1" s="427" customFormat="1" ht="12" hidden="1" customHeight="1">
      <c r="A13418" s="426"/>
    </row>
    <row r="13419" spans="1:1" s="427" customFormat="1" ht="12" hidden="1" customHeight="1">
      <c r="A13419" s="426"/>
    </row>
    <row r="13420" spans="1:1" s="427" customFormat="1" ht="12" hidden="1" customHeight="1">
      <c r="A13420" s="426"/>
    </row>
    <row r="13421" spans="1:1" s="427" customFormat="1" ht="12" hidden="1" customHeight="1">
      <c r="A13421" s="426"/>
    </row>
    <row r="13422" spans="1:1" s="427" customFormat="1" ht="12" hidden="1" customHeight="1">
      <c r="A13422" s="426"/>
    </row>
    <row r="13423" spans="1:1" s="427" customFormat="1" ht="12" hidden="1" customHeight="1">
      <c r="A13423" s="426"/>
    </row>
    <row r="13424" spans="1:1" s="427" customFormat="1" ht="12" hidden="1" customHeight="1">
      <c r="A13424" s="426"/>
    </row>
    <row r="13425" spans="1:1" s="427" customFormat="1" ht="12" hidden="1" customHeight="1">
      <c r="A13425" s="426"/>
    </row>
    <row r="13426" spans="1:1" s="427" customFormat="1" ht="12" hidden="1" customHeight="1">
      <c r="A13426" s="426"/>
    </row>
    <row r="13427" spans="1:1" s="427" customFormat="1" ht="12" hidden="1" customHeight="1">
      <c r="A13427" s="426"/>
    </row>
    <row r="13428" spans="1:1" s="427" customFormat="1" ht="12" hidden="1" customHeight="1">
      <c r="A13428" s="426"/>
    </row>
    <row r="13429" spans="1:1" s="427" customFormat="1" ht="12" hidden="1" customHeight="1">
      <c r="A13429" s="426"/>
    </row>
    <row r="13430" spans="1:1" s="427" customFormat="1" ht="12" hidden="1" customHeight="1">
      <c r="A13430" s="426"/>
    </row>
    <row r="13431" spans="1:1" s="427" customFormat="1" ht="12" hidden="1" customHeight="1">
      <c r="A13431" s="426"/>
    </row>
    <row r="13432" spans="1:1" s="427" customFormat="1" ht="12" hidden="1" customHeight="1">
      <c r="A13432" s="426"/>
    </row>
    <row r="13433" spans="1:1" s="427" customFormat="1" ht="12" hidden="1" customHeight="1">
      <c r="A13433" s="426"/>
    </row>
    <row r="13434" spans="1:1" s="427" customFormat="1" ht="12" hidden="1" customHeight="1">
      <c r="A13434" s="426"/>
    </row>
    <row r="13435" spans="1:1" s="427" customFormat="1" ht="12" hidden="1" customHeight="1">
      <c r="A13435" s="426"/>
    </row>
    <row r="13436" spans="1:1" s="427" customFormat="1" ht="12" hidden="1" customHeight="1">
      <c r="A13436" s="426"/>
    </row>
    <row r="13437" spans="1:1" s="427" customFormat="1" ht="12" hidden="1" customHeight="1">
      <c r="A13437" s="426"/>
    </row>
    <row r="13438" spans="1:1" s="427" customFormat="1" ht="12" hidden="1" customHeight="1">
      <c r="A13438" s="426"/>
    </row>
    <row r="13439" spans="1:1" s="427" customFormat="1" ht="12" hidden="1" customHeight="1">
      <c r="A13439" s="426"/>
    </row>
    <row r="13440" spans="1:1" s="427" customFormat="1" ht="12" hidden="1" customHeight="1">
      <c r="A13440" s="426"/>
    </row>
    <row r="13441" spans="1:1" s="427" customFormat="1" ht="12" hidden="1" customHeight="1">
      <c r="A13441" s="426"/>
    </row>
    <row r="13442" spans="1:1" s="427" customFormat="1" ht="12" hidden="1" customHeight="1">
      <c r="A13442" s="426"/>
    </row>
    <row r="13443" spans="1:1" s="427" customFormat="1" ht="12" hidden="1" customHeight="1">
      <c r="A13443" s="426"/>
    </row>
    <row r="13444" spans="1:1" s="427" customFormat="1" ht="12" hidden="1" customHeight="1">
      <c r="A13444" s="426"/>
    </row>
    <row r="13445" spans="1:1" s="427" customFormat="1" ht="12" hidden="1" customHeight="1">
      <c r="A13445" s="426"/>
    </row>
    <row r="13446" spans="1:1" s="427" customFormat="1" ht="12" hidden="1" customHeight="1">
      <c r="A13446" s="426"/>
    </row>
    <row r="13447" spans="1:1" s="427" customFormat="1" ht="12" hidden="1" customHeight="1">
      <c r="A13447" s="426"/>
    </row>
    <row r="13448" spans="1:1" s="427" customFormat="1" ht="12" hidden="1" customHeight="1">
      <c r="A13448" s="426"/>
    </row>
    <row r="13449" spans="1:1" s="427" customFormat="1" ht="12" hidden="1" customHeight="1">
      <c r="A13449" s="426"/>
    </row>
    <row r="13450" spans="1:1" s="427" customFormat="1" ht="12" hidden="1" customHeight="1">
      <c r="A13450" s="426"/>
    </row>
    <row r="13451" spans="1:1" s="427" customFormat="1" ht="12" hidden="1" customHeight="1">
      <c r="A13451" s="426"/>
    </row>
    <row r="13452" spans="1:1" s="427" customFormat="1" ht="12" hidden="1" customHeight="1">
      <c r="A13452" s="426"/>
    </row>
    <row r="13453" spans="1:1" s="427" customFormat="1" ht="12" hidden="1" customHeight="1">
      <c r="A13453" s="426"/>
    </row>
    <row r="13454" spans="1:1" s="427" customFormat="1" ht="12" hidden="1" customHeight="1">
      <c r="A13454" s="426"/>
    </row>
    <row r="13455" spans="1:1" s="427" customFormat="1" ht="12" hidden="1" customHeight="1">
      <c r="A13455" s="426"/>
    </row>
    <row r="13456" spans="1:1" s="427" customFormat="1" ht="12" hidden="1" customHeight="1">
      <c r="A13456" s="426"/>
    </row>
    <row r="13457" spans="1:1" s="427" customFormat="1" ht="12" hidden="1" customHeight="1">
      <c r="A13457" s="426"/>
    </row>
    <row r="13458" spans="1:1" s="427" customFormat="1" ht="12" hidden="1" customHeight="1">
      <c r="A13458" s="426"/>
    </row>
    <row r="13459" spans="1:1" s="427" customFormat="1" ht="12" hidden="1" customHeight="1">
      <c r="A13459" s="426"/>
    </row>
    <row r="13460" spans="1:1" s="427" customFormat="1" ht="12" hidden="1" customHeight="1">
      <c r="A13460" s="426"/>
    </row>
    <row r="13461" spans="1:1" s="427" customFormat="1" ht="12" hidden="1" customHeight="1">
      <c r="A13461" s="426"/>
    </row>
    <row r="13462" spans="1:1" s="427" customFormat="1" ht="12" hidden="1" customHeight="1">
      <c r="A13462" s="426"/>
    </row>
    <row r="13463" spans="1:1" s="427" customFormat="1" ht="12" hidden="1" customHeight="1">
      <c r="A13463" s="426"/>
    </row>
    <row r="13464" spans="1:1" s="427" customFormat="1" ht="12" hidden="1" customHeight="1">
      <c r="A13464" s="426"/>
    </row>
    <row r="13465" spans="1:1" s="427" customFormat="1" ht="12" hidden="1" customHeight="1">
      <c r="A13465" s="426"/>
    </row>
    <row r="13466" spans="1:1" s="427" customFormat="1" ht="12" hidden="1" customHeight="1">
      <c r="A13466" s="426"/>
    </row>
    <row r="13467" spans="1:1" s="427" customFormat="1" ht="12" hidden="1" customHeight="1">
      <c r="A13467" s="426"/>
    </row>
    <row r="13468" spans="1:1" s="427" customFormat="1" ht="12" hidden="1" customHeight="1">
      <c r="A13468" s="426"/>
    </row>
    <row r="13469" spans="1:1" s="427" customFormat="1" ht="12" hidden="1" customHeight="1">
      <c r="A13469" s="426"/>
    </row>
    <row r="13470" spans="1:1" s="427" customFormat="1" ht="12" hidden="1" customHeight="1">
      <c r="A13470" s="426"/>
    </row>
    <row r="13471" spans="1:1" s="427" customFormat="1" ht="12" hidden="1" customHeight="1">
      <c r="A13471" s="426"/>
    </row>
    <row r="13472" spans="1:1" s="427" customFormat="1" ht="12" hidden="1" customHeight="1">
      <c r="A13472" s="426"/>
    </row>
    <row r="13473" spans="1:1" s="427" customFormat="1" ht="12" hidden="1" customHeight="1">
      <c r="A13473" s="426"/>
    </row>
    <row r="13474" spans="1:1" s="427" customFormat="1" ht="12" hidden="1" customHeight="1">
      <c r="A13474" s="426"/>
    </row>
    <row r="13475" spans="1:1" s="427" customFormat="1" ht="12" hidden="1" customHeight="1">
      <c r="A13475" s="426"/>
    </row>
    <row r="13476" spans="1:1" s="427" customFormat="1" ht="12" hidden="1" customHeight="1">
      <c r="A13476" s="426"/>
    </row>
    <row r="13477" spans="1:1" s="427" customFormat="1" ht="12" hidden="1" customHeight="1">
      <c r="A13477" s="426"/>
    </row>
    <row r="13478" spans="1:1" s="427" customFormat="1" ht="12" hidden="1" customHeight="1">
      <c r="A13478" s="426"/>
    </row>
    <row r="13479" spans="1:1" s="427" customFormat="1" ht="12" hidden="1" customHeight="1">
      <c r="A13479" s="426"/>
    </row>
    <row r="13480" spans="1:1" s="427" customFormat="1" ht="12" hidden="1" customHeight="1">
      <c r="A13480" s="426"/>
    </row>
    <row r="13481" spans="1:1" s="427" customFormat="1" ht="12" hidden="1" customHeight="1">
      <c r="A13481" s="426"/>
    </row>
    <row r="13482" spans="1:1" s="427" customFormat="1" ht="12" hidden="1" customHeight="1">
      <c r="A13482" s="426"/>
    </row>
    <row r="13483" spans="1:1" s="427" customFormat="1" ht="12" hidden="1" customHeight="1">
      <c r="A13483" s="426"/>
    </row>
    <row r="13484" spans="1:1" s="427" customFormat="1" ht="12" hidden="1" customHeight="1">
      <c r="A13484" s="426"/>
    </row>
    <row r="13485" spans="1:1" s="427" customFormat="1" ht="12" hidden="1" customHeight="1">
      <c r="A13485" s="426"/>
    </row>
    <row r="13486" spans="1:1" s="427" customFormat="1" ht="12" hidden="1" customHeight="1">
      <c r="A13486" s="426"/>
    </row>
    <row r="13487" spans="1:1" s="427" customFormat="1" ht="12" hidden="1" customHeight="1">
      <c r="A13487" s="426"/>
    </row>
    <row r="13488" spans="1:1" s="427" customFormat="1" ht="12" hidden="1" customHeight="1">
      <c r="A13488" s="426"/>
    </row>
    <row r="13489" spans="1:1" s="427" customFormat="1" ht="12" hidden="1" customHeight="1">
      <c r="A13489" s="426"/>
    </row>
    <row r="13490" spans="1:1" s="427" customFormat="1" ht="12" hidden="1" customHeight="1">
      <c r="A13490" s="426"/>
    </row>
    <row r="13491" spans="1:1" s="427" customFormat="1" ht="12" hidden="1" customHeight="1">
      <c r="A13491" s="426"/>
    </row>
    <row r="13492" spans="1:1" s="427" customFormat="1" ht="12" hidden="1" customHeight="1">
      <c r="A13492" s="426"/>
    </row>
    <row r="13493" spans="1:1" s="427" customFormat="1" ht="12" hidden="1" customHeight="1">
      <c r="A13493" s="426"/>
    </row>
    <row r="13494" spans="1:1" s="427" customFormat="1" ht="12" hidden="1" customHeight="1">
      <c r="A13494" s="426"/>
    </row>
    <row r="13495" spans="1:1" s="427" customFormat="1" ht="12" hidden="1" customHeight="1">
      <c r="A13495" s="426"/>
    </row>
    <row r="13496" spans="1:1" s="427" customFormat="1" ht="12" hidden="1" customHeight="1">
      <c r="A13496" s="426"/>
    </row>
    <row r="13497" spans="1:1" s="427" customFormat="1" ht="12" hidden="1" customHeight="1">
      <c r="A13497" s="426"/>
    </row>
    <row r="13498" spans="1:1" s="427" customFormat="1" ht="12" hidden="1" customHeight="1">
      <c r="A13498" s="426"/>
    </row>
    <row r="13499" spans="1:1" s="427" customFormat="1" ht="12" hidden="1" customHeight="1">
      <c r="A13499" s="426"/>
    </row>
    <row r="13500" spans="1:1" s="427" customFormat="1" ht="12" hidden="1" customHeight="1">
      <c r="A13500" s="426"/>
    </row>
    <row r="13501" spans="1:1" s="427" customFormat="1" ht="12" hidden="1" customHeight="1">
      <c r="A13501" s="426"/>
    </row>
    <row r="13502" spans="1:1" s="427" customFormat="1" ht="12" hidden="1" customHeight="1">
      <c r="A13502" s="426"/>
    </row>
    <row r="13503" spans="1:1" s="427" customFormat="1" ht="12" hidden="1" customHeight="1">
      <c r="A13503" s="426"/>
    </row>
    <row r="13504" spans="1:1" s="427" customFormat="1" ht="12" hidden="1" customHeight="1">
      <c r="A13504" s="426"/>
    </row>
    <row r="13505" spans="1:1" s="427" customFormat="1" ht="12" hidden="1" customHeight="1">
      <c r="A13505" s="426"/>
    </row>
    <row r="13506" spans="1:1" s="427" customFormat="1" ht="12" hidden="1" customHeight="1">
      <c r="A13506" s="426"/>
    </row>
    <row r="13507" spans="1:1" s="427" customFormat="1" ht="12" hidden="1" customHeight="1">
      <c r="A13507" s="426"/>
    </row>
    <row r="13508" spans="1:1" s="427" customFormat="1" ht="12" hidden="1" customHeight="1">
      <c r="A13508" s="426"/>
    </row>
    <row r="13509" spans="1:1" s="427" customFormat="1" ht="12" hidden="1" customHeight="1">
      <c r="A13509" s="426"/>
    </row>
    <row r="13510" spans="1:1" s="427" customFormat="1" ht="12" hidden="1" customHeight="1">
      <c r="A13510" s="426"/>
    </row>
    <row r="13511" spans="1:1" s="427" customFormat="1" ht="12" hidden="1" customHeight="1">
      <c r="A13511" s="426"/>
    </row>
    <row r="13512" spans="1:1" s="427" customFormat="1" ht="12" hidden="1" customHeight="1">
      <c r="A13512" s="426"/>
    </row>
    <row r="13513" spans="1:1" s="427" customFormat="1" ht="12" hidden="1" customHeight="1">
      <c r="A13513" s="426"/>
    </row>
    <row r="13514" spans="1:1" s="427" customFormat="1" ht="12" hidden="1" customHeight="1">
      <c r="A13514" s="426"/>
    </row>
    <row r="13515" spans="1:1" s="427" customFormat="1" ht="12" hidden="1" customHeight="1">
      <c r="A13515" s="426"/>
    </row>
    <row r="13516" spans="1:1" s="427" customFormat="1" ht="12" hidden="1" customHeight="1">
      <c r="A13516" s="426"/>
    </row>
    <row r="13517" spans="1:1" s="427" customFormat="1" ht="12" hidden="1" customHeight="1">
      <c r="A13517" s="426"/>
    </row>
    <row r="13518" spans="1:1" s="427" customFormat="1" ht="12" hidden="1" customHeight="1">
      <c r="A13518" s="426"/>
    </row>
    <row r="13519" spans="1:1" s="427" customFormat="1" ht="12" hidden="1" customHeight="1">
      <c r="A13519" s="426"/>
    </row>
    <row r="13520" spans="1:1" s="427" customFormat="1" ht="12" hidden="1" customHeight="1">
      <c r="A13520" s="426"/>
    </row>
    <row r="13521" spans="1:1" s="427" customFormat="1" ht="12" hidden="1" customHeight="1">
      <c r="A13521" s="426"/>
    </row>
    <row r="13522" spans="1:1" s="427" customFormat="1" ht="12" hidden="1" customHeight="1">
      <c r="A13522" s="426"/>
    </row>
    <row r="13523" spans="1:1" s="427" customFormat="1" ht="12" hidden="1" customHeight="1">
      <c r="A13523" s="426"/>
    </row>
    <row r="13524" spans="1:1" s="427" customFormat="1" ht="12" hidden="1" customHeight="1">
      <c r="A13524" s="426"/>
    </row>
    <row r="13525" spans="1:1" s="427" customFormat="1" ht="12" hidden="1" customHeight="1">
      <c r="A13525" s="426"/>
    </row>
    <row r="13526" spans="1:1" s="427" customFormat="1" ht="12" hidden="1" customHeight="1">
      <c r="A13526" s="426"/>
    </row>
    <row r="13527" spans="1:1" s="427" customFormat="1" ht="12" hidden="1" customHeight="1">
      <c r="A13527" s="426"/>
    </row>
    <row r="13528" spans="1:1" s="427" customFormat="1" ht="12" hidden="1" customHeight="1">
      <c r="A13528" s="426"/>
    </row>
    <row r="13529" spans="1:1" s="427" customFormat="1" ht="12" hidden="1" customHeight="1">
      <c r="A13529" s="426"/>
    </row>
    <row r="13530" spans="1:1" s="427" customFormat="1" ht="12" hidden="1" customHeight="1">
      <c r="A13530" s="426"/>
    </row>
    <row r="13531" spans="1:1" s="427" customFormat="1" ht="12" hidden="1" customHeight="1">
      <c r="A13531" s="426"/>
    </row>
    <row r="13532" spans="1:1" s="427" customFormat="1" ht="12" hidden="1" customHeight="1">
      <c r="A13532" s="426"/>
    </row>
    <row r="13533" spans="1:1" s="427" customFormat="1" ht="12" hidden="1" customHeight="1">
      <c r="A13533" s="426"/>
    </row>
    <row r="13534" spans="1:1" s="427" customFormat="1" ht="12" hidden="1" customHeight="1">
      <c r="A13534" s="426"/>
    </row>
    <row r="13535" spans="1:1" s="427" customFormat="1" ht="12" hidden="1" customHeight="1">
      <c r="A13535" s="426"/>
    </row>
    <row r="13536" spans="1:1" s="427" customFormat="1" ht="12" hidden="1" customHeight="1">
      <c r="A13536" s="426"/>
    </row>
    <row r="13537" spans="1:1" s="427" customFormat="1" ht="12" hidden="1" customHeight="1">
      <c r="A13537" s="426"/>
    </row>
    <row r="13538" spans="1:1" s="427" customFormat="1" ht="12" hidden="1" customHeight="1">
      <c r="A13538" s="426"/>
    </row>
    <row r="13539" spans="1:1" s="427" customFormat="1" ht="12" hidden="1" customHeight="1">
      <c r="A13539" s="426"/>
    </row>
    <row r="13540" spans="1:1" s="427" customFormat="1" ht="12" hidden="1" customHeight="1">
      <c r="A13540" s="426"/>
    </row>
    <row r="13541" spans="1:1" s="427" customFormat="1" ht="12" hidden="1" customHeight="1">
      <c r="A13541" s="426"/>
    </row>
    <row r="13542" spans="1:1" s="427" customFormat="1" ht="12" hidden="1" customHeight="1">
      <c r="A13542" s="426"/>
    </row>
    <row r="13543" spans="1:1" s="427" customFormat="1" ht="12" hidden="1" customHeight="1">
      <c r="A13543" s="426"/>
    </row>
    <row r="13544" spans="1:1" s="427" customFormat="1" ht="12" hidden="1" customHeight="1">
      <c r="A13544" s="426"/>
    </row>
    <row r="13545" spans="1:1" s="427" customFormat="1" ht="12" hidden="1" customHeight="1">
      <c r="A13545" s="426"/>
    </row>
    <row r="13546" spans="1:1" s="427" customFormat="1" ht="12" hidden="1" customHeight="1">
      <c r="A13546" s="426"/>
    </row>
    <row r="13547" spans="1:1" s="427" customFormat="1" ht="12" hidden="1" customHeight="1">
      <c r="A13547" s="426"/>
    </row>
    <row r="13548" spans="1:1" s="427" customFormat="1" ht="12" hidden="1" customHeight="1">
      <c r="A13548" s="426"/>
    </row>
    <row r="13549" spans="1:1" s="427" customFormat="1" ht="12" hidden="1" customHeight="1">
      <c r="A13549" s="426"/>
    </row>
    <row r="13550" spans="1:1" s="427" customFormat="1" ht="12" hidden="1" customHeight="1">
      <c r="A13550" s="426"/>
    </row>
    <row r="13551" spans="1:1" s="427" customFormat="1" ht="12" hidden="1" customHeight="1">
      <c r="A13551" s="426"/>
    </row>
    <row r="13552" spans="1:1" s="427" customFormat="1" ht="12" hidden="1" customHeight="1">
      <c r="A13552" s="426"/>
    </row>
    <row r="13553" spans="1:1" s="427" customFormat="1" ht="12" hidden="1" customHeight="1">
      <c r="A13553" s="426"/>
    </row>
    <row r="13554" spans="1:1" s="427" customFormat="1" ht="12" hidden="1" customHeight="1">
      <c r="A13554" s="426"/>
    </row>
    <row r="13555" spans="1:1" s="427" customFormat="1" ht="12" hidden="1" customHeight="1">
      <c r="A13555" s="426"/>
    </row>
    <row r="13556" spans="1:1" s="427" customFormat="1" ht="12" hidden="1" customHeight="1">
      <c r="A13556" s="426"/>
    </row>
    <row r="13557" spans="1:1" s="427" customFormat="1" ht="12" hidden="1" customHeight="1">
      <c r="A13557" s="426"/>
    </row>
    <row r="13558" spans="1:1" s="427" customFormat="1" ht="12" hidden="1" customHeight="1">
      <c r="A13558" s="426"/>
    </row>
    <row r="13559" spans="1:1" s="427" customFormat="1" ht="12" hidden="1" customHeight="1">
      <c r="A13559" s="426"/>
    </row>
    <row r="13560" spans="1:1" s="427" customFormat="1" ht="12" hidden="1" customHeight="1">
      <c r="A13560" s="426"/>
    </row>
    <row r="13561" spans="1:1" s="427" customFormat="1" ht="12" hidden="1" customHeight="1">
      <c r="A13561" s="426"/>
    </row>
    <row r="13562" spans="1:1" s="427" customFormat="1" ht="12" hidden="1" customHeight="1">
      <c r="A13562" s="426"/>
    </row>
    <row r="13563" spans="1:1" s="427" customFormat="1" ht="12" hidden="1" customHeight="1">
      <c r="A13563" s="426"/>
    </row>
    <row r="13564" spans="1:1" s="427" customFormat="1" ht="12" hidden="1" customHeight="1">
      <c r="A13564" s="426"/>
    </row>
    <row r="13565" spans="1:1" s="427" customFormat="1" ht="12" hidden="1" customHeight="1">
      <c r="A13565" s="426"/>
    </row>
    <row r="13566" spans="1:1" s="427" customFormat="1" ht="12" hidden="1" customHeight="1">
      <c r="A13566" s="426"/>
    </row>
    <row r="13567" spans="1:1" s="427" customFormat="1" ht="12" hidden="1" customHeight="1">
      <c r="A13567" s="426"/>
    </row>
    <row r="13568" spans="1:1" s="427" customFormat="1" ht="12" hidden="1" customHeight="1">
      <c r="A13568" s="426"/>
    </row>
    <row r="13569" spans="1:1" s="427" customFormat="1" ht="12" hidden="1" customHeight="1">
      <c r="A13569" s="426"/>
    </row>
    <row r="13570" spans="1:1" s="427" customFormat="1" ht="12" hidden="1" customHeight="1">
      <c r="A13570" s="426"/>
    </row>
    <row r="13571" spans="1:1" s="427" customFormat="1" ht="12" hidden="1" customHeight="1">
      <c r="A13571" s="426"/>
    </row>
    <row r="13572" spans="1:1" s="427" customFormat="1" ht="12" hidden="1" customHeight="1">
      <c r="A13572" s="426"/>
    </row>
    <row r="13573" spans="1:1" s="427" customFormat="1" ht="12" hidden="1" customHeight="1">
      <c r="A13573" s="426"/>
    </row>
    <row r="13574" spans="1:1" s="427" customFormat="1" ht="12" hidden="1" customHeight="1">
      <c r="A13574" s="426"/>
    </row>
    <row r="13575" spans="1:1" s="427" customFormat="1" ht="12" hidden="1" customHeight="1">
      <c r="A13575" s="426"/>
    </row>
    <row r="13576" spans="1:1" s="427" customFormat="1" ht="12" hidden="1" customHeight="1">
      <c r="A13576" s="426"/>
    </row>
    <row r="13577" spans="1:1" s="427" customFormat="1" ht="12" hidden="1" customHeight="1">
      <c r="A13577" s="426"/>
    </row>
    <row r="13578" spans="1:1" s="427" customFormat="1" ht="12" hidden="1" customHeight="1">
      <c r="A13578" s="426"/>
    </row>
    <row r="13579" spans="1:1" s="427" customFormat="1" ht="12" hidden="1" customHeight="1">
      <c r="A13579" s="426"/>
    </row>
    <row r="13580" spans="1:1" s="427" customFormat="1" ht="12" hidden="1" customHeight="1">
      <c r="A13580" s="426"/>
    </row>
    <row r="13581" spans="1:1" s="427" customFormat="1" ht="12" hidden="1" customHeight="1">
      <c r="A13581" s="426"/>
    </row>
    <row r="13582" spans="1:1" s="427" customFormat="1" ht="12" hidden="1" customHeight="1">
      <c r="A13582" s="426"/>
    </row>
    <row r="13583" spans="1:1" s="427" customFormat="1" ht="12" hidden="1" customHeight="1">
      <c r="A13583" s="426"/>
    </row>
    <row r="13584" spans="1:1" s="427" customFormat="1" ht="12" hidden="1" customHeight="1">
      <c r="A13584" s="426"/>
    </row>
    <row r="13585" spans="1:1" s="427" customFormat="1" ht="12" hidden="1" customHeight="1">
      <c r="A13585" s="426"/>
    </row>
    <row r="13586" spans="1:1" s="427" customFormat="1" ht="12" hidden="1" customHeight="1">
      <c r="A13586" s="426"/>
    </row>
    <row r="13587" spans="1:1" s="427" customFormat="1" ht="12" hidden="1" customHeight="1">
      <c r="A13587" s="426"/>
    </row>
    <row r="13588" spans="1:1" s="427" customFormat="1" ht="12" hidden="1" customHeight="1">
      <c r="A13588" s="426"/>
    </row>
    <row r="13589" spans="1:1" s="427" customFormat="1" ht="12" hidden="1" customHeight="1">
      <c r="A13589" s="426"/>
    </row>
    <row r="13590" spans="1:1" s="427" customFormat="1" ht="12" hidden="1" customHeight="1">
      <c r="A13590" s="426"/>
    </row>
    <row r="13591" spans="1:1" s="427" customFormat="1" ht="12" hidden="1" customHeight="1">
      <c r="A13591" s="426"/>
    </row>
    <row r="13592" spans="1:1" s="427" customFormat="1" ht="12" hidden="1" customHeight="1">
      <c r="A13592" s="426"/>
    </row>
    <row r="13593" spans="1:1" s="427" customFormat="1" ht="12" hidden="1" customHeight="1">
      <c r="A13593" s="426"/>
    </row>
    <row r="13594" spans="1:1" s="427" customFormat="1" ht="12" hidden="1" customHeight="1">
      <c r="A13594" s="426"/>
    </row>
    <row r="13595" spans="1:1" s="427" customFormat="1" ht="12" hidden="1" customHeight="1">
      <c r="A13595" s="426"/>
    </row>
    <row r="13596" spans="1:1" s="427" customFormat="1" ht="12" hidden="1" customHeight="1">
      <c r="A13596" s="426"/>
    </row>
    <row r="13597" spans="1:1" s="427" customFormat="1" ht="12" hidden="1" customHeight="1">
      <c r="A13597" s="426"/>
    </row>
    <row r="13598" spans="1:1" s="427" customFormat="1" ht="12" hidden="1" customHeight="1">
      <c r="A13598" s="426"/>
    </row>
    <row r="13599" spans="1:1" s="427" customFormat="1" ht="12" hidden="1" customHeight="1">
      <c r="A13599" s="426"/>
    </row>
    <row r="13600" spans="1:1" s="427" customFormat="1" ht="12" hidden="1" customHeight="1">
      <c r="A13600" s="426"/>
    </row>
    <row r="13601" spans="1:1" s="427" customFormat="1" ht="12" hidden="1" customHeight="1">
      <c r="A13601" s="426"/>
    </row>
    <row r="13602" spans="1:1" s="427" customFormat="1" ht="12" hidden="1" customHeight="1">
      <c r="A13602" s="426"/>
    </row>
    <row r="13603" spans="1:1" s="427" customFormat="1" ht="12" hidden="1" customHeight="1">
      <c r="A13603" s="426"/>
    </row>
    <row r="13604" spans="1:1" s="427" customFormat="1" ht="12" hidden="1" customHeight="1">
      <c r="A13604" s="426"/>
    </row>
    <row r="13605" spans="1:1" s="427" customFormat="1" ht="12" hidden="1" customHeight="1">
      <c r="A13605" s="426"/>
    </row>
    <row r="13606" spans="1:1" s="427" customFormat="1" ht="12" hidden="1" customHeight="1">
      <c r="A13606" s="426"/>
    </row>
    <row r="13607" spans="1:1" s="427" customFormat="1" ht="12" hidden="1" customHeight="1">
      <c r="A13607" s="426"/>
    </row>
    <row r="13608" spans="1:1" s="427" customFormat="1" ht="12" hidden="1" customHeight="1">
      <c r="A13608" s="426"/>
    </row>
    <row r="13609" spans="1:1" s="427" customFormat="1" ht="12" hidden="1" customHeight="1">
      <c r="A13609" s="426"/>
    </row>
    <row r="13610" spans="1:1" s="427" customFormat="1" ht="12" hidden="1" customHeight="1">
      <c r="A13610" s="426"/>
    </row>
    <row r="13611" spans="1:1" s="427" customFormat="1" ht="12" hidden="1" customHeight="1">
      <c r="A13611" s="426"/>
    </row>
    <row r="13612" spans="1:1" s="427" customFormat="1" ht="12" hidden="1" customHeight="1">
      <c r="A13612" s="426"/>
    </row>
    <row r="13613" spans="1:1" s="427" customFormat="1" ht="12" hidden="1" customHeight="1">
      <c r="A13613" s="426"/>
    </row>
    <row r="13614" spans="1:1" s="427" customFormat="1" ht="12" hidden="1" customHeight="1">
      <c r="A13614" s="426"/>
    </row>
    <row r="13615" spans="1:1" s="427" customFormat="1" ht="12" hidden="1" customHeight="1">
      <c r="A13615" s="426"/>
    </row>
    <row r="13616" spans="1:1" s="427" customFormat="1" ht="12" hidden="1" customHeight="1">
      <c r="A13616" s="426"/>
    </row>
    <row r="13617" spans="1:1" s="427" customFormat="1" ht="12" hidden="1" customHeight="1">
      <c r="A13617" s="426"/>
    </row>
    <row r="13618" spans="1:1" s="427" customFormat="1" ht="12" hidden="1" customHeight="1">
      <c r="A13618" s="426"/>
    </row>
    <row r="13619" spans="1:1" s="427" customFormat="1" ht="12" hidden="1" customHeight="1">
      <c r="A13619" s="426"/>
    </row>
    <row r="13620" spans="1:1" s="427" customFormat="1" ht="12" hidden="1" customHeight="1">
      <c r="A13620" s="426"/>
    </row>
    <row r="13621" spans="1:1" s="427" customFormat="1" ht="12" hidden="1" customHeight="1">
      <c r="A13621" s="426"/>
    </row>
    <row r="13622" spans="1:1" s="427" customFormat="1" ht="12" hidden="1" customHeight="1">
      <c r="A13622" s="426"/>
    </row>
    <row r="13623" spans="1:1" s="427" customFormat="1" ht="12" hidden="1" customHeight="1">
      <c r="A13623" s="426"/>
    </row>
    <row r="13624" spans="1:1" s="427" customFormat="1" ht="12" hidden="1" customHeight="1">
      <c r="A13624" s="426"/>
    </row>
    <row r="13625" spans="1:1" s="427" customFormat="1" ht="12" hidden="1" customHeight="1">
      <c r="A13625" s="426"/>
    </row>
    <row r="13626" spans="1:1" s="427" customFormat="1" ht="12" hidden="1" customHeight="1">
      <c r="A13626" s="426"/>
    </row>
    <row r="13627" spans="1:1" s="427" customFormat="1" ht="12" hidden="1" customHeight="1">
      <c r="A13627" s="426"/>
    </row>
    <row r="13628" spans="1:1" s="427" customFormat="1" ht="12" hidden="1" customHeight="1">
      <c r="A13628" s="426"/>
    </row>
    <row r="13629" spans="1:1" s="427" customFormat="1" ht="12" hidden="1" customHeight="1">
      <c r="A13629" s="426"/>
    </row>
    <row r="13630" spans="1:1" s="427" customFormat="1" ht="12" hidden="1" customHeight="1">
      <c r="A13630" s="426"/>
    </row>
    <row r="13631" spans="1:1" s="427" customFormat="1" ht="12" hidden="1" customHeight="1">
      <c r="A13631" s="426"/>
    </row>
    <row r="13632" spans="1:1" s="427" customFormat="1" ht="12" hidden="1" customHeight="1">
      <c r="A13632" s="426"/>
    </row>
    <row r="13633" spans="1:1" s="427" customFormat="1" ht="12" hidden="1" customHeight="1">
      <c r="A13633" s="426"/>
    </row>
    <row r="13634" spans="1:1" s="427" customFormat="1" ht="12" hidden="1" customHeight="1">
      <c r="A13634" s="426"/>
    </row>
    <row r="13635" spans="1:1" s="427" customFormat="1" ht="12" hidden="1" customHeight="1">
      <c r="A13635" s="426"/>
    </row>
    <row r="13636" spans="1:1" s="427" customFormat="1" ht="12" hidden="1" customHeight="1">
      <c r="A13636" s="426"/>
    </row>
    <row r="13637" spans="1:1" s="427" customFormat="1" ht="12" hidden="1" customHeight="1">
      <c r="A13637" s="426"/>
    </row>
    <row r="13638" spans="1:1" s="427" customFormat="1" ht="12" hidden="1" customHeight="1">
      <c r="A13638" s="426"/>
    </row>
    <row r="13639" spans="1:1" s="427" customFormat="1" ht="12" hidden="1" customHeight="1">
      <c r="A13639" s="426"/>
    </row>
    <row r="13640" spans="1:1" s="427" customFormat="1" ht="12" hidden="1" customHeight="1">
      <c r="A13640" s="426"/>
    </row>
    <row r="13641" spans="1:1" s="427" customFormat="1" ht="12" hidden="1" customHeight="1">
      <c r="A13641" s="426"/>
    </row>
    <row r="13642" spans="1:1" s="427" customFormat="1" ht="12" hidden="1" customHeight="1">
      <c r="A13642" s="426"/>
    </row>
    <row r="13643" spans="1:1" s="427" customFormat="1" ht="12" hidden="1" customHeight="1">
      <c r="A13643" s="426"/>
    </row>
    <row r="13644" spans="1:1" s="427" customFormat="1" ht="12" hidden="1" customHeight="1">
      <c r="A13644" s="426"/>
    </row>
    <row r="13645" spans="1:1" s="427" customFormat="1" ht="12" hidden="1" customHeight="1">
      <c r="A13645" s="426"/>
    </row>
    <row r="13646" spans="1:1" s="427" customFormat="1" ht="12" hidden="1" customHeight="1">
      <c r="A13646" s="426"/>
    </row>
    <row r="13647" spans="1:1" s="427" customFormat="1" ht="12" hidden="1" customHeight="1">
      <c r="A13647" s="426"/>
    </row>
    <row r="13648" spans="1:1" s="427" customFormat="1" ht="12" hidden="1" customHeight="1">
      <c r="A13648" s="426"/>
    </row>
    <row r="13649" spans="1:1" s="427" customFormat="1" ht="12" hidden="1" customHeight="1">
      <c r="A13649" s="426"/>
    </row>
    <row r="13650" spans="1:1" s="427" customFormat="1" ht="12" hidden="1" customHeight="1">
      <c r="A13650" s="426"/>
    </row>
    <row r="13651" spans="1:1" s="427" customFormat="1" ht="12" hidden="1" customHeight="1">
      <c r="A13651" s="426"/>
    </row>
    <row r="13652" spans="1:1" s="427" customFormat="1" ht="12" hidden="1" customHeight="1">
      <c r="A13652" s="426"/>
    </row>
    <row r="13653" spans="1:1" s="427" customFormat="1" ht="12" hidden="1" customHeight="1">
      <c r="A13653" s="426"/>
    </row>
    <row r="13654" spans="1:1" s="427" customFormat="1" ht="12" hidden="1" customHeight="1">
      <c r="A13654" s="426"/>
    </row>
    <row r="13655" spans="1:1" s="427" customFormat="1" ht="12" hidden="1" customHeight="1">
      <c r="A13655" s="426"/>
    </row>
    <row r="13656" spans="1:1" s="427" customFormat="1" ht="12" hidden="1" customHeight="1">
      <c r="A13656" s="426"/>
    </row>
    <row r="13657" spans="1:1" s="427" customFormat="1" ht="12" hidden="1" customHeight="1">
      <c r="A13657" s="426"/>
    </row>
    <row r="13658" spans="1:1" s="427" customFormat="1" ht="12" hidden="1" customHeight="1">
      <c r="A13658" s="426"/>
    </row>
    <row r="13659" spans="1:1" s="427" customFormat="1" ht="12" hidden="1" customHeight="1">
      <c r="A13659" s="426"/>
    </row>
    <row r="13660" spans="1:1" s="427" customFormat="1" ht="12" hidden="1" customHeight="1">
      <c r="A13660" s="426"/>
    </row>
    <row r="13661" spans="1:1" s="427" customFormat="1" ht="12" hidden="1" customHeight="1">
      <c r="A13661" s="426"/>
    </row>
    <row r="13662" spans="1:1" s="427" customFormat="1" ht="12" hidden="1" customHeight="1">
      <c r="A13662" s="426"/>
    </row>
    <row r="13663" spans="1:1" s="427" customFormat="1" ht="12" hidden="1" customHeight="1">
      <c r="A13663" s="426"/>
    </row>
    <row r="13664" spans="1:1" s="427" customFormat="1" ht="12" hidden="1" customHeight="1">
      <c r="A13664" s="426"/>
    </row>
    <row r="13665" spans="1:1" s="427" customFormat="1" ht="12" hidden="1" customHeight="1">
      <c r="A13665" s="426"/>
    </row>
    <row r="13666" spans="1:1" s="427" customFormat="1" ht="12" hidden="1" customHeight="1">
      <c r="A13666" s="426"/>
    </row>
    <row r="13667" spans="1:1" s="427" customFormat="1" ht="12" hidden="1" customHeight="1">
      <c r="A13667" s="426"/>
    </row>
    <row r="13668" spans="1:1" s="427" customFormat="1" ht="12" hidden="1" customHeight="1">
      <c r="A13668" s="426"/>
    </row>
    <row r="13669" spans="1:1" s="427" customFormat="1" ht="12" hidden="1" customHeight="1">
      <c r="A13669" s="426"/>
    </row>
    <row r="13670" spans="1:1" s="427" customFormat="1" ht="12" hidden="1" customHeight="1">
      <c r="A13670" s="426"/>
    </row>
    <row r="13671" spans="1:1" s="427" customFormat="1" ht="12" hidden="1" customHeight="1">
      <c r="A13671" s="426"/>
    </row>
    <row r="13672" spans="1:1" s="427" customFormat="1" ht="12" hidden="1" customHeight="1">
      <c r="A13672" s="426"/>
    </row>
    <row r="13673" spans="1:1" s="427" customFormat="1" ht="12" hidden="1" customHeight="1">
      <c r="A13673" s="426"/>
    </row>
    <row r="13674" spans="1:1" s="427" customFormat="1" ht="12" hidden="1" customHeight="1">
      <c r="A13674" s="426"/>
    </row>
    <row r="13675" spans="1:1" s="427" customFormat="1" ht="12" hidden="1" customHeight="1">
      <c r="A13675" s="426"/>
    </row>
    <row r="13676" spans="1:1" s="427" customFormat="1" ht="12" hidden="1" customHeight="1">
      <c r="A13676" s="426"/>
    </row>
    <row r="13677" spans="1:1" s="427" customFormat="1" ht="12" hidden="1" customHeight="1">
      <c r="A13677" s="426"/>
    </row>
    <row r="13678" spans="1:1" s="427" customFormat="1" ht="12" hidden="1" customHeight="1">
      <c r="A13678" s="426"/>
    </row>
    <row r="13679" spans="1:1" s="427" customFormat="1" ht="12" hidden="1" customHeight="1">
      <c r="A13679" s="426"/>
    </row>
    <row r="13680" spans="1:1" s="427" customFormat="1" ht="12" hidden="1" customHeight="1">
      <c r="A13680" s="426"/>
    </row>
    <row r="13681" spans="1:1" s="427" customFormat="1" ht="12" hidden="1" customHeight="1">
      <c r="A13681" s="426"/>
    </row>
    <row r="13682" spans="1:1" s="427" customFormat="1" ht="12" hidden="1" customHeight="1">
      <c r="A13682" s="426"/>
    </row>
    <row r="13683" spans="1:1" s="427" customFormat="1" ht="12" hidden="1" customHeight="1">
      <c r="A13683" s="426"/>
    </row>
    <row r="13684" spans="1:1" s="427" customFormat="1" ht="12" hidden="1" customHeight="1">
      <c r="A13684" s="426"/>
    </row>
    <row r="13685" spans="1:1" s="427" customFormat="1" ht="12" hidden="1" customHeight="1">
      <c r="A13685" s="426"/>
    </row>
    <row r="13686" spans="1:1" s="427" customFormat="1" ht="12" hidden="1" customHeight="1">
      <c r="A13686" s="426"/>
    </row>
    <row r="13687" spans="1:1" s="427" customFormat="1" ht="12" hidden="1" customHeight="1">
      <c r="A13687" s="426"/>
    </row>
    <row r="13688" spans="1:1" s="427" customFormat="1" ht="12" hidden="1" customHeight="1">
      <c r="A13688" s="426"/>
    </row>
    <row r="13689" spans="1:1" s="427" customFormat="1" ht="12" hidden="1" customHeight="1">
      <c r="A13689" s="426"/>
    </row>
    <row r="13690" spans="1:1" s="427" customFormat="1" ht="12" hidden="1" customHeight="1">
      <c r="A13690" s="426"/>
    </row>
    <row r="13691" spans="1:1" s="427" customFormat="1" ht="12" hidden="1" customHeight="1">
      <c r="A13691" s="426"/>
    </row>
    <row r="13692" spans="1:1" s="427" customFormat="1" ht="12" hidden="1" customHeight="1">
      <c r="A13692" s="426"/>
    </row>
    <row r="13693" spans="1:1" s="427" customFormat="1" ht="12" hidden="1" customHeight="1">
      <c r="A13693" s="426"/>
    </row>
    <row r="13694" spans="1:1" s="427" customFormat="1" ht="12" hidden="1" customHeight="1">
      <c r="A13694" s="426"/>
    </row>
    <row r="13695" spans="1:1" s="427" customFormat="1" ht="12" hidden="1" customHeight="1">
      <c r="A13695" s="426"/>
    </row>
    <row r="13696" spans="1:1" s="427" customFormat="1" ht="12" hidden="1" customHeight="1">
      <c r="A13696" s="426"/>
    </row>
    <row r="13697" spans="1:1" s="427" customFormat="1" ht="12" hidden="1" customHeight="1">
      <c r="A13697" s="426"/>
    </row>
    <row r="13698" spans="1:1" s="427" customFormat="1" ht="12" hidden="1" customHeight="1">
      <c r="A13698" s="426"/>
    </row>
    <row r="13699" spans="1:1" s="427" customFormat="1" ht="12" hidden="1" customHeight="1">
      <c r="A13699" s="426"/>
    </row>
    <row r="13700" spans="1:1" s="427" customFormat="1" ht="12" hidden="1" customHeight="1">
      <c r="A13700" s="426"/>
    </row>
    <row r="13701" spans="1:1" s="427" customFormat="1" ht="12" hidden="1" customHeight="1">
      <c r="A13701" s="426"/>
    </row>
    <row r="13702" spans="1:1" s="427" customFormat="1" ht="12" hidden="1" customHeight="1">
      <c r="A13702" s="426"/>
    </row>
    <row r="13703" spans="1:1" s="427" customFormat="1" ht="12" hidden="1" customHeight="1">
      <c r="A13703" s="426"/>
    </row>
    <row r="13704" spans="1:1" s="427" customFormat="1" ht="12" hidden="1" customHeight="1">
      <c r="A13704" s="426"/>
    </row>
    <row r="13705" spans="1:1" s="427" customFormat="1" ht="12" hidden="1" customHeight="1">
      <c r="A13705" s="426"/>
    </row>
    <row r="13706" spans="1:1" s="427" customFormat="1" ht="12" hidden="1" customHeight="1">
      <c r="A13706" s="426"/>
    </row>
    <row r="13707" spans="1:1" s="427" customFormat="1" ht="12" hidden="1" customHeight="1">
      <c r="A13707" s="426"/>
    </row>
    <row r="13708" spans="1:1" s="427" customFormat="1" ht="12" hidden="1" customHeight="1">
      <c r="A13708" s="426"/>
    </row>
    <row r="13709" spans="1:1" s="427" customFormat="1" ht="12" hidden="1" customHeight="1">
      <c r="A13709" s="426"/>
    </row>
    <row r="13710" spans="1:1" s="427" customFormat="1" ht="12" hidden="1" customHeight="1">
      <c r="A13710" s="426"/>
    </row>
    <row r="13711" spans="1:1" s="427" customFormat="1" ht="12" hidden="1" customHeight="1">
      <c r="A13711" s="426"/>
    </row>
    <row r="13712" spans="1:1" s="427" customFormat="1" ht="12" hidden="1" customHeight="1">
      <c r="A13712" s="426"/>
    </row>
    <row r="13713" spans="1:1" s="427" customFormat="1" ht="12" hidden="1" customHeight="1">
      <c r="A13713" s="426"/>
    </row>
    <row r="13714" spans="1:1" s="427" customFormat="1" ht="12" hidden="1" customHeight="1">
      <c r="A13714" s="426"/>
    </row>
    <row r="13715" spans="1:1" s="427" customFormat="1" ht="12" hidden="1" customHeight="1">
      <c r="A13715" s="426"/>
    </row>
    <row r="13716" spans="1:1" s="427" customFormat="1" ht="12" hidden="1" customHeight="1">
      <c r="A13716" s="426"/>
    </row>
    <row r="13717" spans="1:1" s="427" customFormat="1" ht="12" hidden="1" customHeight="1">
      <c r="A13717" s="426"/>
    </row>
    <row r="13718" spans="1:1" s="427" customFormat="1" ht="12" hidden="1" customHeight="1">
      <c r="A13718" s="426"/>
    </row>
    <row r="13719" spans="1:1" s="427" customFormat="1" ht="12" hidden="1" customHeight="1">
      <c r="A13719" s="426"/>
    </row>
    <row r="13720" spans="1:1" s="427" customFormat="1" ht="12" hidden="1" customHeight="1">
      <c r="A13720" s="426"/>
    </row>
    <row r="13721" spans="1:1" s="427" customFormat="1" ht="12" hidden="1" customHeight="1">
      <c r="A13721" s="426"/>
    </row>
    <row r="13722" spans="1:1" s="427" customFormat="1" ht="12" hidden="1" customHeight="1">
      <c r="A13722" s="426"/>
    </row>
    <row r="13723" spans="1:1" s="427" customFormat="1" ht="12" hidden="1" customHeight="1">
      <c r="A13723" s="426"/>
    </row>
    <row r="13724" spans="1:1" s="427" customFormat="1" ht="12" hidden="1" customHeight="1">
      <c r="A13724" s="426"/>
    </row>
    <row r="13725" spans="1:1" s="427" customFormat="1" ht="12" hidden="1" customHeight="1">
      <c r="A13725" s="426"/>
    </row>
    <row r="13726" spans="1:1" s="427" customFormat="1" ht="12" hidden="1" customHeight="1">
      <c r="A13726" s="426"/>
    </row>
    <row r="13727" spans="1:1" s="427" customFormat="1" ht="12" hidden="1" customHeight="1">
      <c r="A13727" s="426"/>
    </row>
    <row r="13728" spans="1:1" s="427" customFormat="1" ht="12" hidden="1" customHeight="1">
      <c r="A13728" s="426"/>
    </row>
    <row r="13729" spans="1:1" s="427" customFormat="1" ht="12" hidden="1" customHeight="1">
      <c r="A13729" s="426"/>
    </row>
    <row r="13730" spans="1:1" s="427" customFormat="1" ht="12" hidden="1" customHeight="1">
      <c r="A13730" s="426"/>
    </row>
    <row r="13731" spans="1:1" s="427" customFormat="1" ht="12" hidden="1" customHeight="1">
      <c r="A13731" s="426"/>
    </row>
    <row r="13732" spans="1:1" s="427" customFormat="1" ht="12" hidden="1" customHeight="1">
      <c r="A13732" s="426"/>
    </row>
    <row r="13733" spans="1:1" s="427" customFormat="1" ht="12" hidden="1" customHeight="1">
      <c r="A13733" s="426"/>
    </row>
    <row r="13734" spans="1:1" s="427" customFormat="1" ht="12" hidden="1" customHeight="1">
      <c r="A13734" s="426"/>
    </row>
    <row r="13735" spans="1:1" s="427" customFormat="1" ht="12" hidden="1" customHeight="1">
      <c r="A13735" s="426"/>
    </row>
    <row r="13736" spans="1:1" s="427" customFormat="1" ht="12" hidden="1" customHeight="1">
      <c r="A13736" s="426"/>
    </row>
    <row r="13737" spans="1:1" s="427" customFormat="1" ht="12" hidden="1" customHeight="1">
      <c r="A13737" s="426"/>
    </row>
    <row r="13738" spans="1:1" s="427" customFormat="1" ht="12" hidden="1" customHeight="1">
      <c r="A13738" s="426"/>
    </row>
    <row r="13739" spans="1:1" s="427" customFormat="1" ht="12" hidden="1" customHeight="1">
      <c r="A13739" s="426"/>
    </row>
    <row r="13740" spans="1:1" s="427" customFormat="1" ht="12" hidden="1" customHeight="1">
      <c r="A13740" s="426"/>
    </row>
    <row r="13741" spans="1:1" s="427" customFormat="1" ht="12" hidden="1" customHeight="1">
      <c r="A13741" s="426"/>
    </row>
    <row r="13742" spans="1:1" s="427" customFormat="1" ht="12" hidden="1" customHeight="1">
      <c r="A13742" s="426"/>
    </row>
    <row r="13743" spans="1:1" s="427" customFormat="1" ht="12" hidden="1" customHeight="1">
      <c r="A13743" s="426"/>
    </row>
    <row r="13744" spans="1:1" s="427" customFormat="1" ht="12" hidden="1" customHeight="1">
      <c r="A13744" s="426"/>
    </row>
    <row r="13745" spans="1:1" s="427" customFormat="1" ht="12" hidden="1" customHeight="1">
      <c r="A13745" s="426"/>
    </row>
    <row r="13746" spans="1:1" s="427" customFormat="1" ht="12" hidden="1" customHeight="1">
      <c r="A13746" s="426"/>
    </row>
    <row r="13747" spans="1:1" s="427" customFormat="1" ht="12" hidden="1" customHeight="1">
      <c r="A13747" s="426"/>
    </row>
    <row r="13748" spans="1:1" s="427" customFormat="1" ht="12" hidden="1" customHeight="1">
      <c r="A13748" s="426"/>
    </row>
    <row r="13749" spans="1:1" s="427" customFormat="1" ht="12" hidden="1" customHeight="1">
      <c r="A13749" s="426"/>
    </row>
    <row r="13750" spans="1:1" s="427" customFormat="1" ht="12" hidden="1" customHeight="1">
      <c r="A13750" s="426"/>
    </row>
    <row r="13751" spans="1:1" s="427" customFormat="1" ht="12" hidden="1" customHeight="1">
      <c r="A13751" s="426"/>
    </row>
    <row r="13752" spans="1:1" s="427" customFormat="1" ht="12" hidden="1" customHeight="1">
      <c r="A13752" s="426"/>
    </row>
    <row r="13753" spans="1:1" s="427" customFormat="1" ht="12" hidden="1" customHeight="1">
      <c r="A13753" s="426"/>
    </row>
    <row r="13754" spans="1:1" s="427" customFormat="1" ht="12" hidden="1" customHeight="1">
      <c r="A13754" s="426"/>
    </row>
    <row r="13755" spans="1:1" s="427" customFormat="1" ht="12" hidden="1" customHeight="1">
      <c r="A13755" s="426"/>
    </row>
    <row r="13756" spans="1:1" s="427" customFormat="1" ht="12" hidden="1" customHeight="1">
      <c r="A13756" s="426"/>
    </row>
    <row r="13757" spans="1:1" s="427" customFormat="1" ht="12" hidden="1" customHeight="1">
      <c r="A13757" s="426"/>
    </row>
    <row r="13758" spans="1:1" s="427" customFormat="1" ht="12" hidden="1" customHeight="1">
      <c r="A13758" s="426"/>
    </row>
    <row r="13759" spans="1:1" s="427" customFormat="1" ht="12" hidden="1" customHeight="1">
      <c r="A13759" s="426"/>
    </row>
    <row r="13760" spans="1:1" s="427" customFormat="1" ht="12" hidden="1" customHeight="1">
      <c r="A13760" s="426"/>
    </row>
    <row r="13761" spans="1:1" s="427" customFormat="1" ht="12" hidden="1" customHeight="1">
      <c r="A13761" s="426"/>
    </row>
    <row r="13762" spans="1:1" s="427" customFormat="1" ht="12" hidden="1" customHeight="1">
      <c r="A13762" s="426"/>
    </row>
    <row r="13763" spans="1:1" s="427" customFormat="1" ht="12" hidden="1" customHeight="1">
      <c r="A13763" s="426"/>
    </row>
    <row r="13764" spans="1:1" s="427" customFormat="1" ht="12" hidden="1" customHeight="1">
      <c r="A13764" s="426"/>
    </row>
    <row r="13765" spans="1:1" s="427" customFormat="1" ht="12" hidden="1" customHeight="1">
      <c r="A13765" s="426"/>
    </row>
    <row r="13766" spans="1:1" s="427" customFormat="1" ht="12" hidden="1" customHeight="1">
      <c r="A13766" s="426"/>
    </row>
    <row r="13767" spans="1:1" s="427" customFormat="1" ht="12" hidden="1" customHeight="1">
      <c r="A13767" s="426"/>
    </row>
    <row r="13768" spans="1:1" s="427" customFormat="1" ht="12" hidden="1" customHeight="1">
      <c r="A13768" s="426"/>
    </row>
    <row r="13769" spans="1:1" s="427" customFormat="1" ht="12" hidden="1" customHeight="1">
      <c r="A13769" s="426"/>
    </row>
    <row r="13770" spans="1:1" s="427" customFormat="1" ht="12" hidden="1" customHeight="1">
      <c r="A13770" s="426"/>
    </row>
    <row r="13771" spans="1:1" s="427" customFormat="1" ht="12" hidden="1" customHeight="1">
      <c r="A13771" s="426"/>
    </row>
    <row r="13772" spans="1:1" s="427" customFormat="1" ht="12" hidden="1" customHeight="1">
      <c r="A13772" s="426"/>
    </row>
    <row r="13773" spans="1:1" s="427" customFormat="1" ht="12" hidden="1" customHeight="1">
      <c r="A13773" s="426"/>
    </row>
    <row r="13774" spans="1:1" s="427" customFormat="1" ht="12" hidden="1" customHeight="1">
      <c r="A13774" s="426"/>
    </row>
    <row r="13775" spans="1:1" s="427" customFormat="1" ht="12" hidden="1" customHeight="1">
      <c r="A13775" s="426"/>
    </row>
    <row r="13776" spans="1:1" s="427" customFormat="1" ht="12" hidden="1" customHeight="1">
      <c r="A13776" s="426"/>
    </row>
    <row r="13777" spans="1:1" s="427" customFormat="1" ht="12" hidden="1" customHeight="1">
      <c r="A13777" s="426"/>
    </row>
    <row r="13778" spans="1:1" s="427" customFormat="1" ht="12" hidden="1" customHeight="1">
      <c r="A13778" s="426"/>
    </row>
    <row r="13779" spans="1:1" s="427" customFormat="1" ht="12" hidden="1" customHeight="1">
      <c r="A13779" s="426"/>
    </row>
    <row r="13780" spans="1:1" s="427" customFormat="1" ht="12" hidden="1" customHeight="1">
      <c r="A13780" s="426"/>
    </row>
    <row r="13781" spans="1:1" s="427" customFormat="1" ht="12" hidden="1" customHeight="1">
      <c r="A13781" s="426"/>
    </row>
    <row r="13782" spans="1:1" s="427" customFormat="1" ht="12" hidden="1" customHeight="1">
      <c r="A13782" s="426"/>
    </row>
    <row r="13783" spans="1:1" s="427" customFormat="1" ht="12" hidden="1" customHeight="1">
      <c r="A13783" s="426"/>
    </row>
    <row r="13784" spans="1:1" s="427" customFormat="1" ht="12" hidden="1" customHeight="1">
      <c r="A13784" s="426"/>
    </row>
    <row r="13785" spans="1:1" s="427" customFormat="1" ht="12" hidden="1" customHeight="1">
      <c r="A13785" s="426"/>
    </row>
    <row r="13786" spans="1:1" s="427" customFormat="1" ht="12" hidden="1" customHeight="1">
      <c r="A13786" s="426"/>
    </row>
    <row r="13787" spans="1:1" s="427" customFormat="1" ht="12" hidden="1" customHeight="1">
      <c r="A13787" s="426"/>
    </row>
    <row r="13788" spans="1:1" s="427" customFormat="1" ht="12" hidden="1" customHeight="1">
      <c r="A13788" s="426"/>
    </row>
    <row r="13789" spans="1:1" s="427" customFormat="1" ht="12" hidden="1" customHeight="1">
      <c r="A13789" s="426"/>
    </row>
    <row r="13790" spans="1:1" s="427" customFormat="1" ht="12" hidden="1" customHeight="1">
      <c r="A13790" s="426"/>
    </row>
    <row r="13791" spans="1:1" s="427" customFormat="1" ht="12" hidden="1" customHeight="1">
      <c r="A13791" s="426"/>
    </row>
    <row r="13792" spans="1:1" s="427" customFormat="1" ht="12" hidden="1" customHeight="1">
      <c r="A13792" s="426"/>
    </row>
    <row r="13793" spans="1:1" s="427" customFormat="1" ht="12" hidden="1" customHeight="1">
      <c r="A13793" s="426"/>
    </row>
    <row r="13794" spans="1:1" s="427" customFormat="1" ht="12" hidden="1" customHeight="1">
      <c r="A13794" s="426"/>
    </row>
    <row r="13795" spans="1:1" s="427" customFormat="1" ht="12" hidden="1" customHeight="1">
      <c r="A13795" s="426"/>
    </row>
    <row r="13796" spans="1:1" s="427" customFormat="1" ht="12" hidden="1" customHeight="1">
      <c r="A13796" s="426"/>
    </row>
    <row r="13797" spans="1:1" s="427" customFormat="1" ht="12" hidden="1" customHeight="1">
      <c r="A13797" s="426"/>
    </row>
    <row r="13798" spans="1:1" s="427" customFormat="1" ht="12" hidden="1" customHeight="1">
      <c r="A13798" s="426"/>
    </row>
    <row r="13799" spans="1:1" s="427" customFormat="1" ht="12" hidden="1" customHeight="1">
      <c r="A13799" s="426"/>
    </row>
    <row r="13800" spans="1:1" s="427" customFormat="1" ht="12" hidden="1" customHeight="1">
      <c r="A13800" s="426"/>
    </row>
    <row r="13801" spans="1:1" s="427" customFormat="1" ht="12" hidden="1" customHeight="1">
      <c r="A13801" s="426"/>
    </row>
    <row r="13802" spans="1:1" s="427" customFormat="1" ht="12" hidden="1" customHeight="1">
      <c r="A13802" s="426"/>
    </row>
    <row r="13803" spans="1:1" s="427" customFormat="1" ht="12" hidden="1" customHeight="1">
      <c r="A13803" s="426"/>
    </row>
    <row r="13804" spans="1:1" s="427" customFormat="1" ht="12" hidden="1" customHeight="1">
      <c r="A13804" s="426"/>
    </row>
    <row r="13805" spans="1:1" s="427" customFormat="1" ht="12" hidden="1" customHeight="1">
      <c r="A13805" s="426"/>
    </row>
    <row r="13806" spans="1:1" s="427" customFormat="1" ht="12" hidden="1" customHeight="1">
      <c r="A13806" s="426"/>
    </row>
    <row r="13807" spans="1:1" s="427" customFormat="1" ht="12" hidden="1" customHeight="1">
      <c r="A13807" s="426"/>
    </row>
    <row r="13808" spans="1:1" s="427" customFormat="1" ht="12" hidden="1" customHeight="1">
      <c r="A13808" s="426"/>
    </row>
    <row r="13809" spans="1:1" s="427" customFormat="1" ht="12" hidden="1" customHeight="1">
      <c r="A13809" s="426"/>
    </row>
    <row r="13810" spans="1:1" s="427" customFormat="1" ht="12" hidden="1" customHeight="1">
      <c r="A13810" s="426"/>
    </row>
    <row r="13811" spans="1:1" s="427" customFormat="1" ht="12" hidden="1" customHeight="1">
      <c r="A13811" s="426"/>
    </row>
    <row r="13812" spans="1:1" s="427" customFormat="1" ht="12" hidden="1" customHeight="1">
      <c r="A13812" s="426"/>
    </row>
    <row r="13813" spans="1:1" s="427" customFormat="1" ht="12" hidden="1" customHeight="1">
      <c r="A13813" s="426"/>
    </row>
    <row r="13814" spans="1:1" s="427" customFormat="1" ht="12" hidden="1" customHeight="1">
      <c r="A13814" s="426"/>
    </row>
    <row r="13815" spans="1:1" s="427" customFormat="1" ht="12" hidden="1" customHeight="1">
      <c r="A13815" s="426"/>
    </row>
    <row r="13816" spans="1:1" s="427" customFormat="1" ht="12" hidden="1" customHeight="1">
      <c r="A13816" s="426"/>
    </row>
    <row r="13817" spans="1:1" s="427" customFormat="1" ht="12" hidden="1" customHeight="1">
      <c r="A13817" s="426"/>
    </row>
    <row r="13818" spans="1:1" s="427" customFormat="1" ht="12" hidden="1" customHeight="1">
      <c r="A13818" s="426"/>
    </row>
    <row r="13819" spans="1:1" s="427" customFormat="1" ht="12" hidden="1" customHeight="1">
      <c r="A13819" s="426"/>
    </row>
    <row r="13820" spans="1:1" s="427" customFormat="1" ht="12" hidden="1" customHeight="1">
      <c r="A13820" s="426"/>
    </row>
    <row r="13821" spans="1:1" s="427" customFormat="1" ht="12" hidden="1" customHeight="1">
      <c r="A13821" s="426"/>
    </row>
    <row r="13822" spans="1:1" s="427" customFormat="1" ht="12" hidden="1" customHeight="1">
      <c r="A13822" s="426"/>
    </row>
    <row r="13823" spans="1:1" s="427" customFormat="1" ht="12" hidden="1" customHeight="1">
      <c r="A13823" s="426"/>
    </row>
    <row r="13824" spans="1:1" s="427" customFormat="1" ht="12" hidden="1" customHeight="1">
      <c r="A13824" s="426"/>
    </row>
    <row r="13825" spans="1:1" s="427" customFormat="1" ht="12" hidden="1" customHeight="1">
      <c r="A13825" s="426"/>
    </row>
    <row r="13826" spans="1:1" s="427" customFormat="1" ht="12" hidden="1" customHeight="1">
      <c r="A13826" s="426"/>
    </row>
    <row r="13827" spans="1:1" s="427" customFormat="1" ht="12" hidden="1" customHeight="1">
      <c r="A13827" s="426"/>
    </row>
    <row r="13828" spans="1:1" s="427" customFormat="1" ht="12" hidden="1" customHeight="1">
      <c r="A13828" s="426"/>
    </row>
    <row r="13829" spans="1:1" s="427" customFormat="1" ht="12" hidden="1" customHeight="1">
      <c r="A13829" s="426"/>
    </row>
    <row r="13830" spans="1:1" s="427" customFormat="1" ht="12" hidden="1" customHeight="1">
      <c r="A13830" s="426"/>
    </row>
    <row r="13831" spans="1:1" s="427" customFormat="1" ht="12" hidden="1" customHeight="1">
      <c r="A13831" s="426"/>
    </row>
    <row r="13832" spans="1:1" s="427" customFormat="1" ht="12" hidden="1" customHeight="1">
      <c r="A13832" s="426"/>
    </row>
    <row r="13833" spans="1:1" s="427" customFormat="1" ht="12" hidden="1" customHeight="1">
      <c r="A13833" s="426"/>
    </row>
    <row r="13834" spans="1:1" s="427" customFormat="1" ht="12" hidden="1" customHeight="1">
      <c r="A13834" s="426"/>
    </row>
    <row r="13835" spans="1:1" s="427" customFormat="1" ht="12" hidden="1" customHeight="1">
      <c r="A13835" s="426"/>
    </row>
    <row r="13836" spans="1:1" s="427" customFormat="1" ht="12" hidden="1" customHeight="1">
      <c r="A13836" s="426"/>
    </row>
    <row r="13837" spans="1:1" s="427" customFormat="1" ht="12" hidden="1" customHeight="1">
      <c r="A13837" s="426"/>
    </row>
    <row r="13838" spans="1:1" s="427" customFormat="1" ht="12" hidden="1" customHeight="1">
      <c r="A13838" s="426"/>
    </row>
    <row r="13839" spans="1:1" s="427" customFormat="1" ht="12" hidden="1" customHeight="1">
      <c r="A13839" s="426"/>
    </row>
    <row r="13840" spans="1:1" s="427" customFormat="1" ht="12" hidden="1" customHeight="1">
      <c r="A13840" s="426"/>
    </row>
    <row r="13841" spans="1:1" s="427" customFormat="1" ht="12" hidden="1" customHeight="1">
      <c r="A13841" s="426"/>
    </row>
    <row r="13842" spans="1:1" s="427" customFormat="1" ht="12" hidden="1" customHeight="1">
      <c r="A13842" s="426"/>
    </row>
    <row r="13843" spans="1:1" s="427" customFormat="1" ht="12" hidden="1" customHeight="1">
      <c r="A13843" s="426"/>
    </row>
    <row r="13844" spans="1:1" s="427" customFormat="1" ht="12" hidden="1" customHeight="1">
      <c r="A13844" s="426"/>
    </row>
    <row r="13845" spans="1:1" s="427" customFormat="1" ht="12" hidden="1" customHeight="1">
      <c r="A13845" s="426"/>
    </row>
    <row r="13846" spans="1:1" s="427" customFormat="1" ht="12" hidden="1" customHeight="1">
      <c r="A13846" s="426"/>
    </row>
    <row r="13847" spans="1:1" s="427" customFormat="1" ht="12" hidden="1" customHeight="1">
      <c r="A13847" s="426"/>
    </row>
    <row r="13848" spans="1:1" s="427" customFormat="1" ht="12" hidden="1" customHeight="1">
      <c r="A13848" s="426"/>
    </row>
    <row r="13849" spans="1:1" s="427" customFormat="1" ht="12" hidden="1" customHeight="1">
      <c r="A13849" s="426"/>
    </row>
    <row r="13850" spans="1:1" s="427" customFormat="1" ht="12" hidden="1" customHeight="1">
      <c r="A13850" s="426"/>
    </row>
    <row r="13851" spans="1:1" s="427" customFormat="1" ht="12" hidden="1" customHeight="1">
      <c r="A13851" s="426"/>
    </row>
    <row r="13852" spans="1:1" s="427" customFormat="1" ht="12" hidden="1" customHeight="1">
      <c r="A13852" s="426"/>
    </row>
    <row r="13853" spans="1:1" s="427" customFormat="1" ht="12" hidden="1" customHeight="1">
      <c r="A13853" s="426"/>
    </row>
    <row r="13854" spans="1:1" s="427" customFormat="1" ht="12" hidden="1" customHeight="1">
      <c r="A13854" s="426"/>
    </row>
    <row r="13855" spans="1:1" s="427" customFormat="1" ht="12" hidden="1" customHeight="1">
      <c r="A13855" s="426"/>
    </row>
    <row r="13856" spans="1:1" s="427" customFormat="1" ht="12" hidden="1" customHeight="1">
      <c r="A13856" s="426"/>
    </row>
    <row r="13857" spans="1:1" s="427" customFormat="1" ht="12" hidden="1" customHeight="1">
      <c r="A13857" s="426"/>
    </row>
    <row r="13858" spans="1:1" s="427" customFormat="1" ht="12" hidden="1" customHeight="1">
      <c r="A13858" s="426"/>
    </row>
    <row r="13859" spans="1:1" s="427" customFormat="1" ht="12" hidden="1" customHeight="1">
      <c r="A13859" s="426"/>
    </row>
    <row r="13860" spans="1:1" s="427" customFormat="1" ht="12" hidden="1" customHeight="1">
      <c r="A13860" s="426"/>
    </row>
    <row r="13861" spans="1:1" s="427" customFormat="1" ht="12" hidden="1" customHeight="1">
      <c r="A13861" s="426"/>
    </row>
    <row r="13862" spans="1:1" s="427" customFormat="1" ht="12" hidden="1" customHeight="1">
      <c r="A13862" s="426"/>
    </row>
    <row r="13863" spans="1:1" s="427" customFormat="1" ht="12" hidden="1" customHeight="1">
      <c r="A13863" s="426"/>
    </row>
    <row r="13864" spans="1:1" s="427" customFormat="1" ht="12" hidden="1" customHeight="1">
      <c r="A13864" s="426"/>
    </row>
    <row r="13865" spans="1:1" s="427" customFormat="1" ht="12" hidden="1" customHeight="1">
      <c r="A13865" s="426"/>
    </row>
    <row r="13866" spans="1:1" s="427" customFormat="1" ht="12" hidden="1" customHeight="1">
      <c r="A13866" s="426"/>
    </row>
    <row r="13867" spans="1:1" s="427" customFormat="1" ht="12" hidden="1" customHeight="1">
      <c r="A13867" s="426"/>
    </row>
    <row r="13868" spans="1:1" s="427" customFormat="1" ht="12" hidden="1" customHeight="1">
      <c r="A13868" s="426"/>
    </row>
    <row r="13869" spans="1:1" s="427" customFormat="1" ht="12" hidden="1" customHeight="1">
      <c r="A13869" s="426"/>
    </row>
    <row r="13870" spans="1:1" s="427" customFormat="1" ht="12" hidden="1" customHeight="1">
      <c r="A13870" s="426"/>
    </row>
    <row r="13871" spans="1:1" s="427" customFormat="1" ht="12" hidden="1" customHeight="1">
      <c r="A13871" s="426"/>
    </row>
    <row r="13872" spans="1:1" s="427" customFormat="1" ht="12" hidden="1" customHeight="1">
      <c r="A13872" s="426"/>
    </row>
    <row r="13873" spans="1:1" s="427" customFormat="1" ht="12" hidden="1" customHeight="1">
      <c r="A13873" s="426"/>
    </row>
    <row r="13874" spans="1:1" s="427" customFormat="1" ht="12" hidden="1" customHeight="1">
      <c r="A13874" s="426"/>
    </row>
    <row r="13875" spans="1:1" s="427" customFormat="1" ht="12" hidden="1" customHeight="1">
      <c r="A13875" s="426"/>
    </row>
    <row r="13876" spans="1:1" s="427" customFormat="1" ht="12" hidden="1" customHeight="1">
      <c r="A13876" s="426"/>
    </row>
    <row r="13877" spans="1:1" s="427" customFormat="1" ht="12" hidden="1" customHeight="1">
      <c r="A13877" s="426"/>
    </row>
    <row r="13878" spans="1:1" s="427" customFormat="1" ht="12" hidden="1" customHeight="1">
      <c r="A13878" s="426"/>
    </row>
    <row r="13879" spans="1:1" s="427" customFormat="1" ht="12" hidden="1" customHeight="1">
      <c r="A13879" s="426"/>
    </row>
    <row r="13880" spans="1:1" s="427" customFormat="1" ht="12" hidden="1" customHeight="1">
      <c r="A13880" s="426"/>
    </row>
    <row r="13881" spans="1:1" s="427" customFormat="1" ht="12" hidden="1" customHeight="1">
      <c r="A13881" s="426"/>
    </row>
    <row r="13882" spans="1:1" s="427" customFormat="1" ht="12" hidden="1" customHeight="1">
      <c r="A13882" s="426"/>
    </row>
    <row r="13883" spans="1:1" s="427" customFormat="1" ht="12" hidden="1" customHeight="1">
      <c r="A13883" s="426"/>
    </row>
    <row r="13884" spans="1:1" s="427" customFormat="1" ht="12" hidden="1" customHeight="1">
      <c r="A13884" s="426"/>
    </row>
    <row r="13885" spans="1:1" s="427" customFormat="1" ht="12" hidden="1" customHeight="1">
      <c r="A13885" s="426"/>
    </row>
    <row r="13886" spans="1:1" s="427" customFormat="1" ht="12" hidden="1" customHeight="1">
      <c r="A13886" s="426"/>
    </row>
    <row r="13887" spans="1:1" s="427" customFormat="1" ht="12" hidden="1" customHeight="1">
      <c r="A13887" s="426"/>
    </row>
    <row r="13888" spans="1:1" s="427" customFormat="1" ht="12" hidden="1" customHeight="1">
      <c r="A13888" s="426"/>
    </row>
    <row r="13889" spans="1:1" s="427" customFormat="1" ht="12" hidden="1" customHeight="1">
      <c r="A13889" s="426"/>
    </row>
    <row r="13890" spans="1:1" s="427" customFormat="1" ht="12" hidden="1" customHeight="1">
      <c r="A13890" s="426"/>
    </row>
    <row r="13891" spans="1:1" s="427" customFormat="1" ht="12" hidden="1" customHeight="1">
      <c r="A13891" s="426"/>
    </row>
    <row r="13892" spans="1:1" s="427" customFormat="1" ht="12" hidden="1" customHeight="1">
      <c r="A13892" s="426"/>
    </row>
    <row r="13893" spans="1:1" s="427" customFormat="1" ht="12" hidden="1" customHeight="1">
      <c r="A13893" s="426"/>
    </row>
    <row r="13894" spans="1:1" s="427" customFormat="1" ht="12" hidden="1" customHeight="1">
      <c r="A13894" s="426"/>
    </row>
    <row r="13895" spans="1:1" s="427" customFormat="1" ht="12" hidden="1" customHeight="1">
      <c r="A13895" s="426"/>
    </row>
    <row r="13896" spans="1:1" s="427" customFormat="1" ht="12" hidden="1" customHeight="1">
      <c r="A13896" s="426"/>
    </row>
    <row r="13897" spans="1:1" s="427" customFormat="1" ht="12" hidden="1" customHeight="1">
      <c r="A13897" s="426"/>
    </row>
    <row r="13898" spans="1:1" s="427" customFormat="1" ht="12" hidden="1" customHeight="1">
      <c r="A13898" s="426"/>
    </row>
    <row r="13899" spans="1:1" s="427" customFormat="1" ht="12" hidden="1" customHeight="1">
      <c r="A13899" s="426"/>
    </row>
    <row r="13900" spans="1:1" s="427" customFormat="1" ht="12" hidden="1" customHeight="1">
      <c r="A13900" s="426"/>
    </row>
    <row r="13901" spans="1:1" s="427" customFormat="1" ht="12" hidden="1" customHeight="1">
      <c r="A13901" s="426"/>
    </row>
    <row r="13902" spans="1:1" s="427" customFormat="1" ht="12" hidden="1" customHeight="1">
      <c r="A13902" s="426"/>
    </row>
    <row r="13903" spans="1:1" s="427" customFormat="1" ht="12" hidden="1" customHeight="1">
      <c r="A13903" s="426"/>
    </row>
    <row r="13904" spans="1:1" s="427" customFormat="1" ht="12" hidden="1" customHeight="1">
      <c r="A13904" s="426"/>
    </row>
    <row r="13905" spans="1:1" s="427" customFormat="1" ht="12" hidden="1" customHeight="1">
      <c r="A13905" s="426"/>
    </row>
    <row r="13906" spans="1:1" s="427" customFormat="1" ht="12" hidden="1" customHeight="1">
      <c r="A13906" s="426"/>
    </row>
    <row r="13907" spans="1:1" s="427" customFormat="1" ht="12" hidden="1" customHeight="1">
      <c r="A13907" s="426"/>
    </row>
    <row r="13908" spans="1:1" s="427" customFormat="1" ht="12" hidden="1" customHeight="1">
      <c r="A13908" s="426"/>
    </row>
    <row r="13909" spans="1:1" s="427" customFormat="1" ht="12" hidden="1" customHeight="1">
      <c r="A13909" s="426"/>
    </row>
    <row r="13910" spans="1:1" s="427" customFormat="1" ht="12" hidden="1" customHeight="1">
      <c r="A13910" s="426"/>
    </row>
    <row r="13911" spans="1:1" s="427" customFormat="1" ht="12" hidden="1" customHeight="1">
      <c r="A13911" s="426"/>
    </row>
    <row r="13912" spans="1:1" s="427" customFormat="1" ht="12" hidden="1" customHeight="1">
      <c r="A13912" s="426"/>
    </row>
    <row r="13913" spans="1:1" s="427" customFormat="1" ht="12" hidden="1" customHeight="1">
      <c r="A13913" s="426"/>
    </row>
    <row r="13914" spans="1:1" s="427" customFormat="1" ht="12" hidden="1" customHeight="1">
      <c r="A13914" s="426"/>
    </row>
    <row r="13915" spans="1:1" s="427" customFormat="1" ht="12" hidden="1" customHeight="1">
      <c r="A13915" s="426"/>
    </row>
    <row r="13916" spans="1:1" s="427" customFormat="1" ht="12" hidden="1" customHeight="1">
      <c r="A13916" s="426"/>
    </row>
    <row r="13917" spans="1:1" s="427" customFormat="1" ht="12" hidden="1" customHeight="1">
      <c r="A13917" s="426"/>
    </row>
    <row r="13918" spans="1:1" s="427" customFormat="1" ht="12" hidden="1" customHeight="1">
      <c r="A13918" s="426"/>
    </row>
    <row r="13919" spans="1:1" s="427" customFormat="1" ht="12" hidden="1" customHeight="1">
      <c r="A13919" s="426"/>
    </row>
    <row r="13920" spans="1:1" s="427" customFormat="1" ht="12" hidden="1" customHeight="1">
      <c r="A13920" s="426"/>
    </row>
    <row r="13921" spans="1:1" s="427" customFormat="1" ht="12" hidden="1" customHeight="1">
      <c r="A13921" s="426"/>
    </row>
    <row r="13922" spans="1:1" s="427" customFormat="1" ht="12" hidden="1" customHeight="1">
      <c r="A13922" s="426"/>
    </row>
    <row r="13923" spans="1:1" s="427" customFormat="1" ht="12" hidden="1" customHeight="1">
      <c r="A13923" s="426"/>
    </row>
    <row r="13924" spans="1:1" s="427" customFormat="1" ht="12" hidden="1" customHeight="1">
      <c r="A13924" s="426"/>
    </row>
    <row r="13925" spans="1:1" s="427" customFormat="1" ht="12" hidden="1" customHeight="1">
      <c r="A13925" s="426"/>
    </row>
    <row r="13926" spans="1:1" s="427" customFormat="1" ht="12" hidden="1" customHeight="1">
      <c r="A13926" s="426"/>
    </row>
    <row r="13927" spans="1:1" s="427" customFormat="1" ht="12" hidden="1" customHeight="1">
      <c r="A13927" s="426"/>
    </row>
    <row r="13928" spans="1:1" s="427" customFormat="1" ht="12" hidden="1" customHeight="1">
      <c r="A13928" s="426"/>
    </row>
    <row r="13929" spans="1:1" s="427" customFormat="1" ht="12" hidden="1" customHeight="1">
      <c r="A13929" s="426"/>
    </row>
    <row r="13930" spans="1:1" s="427" customFormat="1" ht="12" hidden="1" customHeight="1">
      <c r="A13930" s="426"/>
    </row>
    <row r="13931" spans="1:1" s="427" customFormat="1" ht="12" hidden="1" customHeight="1">
      <c r="A13931" s="426"/>
    </row>
    <row r="13932" spans="1:1" s="427" customFormat="1" ht="12" hidden="1" customHeight="1">
      <c r="A13932" s="426"/>
    </row>
    <row r="13933" spans="1:1" s="427" customFormat="1" ht="12" hidden="1" customHeight="1">
      <c r="A13933" s="426"/>
    </row>
    <row r="13934" spans="1:1" s="427" customFormat="1" ht="12" hidden="1" customHeight="1">
      <c r="A13934" s="426"/>
    </row>
    <row r="13935" spans="1:1" s="427" customFormat="1" ht="12" hidden="1" customHeight="1">
      <c r="A13935" s="426"/>
    </row>
    <row r="13936" spans="1:1" s="427" customFormat="1" ht="12" hidden="1" customHeight="1">
      <c r="A13936" s="426"/>
    </row>
    <row r="13937" spans="1:1" s="427" customFormat="1" ht="12" hidden="1" customHeight="1">
      <c r="A13937" s="426"/>
    </row>
    <row r="13938" spans="1:1" s="427" customFormat="1" ht="12" hidden="1" customHeight="1">
      <c r="A13938" s="426"/>
    </row>
    <row r="13939" spans="1:1" s="427" customFormat="1" ht="12" hidden="1" customHeight="1">
      <c r="A13939" s="426"/>
    </row>
    <row r="13940" spans="1:1" s="427" customFormat="1" ht="12" hidden="1" customHeight="1">
      <c r="A13940" s="426"/>
    </row>
    <row r="13941" spans="1:1" s="427" customFormat="1" ht="12" hidden="1" customHeight="1">
      <c r="A13941" s="426"/>
    </row>
    <row r="13942" spans="1:1" s="427" customFormat="1" ht="12" hidden="1" customHeight="1">
      <c r="A13942" s="426"/>
    </row>
    <row r="13943" spans="1:1" s="427" customFormat="1" ht="12" hidden="1" customHeight="1">
      <c r="A13943" s="426"/>
    </row>
    <row r="13944" spans="1:1" s="427" customFormat="1" ht="12" hidden="1" customHeight="1">
      <c r="A13944" s="426"/>
    </row>
    <row r="13945" spans="1:1" s="427" customFormat="1" ht="12" hidden="1" customHeight="1">
      <c r="A13945" s="426"/>
    </row>
    <row r="13946" spans="1:1" s="427" customFormat="1" ht="12" hidden="1" customHeight="1">
      <c r="A13946" s="426"/>
    </row>
    <row r="13947" spans="1:1" s="427" customFormat="1" ht="12" hidden="1" customHeight="1">
      <c r="A13947" s="426"/>
    </row>
    <row r="13948" spans="1:1" s="427" customFormat="1" ht="12" hidden="1" customHeight="1">
      <c r="A13948" s="426"/>
    </row>
    <row r="13949" spans="1:1" s="427" customFormat="1" ht="12" hidden="1" customHeight="1">
      <c r="A13949" s="426"/>
    </row>
    <row r="13950" spans="1:1" s="427" customFormat="1" ht="12" hidden="1" customHeight="1">
      <c r="A13950" s="426"/>
    </row>
    <row r="13951" spans="1:1" s="427" customFormat="1" ht="12" hidden="1" customHeight="1">
      <c r="A13951" s="426"/>
    </row>
    <row r="13952" spans="1:1" s="427" customFormat="1" ht="12" hidden="1" customHeight="1">
      <c r="A13952" s="426"/>
    </row>
    <row r="13953" spans="1:1" s="427" customFormat="1" ht="12" hidden="1" customHeight="1">
      <c r="A13953" s="426"/>
    </row>
    <row r="13954" spans="1:1" s="427" customFormat="1" ht="12" hidden="1" customHeight="1">
      <c r="A13954" s="426"/>
    </row>
    <row r="13955" spans="1:1" s="427" customFormat="1" ht="12" hidden="1" customHeight="1">
      <c r="A13955" s="426"/>
    </row>
    <row r="13956" spans="1:1" s="427" customFormat="1" ht="12" hidden="1" customHeight="1">
      <c r="A13956" s="426"/>
    </row>
    <row r="13957" spans="1:1" s="427" customFormat="1" ht="12" hidden="1" customHeight="1">
      <c r="A13957" s="426"/>
    </row>
    <row r="13958" spans="1:1" s="427" customFormat="1" ht="12" hidden="1" customHeight="1">
      <c r="A13958" s="426"/>
    </row>
    <row r="13959" spans="1:1" s="427" customFormat="1" ht="12" hidden="1" customHeight="1">
      <c r="A13959" s="426"/>
    </row>
    <row r="13960" spans="1:1" s="427" customFormat="1" ht="12" hidden="1" customHeight="1">
      <c r="A13960" s="426"/>
    </row>
    <row r="13961" spans="1:1" s="427" customFormat="1" ht="12" hidden="1" customHeight="1">
      <c r="A13961" s="426"/>
    </row>
    <row r="13962" spans="1:1" s="427" customFormat="1" ht="12" hidden="1" customHeight="1">
      <c r="A13962" s="426"/>
    </row>
    <row r="13963" spans="1:1" s="427" customFormat="1" ht="12" hidden="1" customHeight="1">
      <c r="A13963" s="426"/>
    </row>
    <row r="13964" spans="1:1" s="427" customFormat="1" ht="12" hidden="1" customHeight="1">
      <c r="A13964" s="426"/>
    </row>
    <row r="13965" spans="1:1" s="427" customFormat="1" ht="12" hidden="1" customHeight="1">
      <c r="A13965" s="426"/>
    </row>
    <row r="13966" spans="1:1" s="427" customFormat="1" ht="12" hidden="1" customHeight="1">
      <c r="A13966" s="426"/>
    </row>
    <row r="13967" spans="1:1" s="427" customFormat="1" ht="12" hidden="1" customHeight="1">
      <c r="A13967" s="426"/>
    </row>
    <row r="13968" spans="1:1" s="427" customFormat="1" ht="12" hidden="1" customHeight="1">
      <c r="A13968" s="426"/>
    </row>
    <row r="13969" spans="1:1" s="427" customFormat="1" ht="12" hidden="1" customHeight="1">
      <c r="A13969" s="426"/>
    </row>
    <row r="13970" spans="1:1" s="427" customFormat="1" ht="12" hidden="1" customHeight="1">
      <c r="A13970" s="426"/>
    </row>
    <row r="13971" spans="1:1" s="427" customFormat="1" ht="12" hidden="1" customHeight="1">
      <c r="A13971" s="426"/>
    </row>
    <row r="13972" spans="1:1" s="427" customFormat="1" ht="12" hidden="1" customHeight="1">
      <c r="A13972" s="426"/>
    </row>
    <row r="13973" spans="1:1" s="427" customFormat="1" ht="12" hidden="1" customHeight="1">
      <c r="A13973" s="426"/>
    </row>
    <row r="13974" spans="1:1" s="427" customFormat="1" ht="12" hidden="1" customHeight="1">
      <c r="A13974" s="426"/>
    </row>
    <row r="13975" spans="1:1" s="427" customFormat="1" ht="12" hidden="1" customHeight="1">
      <c r="A13975" s="426"/>
    </row>
    <row r="13976" spans="1:1" s="427" customFormat="1" ht="12" hidden="1" customHeight="1">
      <c r="A13976" s="426"/>
    </row>
    <row r="13977" spans="1:1" s="427" customFormat="1" ht="12" hidden="1" customHeight="1">
      <c r="A13977" s="426"/>
    </row>
    <row r="13978" spans="1:1" s="427" customFormat="1" ht="12" hidden="1" customHeight="1">
      <c r="A13978" s="426"/>
    </row>
    <row r="13979" spans="1:1" s="427" customFormat="1" ht="12" hidden="1" customHeight="1">
      <c r="A13979" s="426"/>
    </row>
    <row r="13980" spans="1:1" s="427" customFormat="1" ht="12" hidden="1" customHeight="1">
      <c r="A13980" s="426"/>
    </row>
    <row r="13981" spans="1:1" s="427" customFormat="1" ht="12" hidden="1" customHeight="1">
      <c r="A13981" s="426"/>
    </row>
    <row r="13982" spans="1:1" s="427" customFormat="1" ht="12" hidden="1" customHeight="1">
      <c r="A13982" s="426"/>
    </row>
    <row r="13983" spans="1:1" s="427" customFormat="1" ht="12" hidden="1" customHeight="1">
      <c r="A13983" s="426"/>
    </row>
    <row r="13984" spans="1:1" s="427" customFormat="1" ht="12" hidden="1" customHeight="1">
      <c r="A13984" s="426"/>
    </row>
    <row r="13985" spans="1:1" s="427" customFormat="1" ht="12" hidden="1" customHeight="1">
      <c r="A13985" s="426"/>
    </row>
    <row r="13986" spans="1:1" s="427" customFormat="1" ht="12" hidden="1" customHeight="1">
      <c r="A13986" s="426"/>
    </row>
    <row r="13987" spans="1:1" s="427" customFormat="1" ht="12" hidden="1" customHeight="1">
      <c r="A13987" s="426"/>
    </row>
    <row r="13988" spans="1:1" s="427" customFormat="1" ht="12" hidden="1" customHeight="1">
      <c r="A13988" s="426"/>
    </row>
    <row r="13989" spans="1:1" s="427" customFormat="1" ht="12" hidden="1" customHeight="1">
      <c r="A13989" s="426"/>
    </row>
    <row r="13990" spans="1:1" s="427" customFormat="1" ht="12" hidden="1" customHeight="1">
      <c r="A13990" s="426"/>
    </row>
    <row r="13991" spans="1:1" s="427" customFormat="1" ht="12" hidden="1" customHeight="1">
      <c r="A13991" s="426"/>
    </row>
    <row r="13992" spans="1:1" s="427" customFormat="1" ht="12" hidden="1" customHeight="1">
      <c r="A13992" s="426"/>
    </row>
    <row r="13993" spans="1:1" s="427" customFormat="1" ht="12" hidden="1" customHeight="1">
      <c r="A13993" s="426"/>
    </row>
    <row r="13994" spans="1:1" s="427" customFormat="1" ht="12" hidden="1" customHeight="1">
      <c r="A13994" s="426"/>
    </row>
    <row r="13995" spans="1:1" s="427" customFormat="1" ht="12" hidden="1" customHeight="1">
      <c r="A13995" s="426"/>
    </row>
    <row r="13996" spans="1:1" s="427" customFormat="1" ht="12" hidden="1" customHeight="1">
      <c r="A13996" s="426"/>
    </row>
    <row r="13997" spans="1:1" s="427" customFormat="1" ht="12" hidden="1" customHeight="1">
      <c r="A13997" s="426"/>
    </row>
    <row r="13998" spans="1:1" s="427" customFormat="1" ht="12" hidden="1" customHeight="1">
      <c r="A13998" s="426"/>
    </row>
    <row r="13999" spans="1:1" s="427" customFormat="1" ht="12" hidden="1" customHeight="1">
      <c r="A13999" s="426"/>
    </row>
    <row r="14000" spans="1:1" s="427" customFormat="1" ht="12" hidden="1" customHeight="1">
      <c r="A14000" s="426"/>
    </row>
    <row r="14001" spans="1:1" s="427" customFormat="1" ht="12" hidden="1" customHeight="1">
      <c r="A14001" s="426"/>
    </row>
    <row r="14002" spans="1:1" s="427" customFormat="1" ht="12" hidden="1" customHeight="1">
      <c r="A14002" s="426"/>
    </row>
    <row r="14003" spans="1:1" s="427" customFormat="1" ht="12" hidden="1" customHeight="1">
      <c r="A14003" s="426"/>
    </row>
    <row r="14004" spans="1:1" s="427" customFormat="1" ht="12" hidden="1" customHeight="1">
      <c r="A14004" s="426"/>
    </row>
    <row r="14005" spans="1:1" s="427" customFormat="1" ht="12" hidden="1" customHeight="1">
      <c r="A14005" s="426"/>
    </row>
    <row r="14006" spans="1:1" s="427" customFormat="1" ht="12" hidden="1" customHeight="1">
      <c r="A14006" s="426"/>
    </row>
    <row r="14007" spans="1:1" s="427" customFormat="1" ht="12" hidden="1" customHeight="1">
      <c r="A14007" s="426"/>
    </row>
    <row r="14008" spans="1:1" s="427" customFormat="1" ht="12" hidden="1" customHeight="1">
      <c r="A14008" s="426"/>
    </row>
    <row r="14009" spans="1:1" s="427" customFormat="1" ht="12" hidden="1" customHeight="1">
      <c r="A14009" s="426"/>
    </row>
    <row r="14010" spans="1:1" s="427" customFormat="1" ht="12" hidden="1" customHeight="1">
      <c r="A14010" s="426"/>
    </row>
    <row r="14011" spans="1:1" s="427" customFormat="1" ht="12" hidden="1" customHeight="1">
      <c r="A14011" s="426"/>
    </row>
    <row r="14012" spans="1:1" s="427" customFormat="1" ht="12" hidden="1" customHeight="1">
      <c r="A14012" s="426"/>
    </row>
    <row r="14013" spans="1:1" s="427" customFormat="1" ht="12" hidden="1" customHeight="1">
      <c r="A14013" s="426"/>
    </row>
    <row r="14014" spans="1:1" s="427" customFormat="1" ht="12" hidden="1" customHeight="1">
      <c r="A14014" s="426"/>
    </row>
    <row r="14015" spans="1:1" s="427" customFormat="1" ht="12" hidden="1" customHeight="1">
      <c r="A14015" s="426"/>
    </row>
    <row r="14016" spans="1:1" s="427" customFormat="1" ht="12" hidden="1" customHeight="1">
      <c r="A14016" s="426"/>
    </row>
    <row r="14017" spans="1:1" s="427" customFormat="1" ht="12" hidden="1" customHeight="1">
      <c r="A14017" s="426"/>
    </row>
    <row r="14018" spans="1:1" s="427" customFormat="1" ht="12" hidden="1" customHeight="1">
      <c r="A14018" s="426"/>
    </row>
    <row r="14019" spans="1:1" s="427" customFormat="1" ht="12" hidden="1" customHeight="1">
      <c r="A14019" s="426"/>
    </row>
    <row r="14020" spans="1:1" s="427" customFormat="1" ht="12" hidden="1" customHeight="1">
      <c r="A14020" s="426"/>
    </row>
    <row r="14021" spans="1:1" s="427" customFormat="1" ht="12" hidden="1" customHeight="1">
      <c r="A14021" s="426"/>
    </row>
    <row r="14022" spans="1:1" s="427" customFormat="1" ht="12" hidden="1" customHeight="1">
      <c r="A14022" s="426"/>
    </row>
    <row r="14023" spans="1:1" s="427" customFormat="1" ht="12" hidden="1" customHeight="1">
      <c r="A14023" s="426"/>
    </row>
    <row r="14024" spans="1:1" s="427" customFormat="1" ht="12" hidden="1" customHeight="1">
      <c r="A14024" s="426"/>
    </row>
    <row r="14025" spans="1:1" s="427" customFormat="1" ht="12" hidden="1" customHeight="1">
      <c r="A14025" s="426"/>
    </row>
    <row r="14026" spans="1:1" s="427" customFormat="1" ht="12" hidden="1" customHeight="1">
      <c r="A14026" s="426"/>
    </row>
    <row r="14027" spans="1:1" s="427" customFormat="1" ht="12" hidden="1" customHeight="1">
      <c r="A14027" s="426"/>
    </row>
    <row r="14028" spans="1:1" s="427" customFormat="1" ht="12" hidden="1" customHeight="1">
      <c r="A14028" s="426"/>
    </row>
    <row r="14029" spans="1:1" s="427" customFormat="1" ht="12" hidden="1" customHeight="1">
      <c r="A14029" s="426"/>
    </row>
    <row r="14030" spans="1:1" s="427" customFormat="1" ht="12" hidden="1" customHeight="1">
      <c r="A14030" s="426"/>
    </row>
    <row r="14031" spans="1:1" s="427" customFormat="1" ht="12" hidden="1" customHeight="1">
      <c r="A14031" s="426"/>
    </row>
    <row r="14032" spans="1:1" s="427" customFormat="1" ht="12" hidden="1" customHeight="1">
      <c r="A14032" s="426"/>
    </row>
    <row r="14033" spans="1:1" s="427" customFormat="1" ht="12" hidden="1" customHeight="1">
      <c r="A14033" s="426"/>
    </row>
    <row r="14034" spans="1:1" s="427" customFormat="1" ht="12" hidden="1" customHeight="1">
      <c r="A14034" s="426"/>
    </row>
    <row r="14035" spans="1:1" s="427" customFormat="1" ht="12" hidden="1" customHeight="1">
      <c r="A14035" s="426"/>
    </row>
    <row r="14036" spans="1:1" s="427" customFormat="1" ht="12" hidden="1" customHeight="1">
      <c r="A14036" s="426"/>
    </row>
    <row r="14037" spans="1:1" s="427" customFormat="1" ht="12" hidden="1" customHeight="1">
      <c r="A14037" s="426"/>
    </row>
    <row r="14038" spans="1:1" s="427" customFormat="1" ht="12" hidden="1" customHeight="1">
      <c r="A14038" s="426"/>
    </row>
    <row r="14039" spans="1:1" s="427" customFormat="1" ht="12" hidden="1" customHeight="1">
      <c r="A14039" s="426"/>
    </row>
    <row r="14040" spans="1:1" s="427" customFormat="1" ht="12" hidden="1" customHeight="1">
      <c r="A14040" s="426"/>
    </row>
    <row r="14041" spans="1:1" s="427" customFormat="1" ht="12" hidden="1" customHeight="1">
      <c r="A14041" s="426"/>
    </row>
    <row r="14042" spans="1:1" s="427" customFormat="1" ht="12" hidden="1" customHeight="1">
      <c r="A14042" s="426"/>
    </row>
    <row r="14043" spans="1:1" s="427" customFormat="1" ht="12" hidden="1" customHeight="1">
      <c r="A14043" s="426"/>
    </row>
    <row r="14044" spans="1:1" s="427" customFormat="1" ht="12" hidden="1" customHeight="1">
      <c r="A14044" s="426"/>
    </row>
    <row r="14045" spans="1:1" s="427" customFormat="1" ht="12" hidden="1" customHeight="1">
      <c r="A14045" s="426"/>
    </row>
    <row r="14046" spans="1:1" s="427" customFormat="1" ht="12" hidden="1" customHeight="1">
      <c r="A14046" s="426"/>
    </row>
    <row r="14047" spans="1:1" s="427" customFormat="1" ht="12" hidden="1" customHeight="1">
      <c r="A14047" s="426"/>
    </row>
    <row r="14048" spans="1:1" s="427" customFormat="1" ht="12" hidden="1" customHeight="1">
      <c r="A14048" s="426"/>
    </row>
    <row r="14049" spans="1:1" s="427" customFormat="1" ht="12" hidden="1" customHeight="1">
      <c r="A14049" s="426"/>
    </row>
    <row r="14050" spans="1:1" s="427" customFormat="1" ht="12" hidden="1" customHeight="1">
      <c r="A14050" s="426"/>
    </row>
    <row r="14051" spans="1:1" s="427" customFormat="1" ht="12" hidden="1" customHeight="1">
      <c r="A14051" s="426"/>
    </row>
    <row r="14052" spans="1:1" s="427" customFormat="1" ht="12" hidden="1" customHeight="1">
      <c r="A14052" s="426"/>
    </row>
    <row r="14053" spans="1:1" s="427" customFormat="1" ht="12" hidden="1" customHeight="1">
      <c r="A14053" s="426"/>
    </row>
    <row r="14054" spans="1:1" s="427" customFormat="1" ht="12" hidden="1" customHeight="1">
      <c r="A14054" s="426"/>
    </row>
    <row r="14055" spans="1:1" s="427" customFormat="1" ht="12" hidden="1" customHeight="1">
      <c r="A14055" s="426"/>
    </row>
    <row r="14056" spans="1:1" s="427" customFormat="1" ht="12" hidden="1" customHeight="1">
      <c r="A14056" s="426"/>
    </row>
    <row r="14057" spans="1:1" s="427" customFormat="1" ht="12" hidden="1" customHeight="1">
      <c r="A14057" s="426"/>
    </row>
    <row r="14058" spans="1:1" s="427" customFormat="1" ht="12" hidden="1" customHeight="1">
      <c r="A14058" s="426"/>
    </row>
    <row r="14059" spans="1:1" s="427" customFormat="1" ht="12" hidden="1" customHeight="1">
      <c r="A14059" s="426"/>
    </row>
    <row r="14060" spans="1:1" s="427" customFormat="1" ht="12" hidden="1" customHeight="1">
      <c r="A14060" s="426"/>
    </row>
    <row r="14061" spans="1:1" s="427" customFormat="1" ht="12" hidden="1" customHeight="1">
      <c r="A14061" s="426"/>
    </row>
    <row r="14062" spans="1:1" s="427" customFormat="1" ht="12" hidden="1" customHeight="1">
      <c r="A14062" s="426"/>
    </row>
    <row r="14063" spans="1:1" s="427" customFormat="1" ht="12" hidden="1" customHeight="1">
      <c r="A14063" s="426"/>
    </row>
    <row r="14064" spans="1:1" s="427" customFormat="1" ht="12" hidden="1" customHeight="1">
      <c r="A14064" s="426"/>
    </row>
    <row r="14065" spans="1:1" s="427" customFormat="1" ht="12" hidden="1" customHeight="1">
      <c r="A14065" s="426"/>
    </row>
    <row r="14066" spans="1:1" s="427" customFormat="1" ht="12" hidden="1" customHeight="1">
      <c r="A14066" s="426"/>
    </row>
    <row r="14067" spans="1:1" s="427" customFormat="1" ht="12" hidden="1" customHeight="1">
      <c r="A14067" s="426"/>
    </row>
    <row r="14068" spans="1:1" s="427" customFormat="1" ht="12" hidden="1" customHeight="1">
      <c r="A14068" s="426"/>
    </row>
    <row r="14069" spans="1:1" s="427" customFormat="1" ht="12" hidden="1" customHeight="1">
      <c r="A14069" s="426"/>
    </row>
    <row r="14070" spans="1:1" s="427" customFormat="1" ht="12" hidden="1" customHeight="1">
      <c r="A14070" s="426"/>
    </row>
    <row r="14071" spans="1:1" s="427" customFormat="1" ht="12" hidden="1" customHeight="1">
      <c r="A14071" s="426"/>
    </row>
    <row r="14072" spans="1:1" s="427" customFormat="1" ht="12" hidden="1" customHeight="1">
      <c r="A14072" s="426"/>
    </row>
    <row r="14073" spans="1:1" s="427" customFormat="1" ht="12" hidden="1" customHeight="1">
      <c r="A14073" s="426"/>
    </row>
    <row r="14074" spans="1:1" s="427" customFormat="1" ht="12" hidden="1" customHeight="1">
      <c r="A14074" s="426"/>
    </row>
    <row r="14075" spans="1:1" s="427" customFormat="1" ht="12" hidden="1" customHeight="1">
      <c r="A14075" s="426"/>
    </row>
    <row r="14076" spans="1:1" s="427" customFormat="1" ht="12" hidden="1" customHeight="1">
      <c r="A14076" s="426"/>
    </row>
    <row r="14077" spans="1:1" s="427" customFormat="1" ht="12" hidden="1" customHeight="1">
      <c r="A14077" s="426"/>
    </row>
    <row r="14078" spans="1:1" s="427" customFormat="1" ht="12" hidden="1" customHeight="1">
      <c r="A14078" s="426"/>
    </row>
    <row r="14079" spans="1:1" s="427" customFormat="1" ht="12" hidden="1" customHeight="1">
      <c r="A14079" s="426"/>
    </row>
    <row r="14080" spans="1:1" s="427" customFormat="1" ht="12" hidden="1" customHeight="1">
      <c r="A14080" s="426"/>
    </row>
    <row r="14081" spans="1:1" s="427" customFormat="1" ht="12" hidden="1" customHeight="1">
      <c r="A14081" s="426"/>
    </row>
    <row r="14082" spans="1:1" s="427" customFormat="1" ht="12" hidden="1" customHeight="1">
      <c r="A14082" s="426"/>
    </row>
    <row r="14083" spans="1:1" s="427" customFormat="1" ht="12" hidden="1" customHeight="1">
      <c r="A14083" s="426"/>
    </row>
    <row r="14084" spans="1:1" s="427" customFormat="1" ht="12" hidden="1" customHeight="1">
      <c r="A14084" s="426"/>
    </row>
    <row r="14085" spans="1:1" s="427" customFormat="1" ht="12" hidden="1" customHeight="1">
      <c r="A14085" s="426"/>
    </row>
    <row r="14086" spans="1:1" s="427" customFormat="1" ht="12" hidden="1" customHeight="1">
      <c r="A14086" s="426"/>
    </row>
    <row r="14087" spans="1:1" s="427" customFormat="1" ht="12" hidden="1" customHeight="1">
      <c r="A14087" s="426"/>
    </row>
    <row r="14088" spans="1:1" s="427" customFormat="1" ht="12" hidden="1" customHeight="1">
      <c r="A14088" s="426"/>
    </row>
    <row r="14089" spans="1:1" s="427" customFormat="1" ht="12" hidden="1" customHeight="1">
      <c r="A14089" s="426"/>
    </row>
    <row r="14090" spans="1:1" s="427" customFormat="1" ht="12" hidden="1" customHeight="1">
      <c r="A14090" s="426"/>
    </row>
    <row r="14091" spans="1:1" s="427" customFormat="1" ht="12" hidden="1" customHeight="1">
      <c r="A14091" s="426"/>
    </row>
    <row r="14092" spans="1:1" s="427" customFormat="1" ht="12" hidden="1" customHeight="1">
      <c r="A14092" s="426"/>
    </row>
    <row r="14093" spans="1:1" s="427" customFormat="1" ht="12" hidden="1" customHeight="1">
      <c r="A14093" s="426"/>
    </row>
    <row r="14094" spans="1:1" s="427" customFormat="1" ht="12" hidden="1" customHeight="1">
      <c r="A14094" s="426"/>
    </row>
    <row r="14095" spans="1:1" s="427" customFormat="1" ht="12" hidden="1" customHeight="1">
      <c r="A14095" s="426"/>
    </row>
    <row r="14096" spans="1:1" s="427" customFormat="1" ht="12" hidden="1" customHeight="1">
      <c r="A14096" s="426"/>
    </row>
    <row r="14097" spans="1:1" s="427" customFormat="1" ht="12" hidden="1" customHeight="1">
      <c r="A14097" s="426"/>
    </row>
    <row r="14098" spans="1:1" s="427" customFormat="1" ht="12" hidden="1" customHeight="1">
      <c r="A14098" s="426"/>
    </row>
    <row r="14099" spans="1:1" s="427" customFormat="1" ht="12" hidden="1" customHeight="1">
      <c r="A14099" s="426"/>
    </row>
    <row r="14100" spans="1:1" s="427" customFormat="1" ht="12" hidden="1" customHeight="1">
      <c r="A14100" s="426"/>
    </row>
    <row r="14101" spans="1:1" s="427" customFormat="1" ht="12" hidden="1" customHeight="1">
      <c r="A14101" s="426"/>
    </row>
    <row r="14102" spans="1:1" s="427" customFormat="1" ht="12" hidden="1" customHeight="1">
      <c r="A14102" s="426"/>
    </row>
    <row r="14103" spans="1:1" s="427" customFormat="1" ht="12" hidden="1" customHeight="1">
      <c r="A14103" s="426"/>
    </row>
    <row r="14104" spans="1:1" s="427" customFormat="1" ht="12" hidden="1" customHeight="1">
      <c r="A14104" s="426"/>
    </row>
    <row r="14105" spans="1:1" s="427" customFormat="1" ht="12" hidden="1" customHeight="1">
      <c r="A14105" s="426"/>
    </row>
    <row r="14106" spans="1:1" s="427" customFormat="1" ht="12" hidden="1" customHeight="1">
      <c r="A14106" s="426"/>
    </row>
    <row r="14107" spans="1:1" s="427" customFormat="1" ht="12" hidden="1" customHeight="1">
      <c r="A14107" s="426"/>
    </row>
    <row r="14108" spans="1:1" s="427" customFormat="1" ht="12" hidden="1" customHeight="1">
      <c r="A14108" s="426"/>
    </row>
    <row r="14109" spans="1:1" s="427" customFormat="1" ht="12" hidden="1" customHeight="1">
      <c r="A14109" s="426"/>
    </row>
    <row r="14110" spans="1:1" s="427" customFormat="1" ht="12" hidden="1" customHeight="1">
      <c r="A14110" s="426"/>
    </row>
    <row r="14111" spans="1:1" s="427" customFormat="1" ht="12" hidden="1" customHeight="1">
      <c r="A14111" s="426"/>
    </row>
    <row r="14112" spans="1:1" s="427" customFormat="1" ht="12" hidden="1" customHeight="1">
      <c r="A14112" s="426"/>
    </row>
    <row r="14113" spans="1:1" s="427" customFormat="1" ht="12" hidden="1" customHeight="1">
      <c r="A14113" s="426"/>
    </row>
    <row r="14114" spans="1:1" s="427" customFormat="1" ht="12" hidden="1" customHeight="1">
      <c r="A14114" s="426"/>
    </row>
    <row r="14115" spans="1:1" s="427" customFormat="1" ht="12" hidden="1" customHeight="1">
      <c r="A14115" s="426"/>
    </row>
    <row r="14116" spans="1:1" s="427" customFormat="1" ht="12" hidden="1" customHeight="1">
      <c r="A14116" s="426"/>
    </row>
    <row r="14117" spans="1:1" s="427" customFormat="1" ht="12" hidden="1" customHeight="1">
      <c r="A14117" s="426"/>
    </row>
    <row r="14118" spans="1:1" s="427" customFormat="1" ht="12" hidden="1" customHeight="1">
      <c r="A14118" s="426"/>
    </row>
    <row r="14119" spans="1:1" s="427" customFormat="1" ht="12" hidden="1" customHeight="1">
      <c r="A14119" s="426"/>
    </row>
    <row r="14120" spans="1:1" s="427" customFormat="1" ht="12" hidden="1" customHeight="1">
      <c r="A14120" s="426"/>
    </row>
    <row r="14121" spans="1:1" s="427" customFormat="1" ht="12" hidden="1" customHeight="1">
      <c r="A14121" s="426"/>
    </row>
    <row r="14122" spans="1:1" s="427" customFormat="1" ht="12" hidden="1" customHeight="1">
      <c r="A14122" s="426"/>
    </row>
    <row r="14123" spans="1:1" s="427" customFormat="1" ht="12" hidden="1" customHeight="1">
      <c r="A14123" s="426"/>
    </row>
    <row r="14124" spans="1:1" s="427" customFormat="1" ht="12" hidden="1" customHeight="1">
      <c r="A14124" s="426"/>
    </row>
    <row r="14125" spans="1:1" s="427" customFormat="1" ht="12" hidden="1" customHeight="1">
      <c r="A14125" s="426"/>
    </row>
    <row r="14126" spans="1:1" s="427" customFormat="1" ht="12" hidden="1" customHeight="1">
      <c r="A14126" s="426"/>
    </row>
    <row r="14127" spans="1:1" s="427" customFormat="1" ht="12" hidden="1" customHeight="1">
      <c r="A14127" s="426"/>
    </row>
    <row r="14128" spans="1:1" s="427" customFormat="1" ht="12" hidden="1" customHeight="1">
      <c r="A14128" s="426"/>
    </row>
    <row r="14129" spans="1:1" s="427" customFormat="1" ht="12" hidden="1" customHeight="1">
      <c r="A14129" s="426"/>
    </row>
    <row r="14130" spans="1:1" s="427" customFormat="1" ht="12" hidden="1" customHeight="1">
      <c r="A14130" s="426"/>
    </row>
    <row r="14131" spans="1:1" s="427" customFormat="1" ht="12" hidden="1" customHeight="1">
      <c r="A14131" s="426"/>
    </row>
    <row r="14132" spans="1:1" s="427" customFormat="1" ht="12" hidden="1" customHeight="1">
      <c r="A14132" s="426"/>
    </row>
    <row r="14133" spans="1:1" s="427" customFormat="1" ht="12" hidden="1" customHeight="1">
      <c r="A14133" s="426"/>
    </row>
    <row r="14134" spans="1:1" s="427" customFormat="1" ht="12" hidden="1" customHeight="1">
      <c r="A14134" s="426"/>
    </row>
    <row r="14135" spans="1:1" s="427" customFormat="1" ht="12" hidden="1" customHeight="1">
      <c r="A14135" s="426"/>
    </row>
    <row r="14136" spans="1:1" s="427" customFormat="1" ht="12" hidden="1" customHeight="1">
      <c r="A14136" s="426"/>
    </row>
    <row r="14137" spans="1:1" s="427" customFormat="1" ht="12" hidden="1" customHeight="1">
      <c r="A14137" s="426"/>
    </row>
    <row r="14138" spans="1:1" s="427" customFormat="1" ht="12" hidden="1" customHeight="1">
      <c r="A14138" s="426"/>
    </row>
    <row r="14139" spans="1:1" s="427" customFormat="1" ht="12" hidden="1" customHeight="1">
      <c r="A14139" s="426"/>
    </row>
    <row r="14140" spans="1:1" s="427" customFormat="1" ht="12" hidden="1" customHeight="1">
      <c r="A14140" s="426"/>
    </row>
    <row r="14141" spans="1:1" s="427" customFormat="1" ht="12" hidden="1" customHeight="1">
      <c r="A14141" s="426"/>
    </row>
    <row r="14142" spans="1:1" s="427" customFormat="1" ht="12" hidden="1" customHeight="1">
      <c r="A14142" s="426"/>
    </row>
    <row r="14143" spans="1:1" s="427" customFormat="1" ht="12" hidden="1" customHeight="1">
      <c r="A14143" s="426"/>
    </row>
    <row r="14144" spans="1:1" s="427" customFormat="1" ht="12" hidden="1" customHeight="1">
      <c r="A14144" s="426"/>
    </row>
    <row r="14145" spans="1:1" s="427" customFormat="1" ht="12" hidden="1" customHeight="1">
      <c r="A14145" s="426"/>
    </row>
    <row r="14146" spans="1:1" s="427" customFormat="1" ht="12" hidden="1" customHeight="1">
      <c r="A14146" s="426"/>
    </row>
    <row r="14147" spans="1:1" s="427" customFormat="1" ht="12" hidden="1" customHeight="1">
      <c r="A14147" s="426"/>
    </row>
    <row r="14148" spans="1:1" s="427" customFormat="1" ht="12" hidden="1" customHeight="1">
      <c r="A14148" s="426"/>
    </row>
    <row r="14149" spans="1:1" s="427" customFormat="1" ht="12" hidden="1" customHeight="1">
      <c r="A14149" s="426"/>
    </row>
    <row r="14150" spans="1:1" s="427" customFormat="1" ht="12" hidden="1" customHeight="1">
      <c r="A14150" s="426"/>
    </row>
    <row r="14151" spans="1:1" s="427" customFormat="1" ht="12" hidden="1" customHeight="1">
      <c r="A14151" s="426"/>
    </row>
    <row r="14152" spans="1:1" s="427" customFormat="1" ht="12" hidden="1" customHeight="1">
      <c r="A14152" s="426"/>
    </row>
    <row r="14153" spans="1:1" s="427" customFormat="1" ht="12" hidden="1" customHeight="1">
      <c r="A14153" s="426"/>
    </row>
    <row r="14154" spans="1:1" s="427" customFormat="1" ht="12" hidden="1" customHeight="1">
      <c r="A14154" s="426"/>
    </row>
    <row r="14155" spans="1:1" s="427" customFormat="1" ht="12" hidden="1" customHeight="1">
      <c r="A14155" s="426"/>
    </row>
    <row r="14156" spans="1:1" s="427" customFormat="1" ht="12" hidden="1" customHeight="1">
      <c r="A14156" s="426"/>
    </row>
    <row r="14157" spans="1:1" s="427" customFormat="1" ht="12" hidden="1" customHeight="1">
      <c r="A14157" s="426"/>
    </row>
    <row r="14158" spans="1:1" s="427" customFormat="1" ht="12" hidden="1" customHeight="1">
      <c r="A14158" s="426"/>
    </row>
    <row r="14159" spans="1:1" s="427" customFormat="1" ht="12" hidden="1" customHeight="1">
      <c r="A14159" s="426"/>
    </row>
    <row r="14160" spans="1:1" s="427" customFormat="1" ht="12" hidden="1" customHeight="1">
      <c r="A14160" s="426"/>
    </row>
    <row r="14161" spans="1:1" s="427" customFormat="1" ht="12" hidden="1" customHeight="1">
      <c r="A14161" s="426"/>
    </row>
    <row r="14162" spans="1:1" s="427" customFormat="1" ht="12" hidden="1" customHeight="1">
      <c r="A14162" s="426"/>
    </row>
    <row r="14163" spans="1:1" s="427" customFormat="1" ht="12" hidden="1" customHeight="1">
      <c r="A14163" s="426"/>
    </row>
    <row r="14164" spans="1:1" s="427" customFormat="1" ht="12" hidden="1" customHeight="1">
      <c r="A14164" s="426"/>
    </row>
    <row r="14165" spans="1:1" s="427" customFormat="1" ht="12" hidden="1" customHeight="1">
      <c r="A14165" s="426"/>
    </row>
    <row r="14166" spans="1:1" s="427" customFormat="1" ht="12" hidden="1" customHeight="1">
      <c r="A14166" s="426"/>
    </row>
    <row r="14167" spans="1:1" s="427" customFormat="1" ht="12" hidden="1" customHeight="1">
      <c r="A14167" s="426"/>
    </row>
    <row r="14168" spans="1:1" s="427" customFormat="1" ht="12" hidden="1" customHeight="1">
      <c r="A14168" s="426"/>
    </row>
    <row r="14169" spans="1:1" s="427" customFormat="1" ht="12" hidden="1" customHeight="1">
      <c r="A14169" s="426"/>
    </row>
    <row r="14170" spans="1:1" s="427" customFormat="1" ht="12" hidden="1" customHeight="1">
      <c r="A14170" s="426"/>
    </row>
    <row r="14171" spans="1:1" s="427" customFormat="1" ht="12" hidden="1" customHeight="1">
      <c r="A14171" s="426"/>
    </row>
    <row r="14172" spans="1:1" s="427" customFormat="1" ht="12" hidden="1" customHeight="1">
      <c r="A14172" s="426"/>
    </row>
    <row r="14173" spans="1:1" s="427" customFormat="1" ht="12" hidden="1" customHeight="1">
      <c r="A14173" s="426"/>
    </row>
    <row r="14174" spans="1:1" s="427" customFormat="1" ht="12" hidden="1" customHeight="1">
      <c r="A14174" s="426"/>
    </row>
    <row r="14175" spans="1:1" s="427" customFormat="1" ht="12" hidden="1" customHeight="1">
      <c r="A14175" s="426"/>
    </row>
    <row r="14176" spans="1:1" s="427" customFormat="1" ht="12" hidden="1" customHeight="1">
      <c r="A14176" s="426"/>
    </row>
    <row r="14177" spans="1:1" s="427" customFormat="1" ht="12" hidden="1" customHeight="1">
      <c r="A14177" s="426"/>
    </row>
    <row r="14178" spans="1:1" s="427" customFormat="1" ht="12" hidden="1" customHeight="1">
      <c r="A14178" s="426"/>
    </row>
    <row r="14179" spans="1:1" s="427" customFormat="1" ht="12" hidden="1" customHeight="1">
      <c r="A14179" s="426"/>
    </row>
    <row r="14180" spans="1:1" s="427" customFormat="1" ht="12" hidden="1" customHeight="1">
      <c r="A14180" s="426"/>
    </row>
    <row r="14181" spans="1:1" s="427" customFormat="1" ht="12" hidden="1" customHeight="1">
      <c r="A14181" s="426"/>
    </row>
    <row r="14182" spans="1:1" s="427" customFormat="1" ht="12" hidden="1" customHeight="1">
      <c r="A14182" s="426"/>
    </row>
    <row r="14183" spans="1:1" s="427" customFormat="1" ht="12" hidden="1" customHeight="1">
      <c r="A14183" s="426"/>
    </row>
    <row r="14184" spans="1:1" s="427" customFormat="1" ht="12" hidden="1" customHeight="1">
      <c r="A14184" s="426"/>
    </row>
    <row r="14185" spans="1:1" s="427" customFormat="1" ht="12" hidden="1" customHeight="1">
      <c r="A14185" s="426"/>
    </row>
    <row r="14186" spans="1:1" s="427" customFormat="1" ht="12" hidden="1" customHeight="1">
      <c r="A14186" s="426"/>
    </row>
    <row r="14187" spans="1:1" s="427" customFormat="1" ht="12" hidden="1" customHeight="1">
      <c r="A14187" s="426"/>
    </row>
    <row r="14188" spans="1:1" s="427" customFormat="1" ht="12" hidden="1" customHeight="1">
      <c r="A14188" s="426"/>
    </row>
    <row r="14189" spans="1:1" s="427" customFormat="1" ht="12" hidden="1" customHeight="1">
      <c r="A14189" s="426"/>
    </row>
    <row r="14190" spans="1:1" s="427" customFormat="1" ht="12" hidden="1" customHeight="1">
      <c r="A14190" s="426"/>
    </row>
    <row r="14191" spans="1:1" s="427" customFormat="1" ht="12" hidden="1" customHeight="1">
      <c r="A14191" s="426"/>
    </row>
    <row r="14192" spans="1:1" s="427" customFormat="1" ht="12" hidden="1" customHeight="1">
      <c r="A14192" s="426"/>
    </row>
    <row r="14193" spans="1:1" s="427" customFormat="1" ht="12" hidden="1" customHeight="1">
      <c r="A14193" s="426"/>
    </row>
    <row r="14194" spans="1:1" s="427" customFormat="1" ht="12" hidden="1" customHeight="1">
      <c r="A14194" s="426"/>
    </row>
    <row r="14195" spans="1:1" s="427" customFormat="1" ht="12" hidden="1" customHeight="1">
      <c r="A14195" s="426"/>
    </row>
    <row r="14196" spans="1:1" s="427" customFormat="1" ht="12" hidden="1" customHeight="1">
      <c r="A14196" s="426"/>
    </row>
    <row r="14197" spans="1:1" s="427" customFormat="1" ht="12" hidden="1" customHeight="1">
      <c r="A14197" s="426"/>
    </row>
    <row r="14198" spans="1:1" s="427" customFormat="1" ht="12" hidden="1" customHeight="1">
      <c r="A14198" s="426"/>
    </row>
    <row r="14199" spans="1:1" s="427" customFormat="1" ht="12" hidden="1" customHeight="1">
      <c r="A14199" s="426"/>
    </row>
    <row r="14200" spans="1:1" s="427" customFormat="1" ht="12" hidden="1" customHeight="1">
      <c r="A14200" s="426"/>
    </row>
    <row r="14201" spans="1:1" s="427" customFormat="1" ht="12" hidden="1" customHeight="1">
      <c r="A14201" s="426"/>
    </row>
    <row r="14202" spans="1:1" s="427" customFormat="1" ht="12" hidden="1" customHeight="1">
      <c r="A14202" s="426"/>
    </row>
    <row r="14203" spans="1:1" s="427" customFormat="1" ht="12" hidden="1" customHeight="1">
      <c r="A14203" s="426"/>
    </row>
    <row r="14204" spans="1:1" s="427" customFormat="1" ht="12" hidden="1" customHeight="1">
      <c r="A14204" s="426"/>
    </row>
    <row r="14205" spans="1:1" s="427" customFormat="1" ht="12" hidden="1" customHeight="1">
      <c r="A14205" s="426"/>
    </row>
    <row r="14206" spans="1:1" s="427" customFormat="1" ht="12" hidden="1" customHeight="1">
      <c r="A14206" s="426"/>
    </row>
    <row r="14207" spans="1:1" s="427" customFormat="1" ht="12" hidden="1" customHeight="1">
      <c r="A14207" s="426"/>
    </row>
    <row r="14208" spans="1:1" s="427" customFormat="1" ht="12" hidden="1" customHeight="1">
      <c r="A14208" s="426"/>
    </row>
    <row r="14209" spans="1:1" s="427" customFormat="1" ht="12" hidden="1" customHeight="1">
      <c r="A14209" s="426"/>
    </row>
    <row r="14210" spans="1:1" s="427" customFormat="1" ht="12" hidden="1" customHeight="1">
      <c r="A14210" s="426"/>
    </row>
    <row r="14211" spans="1:1" s="427" customFormat="1" ht="12" hidden="1" customHeight="1">
      <c r="A14211" s="426"/>
    </row>
    <row r="14212" spans="1:1" s="427" customFormat="1" ht="12" hidden="1" customHeight="1">
      <c r="A14212" s="426"/>
    </row>
    <row r="14213" spans="1:1" s="427" customFormat="1" ht="12" hidden="1" customHeight="1">
      <c r="A14213" s="426"/>
    </row>
    <row r="14214" spans="1:1" s="427" customFormat="1" ht="12" hidden="1" customHeight="1">
      <c r="A14214" s="426"/>
    </row>
    <row r="14215" spans="1:1" s="427" customFormat="1" ht="12" hidden="1" customHeight="1">
      <c r="A14215" s="426"/>
    </row>
    <row r="14216" spans="1:1" s="427" customFormat="1" ht="12" hidden="1" customHeight="1">
      <c r="A14216" s="426"/>
    </row>
    <row r="14217" spans="1:1" s="427" customFormat="1" ht="12" hidden="1" customHeight="1">
      <c r="A14217" s="426"/>
    </row>
    <row r="14218" spans="1:1" s="427" customFormat="1" ht="12" hidden="1" customHeight="1">
      <c r="A14218" s="426"/>
    </row>
    <row r="14219" spans="1:1" s="427" customFormat="1" ht="12" hidden="1" customHeight="1">
      <c r="A14219" s="426"/>
    </row>
    <row r="14220" spans="1:1" s="427" customFormat="1" ht="12" hidden="1" customHeight="1">
      <c r="A14220" s="426"/>
    </row>
    <row r="14221" spans="1:1" s="427" customFormat="1" ht="12" hidden="1" customHeight="1">
      <c r="A14221" s="426"/>
    </row>
    <row r="14222" spans="1:1" s="427" customFormat="1" ht="12" hidden="1" customHeight="1">
      <c r="A14222" s="426"/>
    </row>
    <row r="14223" spans="1:1" s="427" customFormat="1" ht="12" hidden="1" customHeight="1">
      <c r="A14223" s="426"/>
    </row>
    <row r="14224" spans="1:1" s="427" customFormat="1" ht="12" hidden="1" customHeight="1">
      <c r="A14224" s="426"/>
    </row>
    <row r="14225" spans="1:1" s="427" customFormat="1" ht="12" hidden="1" customHeight="1">
      <c r="A14225" s="426"/>
    </row>
    <row r="14226" spans="1:1" s="427" customFormat="1" ht="12" hidden="1" customHeight="1">
      <c r="A14226" s="426"/>
    </row>
    <row r="14227" spans="1:1" s="427" customFormat="1" ht="12" hidden="1" customHeight="1">
      <c r="A14227" s="426"/>
    </row>
    <row r="14228" spans="1:1" s="427" customFormat="1" ht="12" hidden="1" customHeight="1">
      <c r="A14228" s="426"/>
    </row>
    <row r="14229" spans="1:1" s="427" customFormat="1" ht="12" hidden="1" customHeight="1">
      <c r="A14229" s="426"/>
    </row>
    <row r="14230" spans="1:1" s="427" customFormat="1" ht="12" hidden="1" customHeight="1">
      <c r="A14230" s="426"/>
    </row>
    <row r="14231" spans="1:1" s="427" customFormat="1" ht="12" hidden="1" customHeight="1">
      <c r="A14231" s="426"/>
    </row>
    <row r="14232" spans="1:1" s="427" customFormat="1" ht="12" hidden="1" customHeight="1">
      <c r="A14232" s="426"/>
    </row>
    <row r="14233" spans="1:1" s="427" customFormat="1" ht="12" hidden="1" customHeight="1">
      <c r="A14233" s="426"/>
    </row>
    <row r="14234" spans="1:1" s="427" customFormat="1" ht="12" hidden="1" customHeight="1">
      <c r="A14234" s="426"/>
    </row>
    <row r="14235" spans="1:1" s="427" customFormat="1" ht="12" hidden="1" customHeight="1">
      <c r="A14235" s="426"/>
    </row>
    <row r="14236" spans="1:1" s="427" customFormat="1" ht="12" hidden="1" customHeight="1">
      <c r="A14236" s="426"/>
    </row>
    <row r="14237" spans="1:1" s="427" customFormat="1" ht="12" hidden="1" customHeight="1">
      <c r="A14237" s="426"/>
    </row>
    <row r="14238" spans="1:1" s="427" customFormat="1" ht="12" hidden="1" customHeight="1">
      <c r="A14238" s="426"/>
    </row>
    <row r="14239" spans="1:1" s="427" customFormat="1" ht="12" hidden="1" customHeight="1">
      <c r="A14239" s="426"/>
    </row>
    <row r="14240" spans="1:1" s="427" customFormat="1" ht="12" hidden="1" customHeight="1">
      <c r="A14240" s="426"/>
    </row>
    <row r="14241" spans="1:1" s="427" customFormat="1" ht="12" hidden="1" customHeight="1">
      <c r="A14241" s="426"/>
    </row>
    <row r="14242" spans="1:1" s="427" customFormat="1" ht="12" hidden="1" customHeight="1">
      <c r="A14242" s="426"/>
    </row>
    <row r="14243" spans="1:1" s="427" customFormat="1" ht="12" hidden="1" customHeight="1">
      <c r="A14243" s="426"/>
    </row>
    <row r="14244" spans="1:1" s="427" customFormat="1" ht="12" hidden="1" customHeight="1">
      <c r="A14244" s="426"/>
    </row>
    <row r="14245" spans="1:1" s="427" customFormat="1" ht="12" hidden="1" customHeight="1">
      <c r="A14245" s="426"/>
    </row>
    <row r="14246" spans="1:1" s="427" customFormat="1" ht="12" hidden="1" customHeight="1">
      <c r="A14246" s="426"/>
    </row>
    <row r="14247" spans="1:1" s="427" customFormat="1" ht="12" hidden="1" customHeight="1">
      <c r="A14247" s="426"/>
    </row>
    <row r="14248" spans="1:1" s="427" customFormat="1" ht="12" hidden="1" customHeight="1">
      <c r="A14248" s="426"/>
    </row>
    <row r="14249" spans="1:1" s="427" customFormat="1" ht="12" hidden="1" customHeight="1">
      <c r="A14249" s="426"/>
    </row>
    <row r="14250" spans="1:1" s="427" customFormat="1" ht="12" hidden="1" customHeight="1">
      <c r="A14250" s="426"/>
    </row>
    <row r="14251" spans="1:1" s="427" customFormat="1" ht="12" hidden="1" customHeight="1">
      <c r="A14251" s="426"/>
    </row>
    <row r="14252" spans="1:1" s="427" customFormat="1" ht="12" hidden="1" customHeight="1">
      <c r="A14252" s="426"/>
    </row>
    <row r="14253" spans="1:1" s="427" customFormat="1" ht="12" hidden="1" customHeight="1">
      <c r="A14253" s="426"/>
    </row>
    <row r="14254" spans="1:1" s="427" customFormat="1" ht="12" hidden="1" customHeight="1">
      <c r="A14254" s="426"/>
    </row>
    <row r="14255" spans="1:1" s="427" customFormat="1" ht="12" hidden="1" customHeight="1">
      <c r="A14255" s="426"/>
    </row>
    <row r="14256" spans="1:1" s="427" customFormat="1" ht="12" hidden="1" customHeight="1">
      <c r="A14256" s="426"/>
    </row>
    <row r="14257" spans="1:1" s="427" customFormat="1" ht="12" hidden="1" customHeight="1">
      <c r="A14257" s="426"/>
    </row>
    <row r="14258" spans="1:1" s="427" customFormat="1" ht="12" hidden="1" customHeight="1">
      <c r="A14258" s="426"/>
    </row>
    <row r="14259" spans="1:1" s="427" customFormat="1" ht="12" hidden="1" customHeight="1">
      <c r="A14259" s="426"/>
    </row>
    <row r="14260" spans="1:1" s="427" customFormat="1" ht="12" hidden="1" customHeight="1">
      <c r="A14260" s="426"/>
    </row>
    <row r="14261" spans="1:1" s="427" customFormat="1" ht="12" hidden="1" customHeight="1">
      <c r="A14261" s="426"/>
    </row>
    <row r="14262" spans="1:1" s="427" customFormat="1" ht="12" hidden="1" customHeight="1">
      <c r="A14262" s="426"/>
    </row>
    <row r="14263" spans="1:1" s="427" customFormat="1" ht="12" hidden="1" customHeight="1">
      <c r="A14263" s="426"/>
    </row>
    <row r="14264" spans="1:1" s="427" customFormat="1" ht="12" hidden="1" customHeight="1">
      <c r="A14264" s="426"/>
    </row>
    <row r="14265" spans="1:1" s="427" customFormat="1" ht="12" hidden="1" customHeight="1">
      <c r="A14265" s="426"/>
    </row>
    <row r="14266" spans="1:1" s="427" customFormat="1" ht="12" hidden="1" customHeight="1">
      <c r="A14266" s="426"/>
    </row>
    <row r="14267" spans="1:1" s="427" customFormat="1" ht="12" hidden="1" customHeight="1">
      <c r="A14267" s="426"/>
    </row>
    <row r="14268" spans="1:1" s="427" customFormat="1" ht="12" hidden="1" customHeight="1">
      <c r="A14268" s="426"/>
    </row>
    <row r="14269" spans="1:1" s="427" customFormat="1" ht="12" hidden="1" customHeight="1">
      <c r="A14269" s="426"/>
    </row>
    <row r="14270" spans="1:1" s="427" customFormat="1" ht="12" hidden="1" customHeight="1">
      <c r="A14270" s="426"/>
    </row>
    <row r="14271" spans="1:1" s="427" customFormat="1" ht="12" hidden="1" customHeight="1">
      <c r="A14271" s="426"/>
    </row>
    <row r="14272" spans="1:1" s="427" customFormat="1" ht="12" hidden="1" customHeight="1">
      <c r="A14272" s="426"/>
    </row>
    <row r="14273" spans="1:1" s="427" customFormat="1" ht="12" hidden="1" customHeight="1">
      <c r="A14273" s="426"/>
    </row>
    <row r="14274" spans="1:1" s="427" customFormat="1" ht="12" hidden="1" customHeight="1">
      <c r="A14274" s="426"/>
    </row>
    <row r="14275" spans="1:1" s="427" customFormat="1" ht="12" hidden="1" customHeight="1">
      <c r="A14275" s="426"/>
    </row>
    <row r="14276" spans="1:1" s="427" customFormat="1" ht="12" hidden="1" customHeight="1">
      <c r="A14276" s="426"/>
    </row>
    <row r="14277" spans="1:1" s="427" customFormat="1" ht="12" hidden="1" customHeight="1">
      <c r="A14277" s="426"/>
    </row>
    <row r="14278" spans="1:1" s="427" customFormat="1" ht="12" hidden="1" customHeight="1">
      <c r="A14278" s="426"/>
    </row>
    <row r="14279" spans="1:1" s="427" customFormat="1" ht="12" hidden="1" customHeight="1">
      <c r="A14279" s="426"/>
    </row>
    <row r="14280" spans="1:1" s="427" customFormat="1" ht="12" hidden="1" customHeight="1">
      <c r="A14280" s="426"/>
    </row>
    <row r="14281" spans="1:1" s="427" customFormat="1" ht="12" hidden="1" customHeight="1">
      <c r="A14281" s="426"/>
    </row>
    <row r="14282" spans="1:1" s="427" customFormat="1" ht="12" hidden="1" customHeight="1">
      <c r="A14282" s="426"/>
    </row>
    <row r="14283" spans="1:1" s="427" customFormat="1" ht="12" hidden="1" customHeight="1">
      <c r="A14283" s="426"/>
    </row>
    <row r="14284" spans="1:1" s="427" customFormat="1" ht="12" hidden="1" customHeight="1">
      <c r="A14284" s="426"/>
    </row>
    <row r="14285" spans="1:1" s="427" customFormat="1" ht="12" hidden="1" customHeight="1">
      <c r="A14285" s="426"/>
    </row>
    <row r="14286" spans="1:1" s="427" customFormat="1" ht="12" hidden="1" customHeight="1">
      <c r="A14286" s="426"/>
    </row>
    <row r="14287" spans="1:1" s="427" customFormat="1" ht="12" hidden="1" customHeight="1">
      <c r="A14287" s="426"/>
    </row>
    <row r="14288" spans="1:1" s="427" customFormat="1" ht="12" hidden="1" customHeight="1">
      <c r="A14288" s="426"/>
    </row>
    <row r="14289" spans="1:1" s="427" customFormat="1" ht="12" hidden="1" customHeight="1">
      <c r="A14289" s="426"/>
    </row>
    <row r="14290" spans="1:1" s="427" customFormat="1" ht="12" hidden="1" customHeight="1">
      <c r="A14290" s="426"/>
    </row>
    <row r="14291" spans="1:1" s="427" customFormat="1" ht="12" hidden="1" customHeight="1">
      <c r="A14291" s="426"/>
    </row>
    <row r="14292" spans="1:1" s="427" customFormat="1" ht="12" hidden="1" customHeight="1">
      <c r="A14292" s="426"/>
    </row>
    <row r="14293" spans="1:1" s="427" customFormat="1" ht="12" hidden="1" customHeight="1">
      <c r="A14293" s="426"/>
    </row>
    <row r="14294" spans="1:1" s="427" customFormat="1" ht="12" hidden="1" customHeight="1">
      <c r="A14294" s="426"/>
    </row>
    <row r="14295" spans="1:1" s="427" customFormat="1" ht="12" hidden="1" customHeight="1">
      <c r="A14295" s="426"/>
    </row>
    <row r="14296" spans="1:1" s="427" customFormat="1" ht="12" hidden="1" customHeight="1">
      <c r="A14296" s="426"/>
    </row>
    <row r="14297" spans="1:1" s="427" customFormat="1" ht="12" hidden="1" customHeight="1">
      <c r="A14297" s="426"/>
    </row>
    <row r="14298" spans="1:1" s="427" customFormat="1" ht="12" hidden="1" customHeight="1">
      <c r="A14298" s="426"/>
    </row>
    <row r="14299" spans="1:1" s="427" customFormat="1" ht="12" hidden="1" customHeight="1">
      <c r="A14299" s="426"/>
    </row>
    <row r="14300" spans="1:1" s="427" customFormat="1" ht="12" hidden="1" customHeight="1">
      <c r="A14300" s="426"/>
    </row>
    <row r="14301" spans="1:1" s="427" customFormat="1" ht="12" hidden="1" customHeight="1">
      <c r="A14301" s="426"/>
    </row>
    <row r="14302" spans="1:1" s="427" customFormat="1" ht="12" hidden="1" customHeight="1">
      <c r="A14302" s="426"/>
    </row>
    <row r="14303" spans="1:1" s="427" customFormat="1" ht="12" hidden="1" customHeight="1">
      <c r="A14303" s="426"/>
    </row>
    <row r="14304" spans="1:1" s="427" customFormat="1" ht="12" hidden="1" customHeight="1">
      <c r="A14304" s="426"/>
    </row>
    <row r="14305" spans="1:1" s="427" customFormat="1" ht="12" hidden="1" customHeight="1">
      <c r="A14305" s="426"/>
    </row>
    <row r="14306" spans="1:1" s="427" customFormat="1" ht="12" hidden="1" customHeight="1">
      <c r="A14306" s="426"/>
    </row>
    <row r="14307" spans="1:1" s="427" customFormat="1" ht="12" hidden="1" customHeight="1">
      <c r="A14307" s="426"/>
    </row>
    <row r="14308" spans="1:1" s="427" customFormat="1" ht="12" hidden="1" customHeight="1">
      <c r="A14308" s="426"/>
    </row>
    <row r="14309" spans="1:1" s="427" customFormat="1" ht="12" hidden="1" customHeight="1">
      <c r="A14309" s="426"/>
    </row>
    <row r="14310" spans="1:1" s="427" customFormat="1" ht="12" hidden="1" customHeight="1">
      <c r="A14310" s="426"/>
    </row>
    <row r="14311" spans="1:1" s="427" customFormat="1" ht="12" hidden="1" customHeight="1">
      <c r="A14311" s="426"/>
    </row>
    <row r="14312" spans="1:1" s="427" customFormat="1" ht="12" hidden="1" customHeight="1">
      <c r="A14312" s="426"/>
    </row>
    <row r="14313" spans="1:1" s="427" customFormat="1" ht="12" hidden="1" customHeight="1">
      <c r="A14313" s="426"/>
    </row>
    <row r="14314" spans="1:1" s="427" customFormat="1" ht="12" hidden="1" customHeight="1">
      <c r="A14314" s="426"/>
    </row>
    <row r="14315" spans="1:1" s="427" customFormat="1" ht="12" hidden="1" customHeight="1">
      <c r="A14315" s="426"/>
    </row>
    <row r="14316" spans="1:1" s="427" customFormat="1" ht="12" hidden="1" customHeight="1">
      <c r="A14316" s="426"/>
    </row>
    <row r="14317" spans="1:1" s="427" customFormat="1" ht="12" hidden="1" customHeight="1">
      <c r="A14317" s="426"/>
    </row>
    <row r="14318" spans="1:1" s="427" customFormat="1" ht="12" hidden="1" customHeight="1">
      <c r="A14318" s="426"/>
    </row>
    <row r="14319" spans="1:1" s="427" customFormat="1" ht="12" hidden="1" customHeight="1">
      <c r="A14319" s="426"/>
    </row>
    <row r="14320" spans="1:1" s="427" customFormat="1" ht="12" hidden="1" customHeight="1">
      <c r="A14320" s="426"/>
    </row>
    <row r="14321" spans="1:1" s="427" customFormat="1" ht="12" hidden="1" customHeight="1">
      <c r="A14321" s="426"/>
    </row>
    <row r="14322" spans="1:1" s="427" customFormat="1" ht="12" hidden="1" customHeight="1">
      <c r="A14322" s="426"/>
    </row>
    <row r="14323" spans="1:1" s="427" customFormat="1" ht="12" hidden="1" customHeight="1">
      <c r="A14323" s="426"/>
    </row>
    <row r="14324" spans="1:1" s="427" customFormat="1" ht="12" hidden="1" customHeight="1">
      <c r="A14324" s="426"/>
    </row>
    <row r="14325" spans="1:1" s="427" customFormat="1" ht="12" hidden="1" customHeight="1">
      <c r="A14325" s="426"/>
    </row>
    <row r="14326" spans="1:1" s="427" customFormat="1" ht="12" hidden="1" customHeight="1">
      <c r="A14326" s="426"/>
    </row>
    <row r="14327" spans="1:1" s="427" customFormat="1" ht="12" hidden="1" customHeight="1">
      <c r="A14327" s="426"/>
    </row>
    <row r="14328" spans="1:1" s="427" customFormat="1" ht="12" hidden="1" customHeight="1">
      <c r="A14328" s="426"/>
    </row>
    <row r="14329" spans="1:1" s="427" customFormat="1" ht="12" hidden="1" customHeight="1">
      <c r="A14329" s="426"/>
    </row>
    <row r="14330" spans="1:1" s="427" customFormat="1" ht="12" hidden="1" customHeight="1">
      <c r="A14330" s="426"/>
    </row>
    <row r="14331" spans="1:1" s="427" customFormat="1" ht="12" hidden="1" customHeight="1">
      <c r="A14331" s="426"/>
    </row>
    <row r="14332" spans="1:1" s="427" customFormat="1" ht="12" hidden="1" customHeight="1">
      <c r="A14332" s="426"/>
    </row>
    <row r="14333" spans="1:1" s="427" customFormat="1" ht="12" hidden="1" customHeight="1">
      <c r="A14333" s="426"/>
    </row>
    <row r="14334" spans="1:1" s="427" customFormat="1" ht="12" hidden="1" customHeight="1">
      <c r="A14334" s="426"/>
    </row>
    <row r="14335" spans="1:1" s="427" customFormat="1" ht="12" hidden="1" customHeight="1">
      <c r="A14335" s="426"/>
    </row>
    <row r="14336" spans="1:1" s="427" customFormat="1" ht="12" hidden="1" customHeight="1">
      <c r="A14336" s="426"/>
    </row>
    <row r="14337" spans="1:1" s="427" customFormat="1" ht="12" hidden="1" customHeight="1">
      <c r="A14337" s="426"/>
    </row>
    <row r="14338" spans="1:1" s="427" customFormat="1" ht="12" hidden="1" customHeight="1">
      <c r="A14338" s="426"/>
    </row>
    <row r="14339" spans="1:1" s="427" customFormat="1" ht="12" hidden="1" customHeight="1">
      <c r="A14339" s="426"/>
    </row>
    <row r="14340" spans="1:1" s="427" customFormat="1" ht="12" hidden="1" customHeight="1">
      <c r="A14340" s="426"/>
    </row>
    <row r="14341" spans="1:1" s="427" customFormat="1" ht="12" hidden="1" customHeight="1">
      <c r="A14341" s="426"/>
    </row>
    <row r="14342" spans="1:1" s="427" customFormat="1" ht="12" hidden="1" customHeight="1">
      <c r="A14342" s="426"/>
    </row>
    <row r="14343" spans="1:1" s="427" customFormat="1" ht="12" hidden="1" customHeight="1">
      <c r="A14343" s="426"/>
    </row>
    <row r="14344" spans="1:1" s="427" customFormat="1" ht="12" hidden="1" customHeight="1">
      <c r="A14344" s="426"/>
    </row>
    <row r="14345" spans="1:1" s="427" customFormat="1" ht="12" hidden="1" customHeight="1">
      <c r="A14345" s="426"/>
    </row>
    <row r="14346" spans="1:1" s="427" customFormat="1" ht="12" hidden="1" customHeight="1">
      <c r="A14346" s="426"/>
    </row>
    <row r="14347" spans="1:1" s="427" customFormat="1" ht="12" hidden="1" customHeight="1">
      <c r="A14347" s="426"/>
    </row>
    <row r="14348" spans="1:1" s="427" customFormat="1" ht="12" hidden="1" customHeight="1">
      <c r="A14348" s="426"/>
    </row>
    <row r="14349" spans="1:1" s="427" customFormat="1" ht="12" hidden="1" customHeight="1">
      <c r="A14349" s="426"/>
    </row>
    <row r="14350" spans="1:1" s="427" customFormat="1" ht="12" hidden="1" customHeight="1">
      <c r="A14350" s="426"/>
    </row>
    <row r="14351" spans="1:1" s="427" customFormat="1" ht="12" hidden="1" customHeight="1">
      <c r="A14351" s="426"/>
    </row>
    <row r="14352" spans="1:1" s="427" customFormat="1" ht="12" hidden="1" customHeight="1">
      <c r="A14352" s="426"/>
    </row>
    <row r="14353" spans="1:1" s="427" customFormat="1" ht="12" hidden="1" customHeight="1">
      <c r="A14353" s="426"/>
    </row>
    <row r="14354" spans="1:1" s="427" customFormat="1" ht="12" hidden="1" customHeight="1">
      <c r="A14354" s="426"/>
    </row>
    <row r="14355" spans="1:1" s="427" customFormat="1" ht="12" hidden="1" customHeight="1">
      <c r="A14355" s="426"/>
    </row>
    <row r="14356" spans="1:1" s="427" customFormat="1" ht="12" hidden="1" customHeight="1">
      <c r="A14356" s="426"/>
    </row>
    <row r="14357" spans="1:1" s="427" customFormat="1" ht="12" hidden="1" customHeight="1">
      <c r="A14357" s="426"/>
    </row>
    <row r="14358" spans="1:1" s="427" customFormat="1" ht="12" hidden="1" customHeight="1">
      <c r="A14358" s="426"/>
    </row>
    <row r="14359" spans="1:1" s="427" customFormat="1" ht="12" hidden="1" customHeight="1">
      <c r="A14359" s="426"/>
    </row>
    <row r="14360" spans="1:1" s="427" customFormat="1" ht="12" hidden="1" customHeight="1">
      <c r="A14360" s="426"/>
    </row>
    <row r="14361" spans="1:1" s="427" customFormat="1" ht="12" hidden="1" customHeight="1">
      <c r="A14361" s="426"/>
    </row>
    <row r="14362" spans="1:1" s="427" customFormat="1" ht="12" hidden="1" customHeight="1">
      <c r="A14362" s="426"/>
    </row>
    <row r="14363" spans="1:1" s="427" customFormat="1" ht="12" hidden="1" customHeight="1">
      <c r="A14363" s="426"/>
    </row>
    <row r="14364" spans="1:1" s="427" customFormat="1" ht="12" hidden="1" customHeight="1">
      <c r="A14364" s="426"/>
    </row>
    <row r="14365" spans="1:1" s="427" customFormat="1" ht="12" hidden="1" customHeight="1">
      <c r="A14365" s="426"/>
    </row>
    <row r="14366" spans="1:1" s="427" customFormat="1" ht="12" hidden="1" customHeight="1">
      <c r="A14366" s="426"/>
    </row>
    <row r="14367" spans="1:1" s="427" customFormat="1" ht="12" hidden="1" customHeight="1">
      <c r="A14367" s="426"/>
    </row>
    <row r="14368" spans="1:1" s="427" customFormat="1" ht="12" hidden="1" customHeight="1">
      <c r="A14368" s="426"/>
    </row>
    <row r="14369" spans="1:1" s="427" customFormat="1" ht="12" hidden="1" customHeight="1">
      <c r="A14369" s="426"/>
    </row>
    <row r="14370" spans="1:1" s="427" customFormat="1" ht="12" hidden="1" customHeight="1">
      <c r="A14370" s="426"/>
    </row>
    <row r="14371" spans="1:1" s="427" customFormat="1" ht="12" hidden="1" customHeight="1">
      <c r="A14371" s="426"/>
    </row>
    <row r="14372" spans="1:1" s="427" customFormat="1" ht="12" hidden="1" customHeight="1">
      <c r="A14372" s="426"/>
    </row>
    <row r="14373" spans="1:1" s="427" customFormat="1" ht="12" hidden="1" customHeight="1">
      <c r="A14373" s="426"/>
    </row>
    <row r="14374" spans="1:1" s="427" customFormat="1" ht="12" hidden="1" customHeight="1">
      <c r="A14374" s="426"/>
    </row>
    <row r="14375" spans="1:1" s="427" customFormat="1" ht="12" hidden="1" customHeight="1">
      <c r="A14375" s="426"/>
    </row>
    <row r="14376" spans="1:1" s="427" customFormat="1" ht="12" hidden="1" customHeight="1">
      <c r="A14376" s="426"/>
    </row>
    <row r="14377" spans="1:1" s="427" customFormat="1" ht="12" hidden="1" customHeight="1">
      <c r="A14377" s="426"/>
    </row>
    <row r="14378" spans="1:1" s="427" customFormat="1" ht="12" hidden="1" customHeight="1">
      <c r="A14378" s="426"/>
    </row>
    <row r="14379" spans="1:1" s="427" customFormat="1" ht="12" hidden="1" customHeight="1">
      <c r="A14379" s="426"/>
    </row>
    <row r="14380" spans="1:1" s="427" customFormat="1" ht="12" hidden="1" customHeight="1">
      <c r="A14380" s="426"/>
    </row>
    <row r="14381" spans="1:1" s="427" customFormat="1" ht="12" hidden="1" customHeight="1">
      <c r="A14381" s="426"/>
    </row>
    <row r="14382" spans="1:1" s="427" customFormat="1" ht="12" hidden="1" customHeight="1">
      <c r="A14382" s="426"/>
    </row>
    <row r="14383" spans="1:1" s="427" customFormat="1" ht="12" hidden="1" customHeight="1">
      <c r="A14383" s="426"/>
    </row>
    <row r="14384" spans="1:1" s="427" customFormat="1" ht="12" hidden="1" customHeight="1">
      <c r="A14384" s="426"/>
    </row>
    <row r="14385" spans="1:1" s="427" customFormat="1" ht="12" hidden="1" customHeight="1">
      <c r="A14385" s="426"/>
    </row>
    <row r="14386" spans="1:1" s="427" customFormat="1" ht="12" hidden="1" customHeight="1">
      <c r="A14386" s="426"/>
    </row>
    <row r="14387" spans="1:1" s="427" customFormat="1" ht="12" hidden="1" customHeight="1">
      <c r="A14387" s="426"/>
    </row>
    <row r="14388" spans="1:1" s="427" customFormat="1" ht="12" hidden="1" customHeight="1">
      <c r="A14388" s="426"/>
    </row>
    <row r="14389" spans="1:1" s="427" customFormat="1" ht="12" hidden="1" customHeight="1">
      <c r="A14389" s="426"/>
    </row>
    <row r="14390" spans="1:1" s="427" customFormat="1" ht="12" hidden="1" customHeight="1">
      <c r="A14390" s="426"/>
    </row>
    <row r="14391" spans="1:1" s="427" customFormat="1" ht="12" hidden="1" customHeight="1">
      <c r="A14391" s="426"/>
    </row>
    <row r="14392" spans="1:1" s="427" customFormat="1" ht="12" hidden="1" customHeight="1">
      <c r="A14392" s="426"/>
    </row>
    <row r="14393" spans="1:1" s="427" customFormat="1" ht="12" hidden="1" customHeight="1">
      <c r="A14393" s="426"/>
    </row>
    <row r="14394" spans="1:1" s="427" customFormat="1" ht="12" hidden="1" customHeight="1">
      <c r="A14394" s="426"/>
    </row>
    <row r="14395" spans="1:1" s="427" customFormat="1" ht="12" hidden="1" customHeight="1">
      <c r="A14395" s="426"/>
    </row>
    <row r="14396" spans="1:1" s="427" customFormat="1" ht="12" hidden="1" customHeight="1">
      <c r="A14396" s="426"/>
    </row>
    <row r="14397" spans="1:1" s="427" customFormat="1" ht="12" hidden="1" customHeight="1">
      <c r="A14397" s="426"/>
    </row>
    <row r="14398" spans="1:1" s="427" customFormat="1" ht="12" hidden="1" customHeight="1">
      <c r="A14398" s="426"/>
    </row>
    <row r="14399" spans="1:1" s="427" customFormat="1" ht="12" hidden="1" customHeight="1">
      <c r="A14399" s="426"/>
    </row>
    <row r="14400" spans="1:1" s="427" customFormat="1" ht="12" hidden="1" customHeight="1">
      <c r="A14400" s="426"/>
    </row>
    <row r="14401" spans="1:1" s="427" customFormat="1" ht="12" hidden="1" customHeight="1">
      <c r="A14401" s="426"/>
    </row>
    <row r="14402" spans="1:1" s="427" customFormat="1" ht="12" hidden="1" customHeight="1">
      <c r="A14402" s="426"/>
    </row>
    <row r="14403" spans="1:1" s="427" customFormat="1" ht="12" hidden="1" customHeight="1">
      <c r="A14403" s="426"/>
    </row>
    <row r="14404" spans="1:1" s="427" customFormat="1" ht="12" hidden="1" customHeight="1">
      <c r="A14404" s="426"/>
    </row>
    <row r="14405" spans="1:1" s="427" customFormat="1" ht="12" hidden="1" customHeight="1">
      <c r="A14405" s="426"/>
    </row>
    <row r="14406" spans="1:1" s="427" customFormat="1" ht="12" hidden="1" customHeight="1">
      <c r="A14406" s="426"/>
    </row>
    <row r="14407" spans="1:1" s="427" customFormat="1" ht="12" hidden="1" customHeight="1">
      <c r="A14407" s="426"/>
    </row>
    <row r="14408" spans="1:1" s="427" customFormat="1" ht="12" hidden="1" customHeight="1">
      <c r="A14408" s="426"/>
    </row>
    <row r="14409" spans="1:1" s="427" customFormat="1" ht="12" hidden="1" customHeight="1">
      <c r="A14409" s="426"/>
    </row>
    <row r="14410" spans="1:1" s="427" customFormat="1" ht="12" hidden="1" customHeight="1">
      <c r="A14410" s="426"/>
    </row>
    <row r="14411" spans="1:1" s="427" customFormat="1" ht="12" hidden="1" customHeight="1">
      <c r="A14411" s="426"/>
    </row>
    <row r="14412" spans="1:1" s="427" customFormat="1" ht="12" hidden="1" customHeight="1">
      <c r="A14412" s="426"/>
    </row>
    <row r="14413" spans="1:1" s="427" customFormat="1" ht="12" hidden="1" customHeight="1">
      <c r="A14413" s="426"/>
    </row>
    <row r="14414" spans="1:1" s="427" customFormat="1" ht="12" hidden="1" customHeight="1">
      <c r="A14414" s="426"/>
    </row>
    <row r="14415" spans="1:1" s="427" customFormat="1" ht="12" hidden="1" customHeight="1">
      <c r="A14415" s="426"/>
    </row>
    <row r="14416" spans="1:1" s="427" customFormat="1" ht="12" hidden="1" customHeight="1">
      <c r="A14416" s="426"/>
    </row>
    <row r="14417" spans="1:1" s="427" customFormat="1" ht="12" hidden="1" customHeight="1">
      <c r="A14417" s="426"/>
    </row>
    <row r="14418" spans="1:1" s="427" customFormat="1" ht="12" hidden="1" customHeight="1">
      <c r="A14418" s="426"/>
    </row>
    <row r="14419" spans="1:1" s="427" customFormat="1" ht="12" hidden="1" customHeight="1">
      <c r="A14419" s="426"/>
    </row>
    <row r="14420" spans="1:1" s="427" customFormat="1" ht="12" hidden="1" customHeight="1">
      <c r="A14420" s="426"/>
    </row>
    <row r="14421" spans="1:1" s="427" customFormat="1" ht="12" hidden="1" customHeight="1">
      <c r="A14421" s="426"/>
    </row>
    <row r="14422" spans="1:1" s="427" customFormat="1" ht="12" hidden="1" customHeight="1">
      <c r="A14422" s="426"/>
    </row>
    <row r="14423" spans="1:1" s="427" customFormat="1" ht="12" hidden="1" customHeight="1">
      <c r="A14423" s="426"/>
    </row>
    <row r="14424" spans="1:1" s="427" customFormat="1" ht="12" hidden="1" customHeight="1">
      <c r="A14424" s="426"/>
    </row>
    <row r="14425" spans="1:1" s="427" customFormat="1" ht="12" hidden="1" customHeight="1">
      <c r="A14425" s="426"/>
    </row>
    <row r="14426" spans="1:1" s="427" customFormat="1" ht="12" hidden="1" customHeight="1">
      <c r="A14426" s="426"/>
    </row>
    <row r="14427" spans="1:1" s="427" customFormat="1" ht="12" hidden="1" customHeight="1">
      <c r="A14427" s="426"/>
    </row>
    <row r="14428" spans="1:1" s="427" customFormat="1" ht="12" hidden="1" customHeight="1">
      <c r="A14428" s="426"/>
    </row>
    <row r="14429" spans="1:1" s="427" customFormat="1" ht="12" hidden="1" customHeight="1">
      <c r="A14429" s="426"/>
    </row>
    <row r="14430" spans="1:1" s="427" customFormat="1" ht="12" hidden="1" customHeight="1">
      <c r="A14430" s="426"/>
    </row>
    <row r="14431" spans="1:1" s="427" customFormat="1" ht="12" hidden="1" customHeight="1">
      <c r="A14431" s="426"/>
    </row>
    <row r="14432" spans="1:1" s="427" customFormat="1" ht="12" hidden="1" customHeight="1">
      <c r="A14432" s="426"/>
    </row>
    <row r="14433" spans="1:1" s="427" customFormat="1" ht="12" hidden="1" customHeight="1">
      <c r="A14433" s="426"/>
    </row>
    <row r="14434" spans="1:1" s="427" customFormat="1" ht="12" hidden="1" customHeight="1">
      <c r="A14434" s="426"/>
    </row>
    <row r="14435" spans="1:1" s="427" customFormat="1" ht="12" hidden="1" customHeight="1">
      <c r="A14435" s="426"/>
    </row>
    <row r="14436" spans="1:1" s="427" customFormat="1" ht="12" hidden="1" customHeight="1">
      <c r="A14436" s="426"/>
    </row>
    <row r="14437" spans="1:1" s="427" customFormat="1" ht="12" hidden="1" customHeight="1">
      <c r="A14437" s="426"/>
    </row>
    <row r="14438" spans="1:1" s="427" customFormat="1" ht="12" hidden="1" customHeight="1">
      <c r="A14438" s="426"/>
    </row>
    <row r="14439" spans="1:1" s="427" customFormat="1" ht="12" hidden="1" customHeight="1">
      <c r="A14439" s="426"/>
    </row>
    <row r="14440" spans="1:1" s="427" customFormat="1" ht="12" hidden="1" customHeight="1">
      <c r="A14440" s="426"/>
    </row>
    <row r="14441" spans="1:1" s="427" customFormat="1" ht="12" hidden="1" customHeight="1">
      <c r="A14441" s="426"/>
    </row>
    <row r="14442" spans="1:1" s="427" customFormat="1" ht="12" hidden="1" customHeight="1">
      <c r="A14442" s="426"/>
    </row>
    <row r="14443" spans="1:1" s="427" customFormat="1" ht="12" hidden="1" customHeight="1">
      <c r="A14443" s="426"/>
    </row>
    <row r="14444" spans="1:1" s="427" customFormat="1" ht="12" hidden="1" customHeight="1">
      <c r="A14444" s="426"/>
    </row>
    <row r="14445" spans="1:1" s="427" customFormat="1" ht="12" hidden="1" customHeight="1">
      <c r="A14445" s="426"/>
    </row>
    <row r="14446" spans="1:1" s="427" customFormat="1" ht="12" hidden="1" customHeight="1">
      <c r="A14446" s="426"/>
    </row>
    <row r="14447" spans="1:1" s="427" customFormat="1" ht="12" hidden="1" customHeight="1">
      <c r="A14447" s="426"/>
    </row>
    <row r="14448" spans="1:1" s="427" customFormat="1" ht="12" hidden="1" customHeight="1">
      <c r="A14448" s="426"/>
    </row>
    <row r="14449" spans="1:1" s="427" customFormat="1" ht="12" hidden="1" customHeight="1">
      <c r="A14449" s="426"/>
    </row>
    <row r="14450" spans="1:1" s="427" customFormat="1" ht="12" hidden="1" customHeight="1">
      <c r="A14450" s="426"/>
    </row>
    <row r="14451" spans="1:1" s="427" customFormat="1" ht="12" hidden="1" customHeight="1">
      <c r="A14451" s="426"/>
    </row>
    <row r="14452" spans="1:1" s="427" customFormat="1" ht="12" hidden="1" customHeight="1">
      <c r="A14452" s="426"/>
    </row>
    <row r="14453" spans="1:1" s="427" customFormat="1" ht="12" hidden="1" customHeight="1">
      <c r="A14453" s="426"/>
    </row>
    <row r="14454" spans="1:1" s="427" customFormat="1" ht="12" hidden="1" customHeight="1">
      <c r="A14454" s="426"/>
    </row>
    <row r="14455" spans="1:1" s="427" customFormat="1" ht="12" hidden="1" customHeight="1">
      <c r="A14455" s="426"/>
    </row>
    <row r="14456" spans="1:1" s="427" customFormat="1" ht="12" hidden="1" customHeight="1">
      <c r="A14456" s="426"/>
    </row>
    <row r="14457" spans="1:1" s="427" customFormat="1" ht="12" hidden="1" customHeight="1">
      <c r="A14457" s="426"/>
    </row>
    <row r="14458" spans="1:1" s="427" customFormat="1" ht="12" hidden="1" customHeight="1">
      <c r="A14458" s="426"/>
    </row>
    <row r="14459" spans="1:1" s="427" customFormat="1" ht="12" hidden="1" customHeight="1">
      <c r="A14459" s="426"/>
    </row>
    <row r="14460" spans="1:1" s="427" customFormat="1" ht="12" hidden="1" customHeight="1">
      <c r="A14460" s="426"/>
    </row>
    <row r="14461" spans="1:1" s="427" customFormat="1" ht="12" hidden="1" customHeight="1">
      <c r="A14461" s="426"/>
    </row>
    <row r="14462" spans="1:1" s="427" customFormat="1" ht="12" hidden="1" customHeight="1">
      <c r="A14462" s="426"/>
    </row>
    <row r="14463" spans="1:1" s="427" customFormat="1" ht="12" hidden="1" customHeight="1">
      <c r="A14463" s="426"/>
    </row>
    <row r="14464" spans="1:1" s="427" customFormat="1" ht="12" hidden="1" customHeight="1">
      <c r="A14464" s="426"/>
    </row>
    <row r="14465" spans="1:1" s="427" customFormat="1" ht="12" hidden="1" customHeight="1">
      <c r="A14465" s="426"/>
    </row>
    <row r="14466" spans="1:1" s="427" customFormat="1" ht="12" hidden="1" customHeight="1">
      <c r="A14466" s="426"/>
    </row>
    <row r="14467" spans="1:1" s="427" customFormat="1" ht="12" hidden="1" customHeight="1">
      <c r="A14467" s="426"/>
    </row>
    <row r="14468" spans="1:1" s="427" customFormat="1" ht="12" hidden="1" customHeight="1">
      <c r="A14468" s="426"/>
    </row>
    <row r="14469" spans="1:1" s="427" customFormat="1" ht="12" hidden="1" customHeight="1">
      <c r="A14469" s="426"/>
    </row>
    <row r="14470" spans="1:1" s="427" customFormat="1" ht="12" hidden="1" customHeight="1">
      <c r="A14470" s="426"/>
    </row>
    <row r="14471" spans="1:1" s="427" customFormat="1" ht="12" hidden="1" customHeight="1">
      <c r="A14471" s="426"/>
    </row>
    <row r="14472" spans="1:1" s="427" customFormat="1" ht="12" hidden="1" customHeight="1">
      <c r="A14472" s="426"/>
    </row>
    <row r="14473" spans="1:1" s="427" customFormat="1" ht="12" hidden="1" customHeight="1">
      <c r="A14473" s="426"/>
    </row>
    <row r="14474" spans="1:1" s="427" customFormat="1" ht="12" hidden="1" customHeight="1">
      <c r="A14474" s="426"/>
    </row>
    <row r="14475" spans="1:1" s="427" customFormat="1" ht="12" hidden="1" customHeight="1">
      <c r="A14475" s="426"/>
    </row>
    <row r="14476" spans="1:1" s="427" customFormat="1" ht="12" hidden="1" customHeight="1">
      <c r="A14476" s="426"/>
    </row>
    <row r="14477" spans="1:1" s="427" customFormat="1" ht="12" hidden="1" customHeight="1">
      <c r="A14477" s="426"/>
    </row>
    <row r="14478" spans="1:1" s="427" customFormat="1" ht="12" hidden="1" customHeight="1">
      <c r="A14478" s="426"/>
    </row>
    <row r="14479" spans="1:1" s="427" customFormat="1" ht="12" hidden="1" customHeight="1">
      <c r="A14479" s="426"/>
    </row>
    <row r="14480" spans="1:1" s="427" customFormat="1" ht="12" hidden="1" customHeight="1">
      <c r="A14480" s="426"/>
    </row>
    <row r="14481" spans="1:1" s="427" customFormat="1" ht="12" hidden="1" customHeight="1">
      <c r="A14481" s="426"/>
    </row>
    <row r="14482" spans="1:1" s="427" customFormat="1" ht="12" hidden="1" customHeight="1">
      <c r="A14482" s="426"/>
    </row>
    <row r="14483" spans="1:1" s="427" customFormat="1" ht="12" hidden="1" customHeight="1">
      <c r="A14483" s="426"/>
    </row>
    <row r="14484" spans="1:1" s="427" customFormat="1" ht="12" hidden="1" customHeight="1">
      <c r="A14484" s="426"/>
    </row>
    <row r="14485" spans="1:1" s="427" customFormat="1" ht="12" hidden="1" customHeight="1">
      <c r="A14485" s="426"/>
    </row>
    <row r="14486" spans="1:1" s="427" customFormat="1" ht="12" hidden="1" customHeight="1">
      <c r="A14486" s="426"/>
    </row>
    <row r="14487" spans="1:1" s="427" customFormat="1" ht="12" hidden="1" customHeight="1">
      <c r="A14487" s="426"/>
    </row>
    <row r="14488" spans="1:1" s="427" customFormat="1" ht="12" hidden="1" customHeight="1">
      <c r="A14488" s="426"/>
    </row>
    <row r="14489" spans="1:1" s="427" customFormat="1" ht="12" hidden="1" customHeight="1">
      <c r="A14489" s="426"/>
    </row>
    <row r="14490" spans="1:1" s="427" customFormat="1" ht="12" hidden="1" customHeight="1">
      <c r="A14490" s="426"/>
    </row>
    <row r="14491" spans="1:1" s="427" customFormat="1" ht="12" hidden="1" customHeight="1">
      <c r="A14491" s="426"/>
    </row>
    <row r="14492" spans="1:1" s="427" customFormat="1" ht="12" hidden="1" customHeight="1">
      <c r="A14492" s="426"/>
    </row>
    <row r="14493" spans="1:1" s="427" customFormat="1" ht="12" hidden="1" customHeight="1">
      <c r="A14493" s="426"/>
    </row>
    <row r="14494" spans="1:1" s="427" customFormat="1" ht="12" hidden="1" customHeight="1">
      <c r="A14494" s="426"/>
    </row>
    <row r="14495" spans="1:1" s="427" customFormat="1" ht="12" hidden="1" customHeight="1">
      <c r="A14495" s="426"/>
    </row>
    <row r="14496" spans="1:1" s="427" customFormat="1" ht="12" hidden="1" customHeight="1">
      <c r="A14496" s="426"/>
    </row>
    <row r="14497" spans="1:1" s="427" customFormat="1" ht="12" hidden="1" customHeight="1">
      <c r="A14497" s="426"/>
    </row>
    <row r="14498" spans="1:1" s="427" customFormat="1" ht="12" hidden="1" customHeight="1">
      <c r="A14498" s="426"/>
    </row>
    <row r="14499" spans="1:1" s="427" customFormat="1" ht="12" hidden="1" customHeight="1">
      <c r="A14499" s="426"/>
    </row>
    <row r="14500" spans="1:1" s="427" customFormat="1" ht="12" hidden="1" customHeight="1">
      <c r="A14500" s="426"/>
    </row>
    <row r="14501" spans="1:1" s="427" customFormat="1" ht="12" hidden="1" customHeight="1">
      <c r="A14501" s="426"/>
    </row>
    <row r="14502" spans="1:1" s="427" customFormat="1" ht="12" hidden="1" customHeight="1">
      <c r="A14502" s="426"/>
    </row>
    <row r="14503" spans="1:1" s="427" customFormat="1" ht="12" hidden="1" customHeight="1">
      <c r="A14503" s="426"/>
    </row>
    <row r="14504" spans="1:1" s="427" customFormat="1" ht="12" hidden="1" customHeight="1">
      <c r="A14504" s="426"/>
    </row>
    <row r="14505" spans="1:1" s="427" customFormat="1" ht="12" hidden="1" customHeight="1">
      <c r="A14505" s="426"/>
    </row>
    <row r="14506" spans="1:1" s="427" customFormat="1" ht="12" hidden="1" customHeight="1">
      <c r="A14506" s="426"/>
    </row>
    <row r="14507" spans="1:1" s="427" customFormat="1" ht="12" hidden="1" customHeight="1">
      <c r="A14507" s="426"/>
    </row>
    <row r="14508" spans="1:1" s="427" customFormat="1" ht="12" hidden="1" customHeight="1">
      <c r="A14508" s="426"/>
    </row>
    <row r="14509" spans="1:1" s="427" customFormat="1" ht="12" hidden="1" customHeight="1">
      <c r="A14509" s="426"/>
    </row>
    <row r="14510" spans="1:1" s="427" customFormat="1" ht="12" hidden="1" customHeight="1">
      <c r="A14510" s="426"/>
    </row>
    <row r="14511" spans="1:1" s="427" customFormat="1" ht="12" hidden="1" customHeight="1">
      <c r="A14511" s="426"/>
    </row>
    <row r="14512" spans="1:1" s="427" customFormat="1" ht="12" hidden="1" customHeight="1">
      <c r="A14512" s="426"/>
    </row>
    <row r="14513" spans="1:1" s="427" customFormat="1" ht="12" hidden="1" customHeight="1">
      <c r="A14513" s="426"/>
    </row>
    <row r="14514" spans="1:1" s="427" customFormat="1" ht="12" hidden="1" customHeight="1">
      <c r="A14514" s="426"/>
    </row>
    <row r="14515" spans="1:1" s="427" customFormat="1" ht="12" hidden="1" customHeight="1">
      <c r="A14515" s="426"/>
    </row>
    <row r="14516" spans="1:1" s="427" customFormat="1" ht="12" hidden="1" customHeight="1">
      <c r="A14516" s="426"/>
    </row>
    <row r="14517" spans="1:1" s="427" customFormat="1" ht="12" hidden="1" customHeight="1">
      <c r="A14517" s="426"/>
    </row>
    <row r="14518" spans="1:1" s="427" customFormat="1" ht="12" hidden="1" customHeight="1">
      <c r="A14518" s="426"/>
    </row>
    <row r="14519" spans="1:1" s="427" customFormat="1" ht="12" hidden="1" customHeight="1">
      <c r="A14519" s="426"/>
    </row>
    <row r="14520" spans="1:1" s="427" customFormat="1" ht="12" hidden="1" customHeight="1">
      <c r="A14520" s="426"/>
    </row>
    <row r="14521" spans="1:1" s="427" customFormat="1" ht="12" hidden="1" customHeight="1">
      <c r="A14521" s="426"/>
    </row>
    <row r="14522" spans="1:1" s="427" customFormat="1" ht="12" hidden="1" customHeight="1">
      <c r="A14522" s="426"/>
    </row>
    <row r="14523" spans="1:1" s="427" customFormat="1" ht="12" hidden="1" customHeight="1">
      <c r="A14523" s="426"/>
    </row>
    <row r="14524" spans="1:1" s="427" customFormat="1" ht="12" hidden="1" customHeight="1">
      <c r="A14524" s="426"/>
    </row>
    <row r="14525" spans="1:1" s="427" customFormat="1" ht="12" hidden="1" customHeight="1">
      <c r="A14525" s="426"/>
    </row>
    <row r="14526" spans="1:1" s="427" customFormat="1" ht="12" hidden="1" customHeight="1">
      <c r="A14526" s="426"/>
    </row>
    <row r="14527" spans="1:1" s="427" customFormat="1" ht="12" hidden="1" customHeight="1">
      <c r="A14527" s="426"/>
    </row>
    <row r="14528" spans="1:1" s="427" customFormat="1" ht="12" hidden="1" customHeight="1">
      <c r="A14528" s="426"/>
    </row>
    <row r="14529" spans="1:1" s="427" customFormat="1" ht="12" hidden="1" customHeight="1">
      <c r="A14529" s="426"/>
    </row>
    <row r="14530" spans="1:1" s="427" customFormat="1" ht="12" hidden="1" customHeight="1">
      <c r="A14530" s="426"/>
    </row>
    <row r="14531" spans="1:1" s="427" customFormat="1" ht="12" hidden="1" customHeight="1">
      <c r="A14531" s="426"/>
    </row>
    <row r="14532" spans="1:1" s="427" customFormat="1" ht="12" hidden="1" customHeight="1">
      <c r="A14532" s="426"/>
    </row>
    <row r="14533" spans="1:1" s="427" customFormat="1" ht="12" hidden="1" customHeight="1">
      <c r="A14533" s="426"/>
    </row>
    <row r="14534" spans="1:1" s="427" customFormat="1" ht="12" hidden="1" customHeight="1">
      <c r="A14534" s="426"/>
    </row>
    <row r="14535" spans="1:1" s="427" customFormat="1" ht="12" hidden="1" customHeight="1">
      <c r="A14535" s="426"/>
    </row>
    <row r="14536" spans="1:1" s="427" customFormat="1" ht="12" hidden="1" customHeight="1">
      <c r="A14536" s="426"/>
    </row>
    <row r="14537" spans="1:1" s="427" customFormat="1" ht="12" hidden="1" customHeight="1">
      <c r="A14537" s="426"/>
    </row>
    <row r="14538" spans="1:1" s="427" customFormat="1" ht="12" hidden="1" customHeight="1">
      <c r="A14538" s="426"/>
    </row>
    <row r="14539" spans="1:1" s="427" customFormat="1" ht="12" hidden="1" customHeight="1">
      <c r="A14539" s="426"/>
    </row>
    <row r="14540" spans="1:1" s="427" customFormat="1" ht="12" hidden="1" customHeight="1">
      <c r="A14540" s="426"/>
    </row>
    <row r="14541" spans="1:1" s="427" customFormat="1" ht="12" hidden="1" customHeight="1">
      <c r="A14541" s="426"/>
    </row>
    <row r="14542" spans="1:1" s="427" customFormat="1" ht="12" hidden="1" customHeight="1">
      <c r="A14542" s="426"/>
    </row>
    <row r="14543" spans="1:1" s="427" customFormat="1" ht="12" hidden="1" customHeight="1">
      <c r="A14543" s="426"/>
    </row>
    <row r="14544" spans="1:1" s="427" customFormat="1" ht="12" hidden="1" customHeight="1">
      <c r="A14544" s="426"/>
    </row>
    <row r="14545" spans="1:1" s="427" customFormat="1" ht="12" hidden="1" customHeight="1">
      <c r="A14545" s="426"/>
    </row>
    <row r="14546" spans="1:1" s="427" customFormat="1" ht="12" hidden="1" customHeight="1">
      <c r="A14546" s="426"/>
    </row>
    <row r="14547" spans="1:1" s="427" customFormat="1" ht="12" hidden="1" customHeight="1">
      <c r="A14547" s="426"/>
    </row>
    <row r="14548" spans="1:1" s="427" customFormat="1" ht="12" hidden="1" customHeight="1">
      <c r="A14548" s="426"/>
    </row>
    <row r="14549" spans="1:1" s="427" customFormat="1" ht="12" hidden="1" customHeight="1">
      <c r="A14549" s="426"/>
    </row>
    <row r="14550" spans="1:1" s="427" customFormat="1" ht="12" hidden="1" customHeight="1">
      <c r="A14550" s="426"/>
    </row>
    <row r="14551" spans="1:1" s="427" customFormat="1" ht="12" hidden="1" customHeight="1">
      <c r="A14551" s="426"/>
    </row>
    <row r="14552" spans="1:1" s="427" customFormat="1" ht="12" hidden="1" customHeight="1">
      <c r="A14552" s="426"/>
    </row>
    <row r="14553" spans="1:1" s="427" customFormat="1" ht="12" hidden="1" customHeight="1">
      <c r="A14553" s="426"/>
    </row>
    <row r="14554" spans="1:1" s="427" customFormat="1" ht="12" hidden="1" customHeight="1">
      <c r="A14554" s="426"/>
    </row>
    <row r="14555" spans="1:1" s="427" customFormat="1" ht="12" hidden="1" customHeight="1">
      <c r="A14555" s="426"/>
    </row>
    <row r="14556" spans="1:1" s="427" customFormat="1" ht="12" hidden="1" customHeight="1">
      <c r="A14556" s="426"/>
    </row>
    <row r="14557" spans="1:1" s="427" customFormat="1" ht="12" hidden="1" customHeight="1">
      <c r="A14557" s="426"/>
    </row>
    <row r="14558" spans="1:1" s="427" customFormat="1" ht="12" hidden="1" customHeight="1">
      <c r="A14558" s="426"/>
    </row>
    <row r="14559" spans="1:1" s="427" customFormat="1" ht="12" hidden="1" customHeight="1">
      <c r="A14559" s="426"/>
    </row>
    <row r="14560" spans="1:1" s="427" customFormat="1" ht="12" hidden="1" customHeight="1">
      <c r="A14560" s="426"/>
    </row>
    <row r="14561" spans="1:1" s="427" customFormat="1" ht="12" hidden="1" customHeight="1">
      <c r="A14561" s="426"/>
    </row>
    <row r="14562" spans="1:1" s="427" customFormat="1" ht="12" hidden="1" customHeight="1">
      <c r="A14562" s="426"/>
    </row>
    <row r="14563" spans="1:1" s="427" customFormat="1" ht="12" hidden="1" customHeight="1">
      <c r="A14563" s="426"/>
    </row>
    <row r="14564" spans="1:1" s="427" customFormat="1" ht="12" hidden="1" customHeight="1">
      <c r="A14564" s="426"/>
    </row>
    <row r="14565" spans="1:1" s="427" customFormat="1" ht="12" hidden="1" customHeight="1">
      <c r="A14565" s="426"/>
    </row>
    <row r="14566" spans="1:1" s="427" customFormat="1" ht="12" hidden="1" customHeight="1">
      <c r="A14566" s="426"/>
    </row>
    <row r="14567" spans="1:1" s="427" customFormat="1" ht="12" hidden="1" customHeight="1">
      <c r="A14567" s="426"/>
    </row>
    <row r="14568" spans="1:1" s="427" customFormat="1" ht="12" hidden="1" customHeight="1">
      <c r="A14568" s="426"/>
    </row>
    <row r="14569" spans="1:1" s="427" customFormat="1" ht="12" hidden="1" customHeight="1">
      <c r="A14569" s="426"/>
    </row>
    <row r="14570" spans="1:1" s="427" customFormat="1" ht="12" hidden="1" customHeight="1">
      <c r="A14570" s="426"/>
    </row>
    <row r="14571" spans="1:1" s="427" customFormat="1" ht="12" hidden="1" customHeight="1">
      <c r="A14571" s="426"/>
    </row>
    <row r="14572" spans="1:1" s="427" customFormat="1" ht="12" hidden="1" customHeight="1">
      <c r="A14572" s="426"/>
    </row>
    <row r="14573" spans="1:1" s="427" customFormat="1" ht="12" hidden="1" customHeight="1">
      <c r="A14573" s="426"/>
    </row>
    <row r="14574" spans="1:1" s="427" customFormat="1" ht="12" hidden="1" customHeight="1">
      <c r="A14574" s="426"/>
    </row>
    <row r="14575" spans="1:1" s="427" customFormat="1" ht="12" hidden="1" customHeight="1">
      <c r="A14575" s="426"/>
    </row>
    <row r="14576" spans="1:1" s="427" customFormat="1" ht="12" hidden="1" customHeight="1">
      <c r="A14576" s="426"/>
    </row>
    <row r="14577" spans="1:1" s="427" customFormat="1" ht="12" hidden="1" customHeight="1">
      <c r="A14577" s="426"/>
    </row>
    <row r="14578" spans="1:1" s="427" customFormat="1" ht="12" hidden="1" customHeight="1">
      <c r="A14578" s="426"/>
    </row>
    <row r="14579" spans="1:1" s="427" customFormat="1" ht="12" hidden="1" customHeight="1">
      <c r="A14579" s="426"/>
    </row>
    <row r="14580" spans="1:1" s="427" customFormat="1" ht="12" hidden="1" customHeight="1">
      <c r="A14580" s="426"/>
    </row>
    <row r="14581" spans="1:1" s="427" customFormat="1" ht="12" hidden="1" customHeight="1">
      <c r="A14581" s="426"/>
    </row>
    <row r="14582" spans="1:1" s="427" customFormat="1" ht="12" hidden="1" customHeight="1">
      <c r="A14582" s="426"/>
    </row>
    <row r="14583" spans="1:1" s="427" customFormat="1" ht="12" hidden="1" customHeight="1">
      <c r="A14583" s="426"/>
    </row>
    <row r="14584" spans="1:1" s="427" customFormat="1" ht="12" hidden="1" customHeight="1">
      <c r="A14584" s="426"/>
    </row>
    <row r="14585" spans="1:1" s="427" customFormat="1" ht="12" hidden="1" customHeight="1">
      <c r="A14585" s="426"/>
    </row>
    <row r="14586" spans="1:1" s="427" customFormat="1" ht="12" hidden="1" customHeight="1">
      <c r="A14586" s="426"/>
    </row>
    <row r="14587" spans="1:1" s="427" customFormat="1" ht="12" hidden="1" customHeight="1">
      <c r="A14587" s="426"/>
    </row>
    <row r="14588" spans="1:1" s="427" customFormat="1" ht="12" hidden="1" customHeight="1">
      <c r="A14588" s="426"/>
    </row>
    <row r="14589" spans="1:1" s="427" customFormat="1" ht="12" hidden="1" customHeight="1">
      <c r="A14589" s="426"/>
    </row>
    <row r="14590" spans="1:1" s="427" customFormat="1" ht="12" hidden="1" customHeight="1">
      <c r="A14590" s="426"/>
    </row>
    <row r="14591" spans="1:1" s="427" customFormat="1" ht="12" hidden="1" customHeight="1">
      <c r="A14591" s="426"/>
    </row>
    <row r="14592" spans="1:1" s="427" customFormat="1" ht="12" hidden="1" customHeight="1">
      <c r="A14592" s="426"/>
    </row>
    <row r="14593" spans="1:1" s="427" customFormat="1" ht="12" hidden="1" customHeight="1">
      <c r="A14593" s="426"/>
    </row>
    <row r="14594" spans="1:1" s="427" customFormat="1" ht="12" hidden="1" customHeight="1">
      <c r="A14594" s="426"/>
    </row>
    <row r="14595" spans="1:1" s="427" customFormat="1" ht="12" hidden="1" customHeight="1">
      <c r="A14595" s="426"/>
    </row>
    <row r="14596" spans="1:1" s="427" customFormat="1" ht="12" hidden="1" customHeight="1">
      <c r="A14596" s="426"/>
    </row>
    <row r="14597" spans="1:1" s="427" customFormat="1" ht="12" hidden="1" customHeight="1">
      <c r="A14597" s="426"/>
    </row>
    <row r="14598" spans="1:1" s="427" customFormat="1" ht="12" hidden="1" customHeight="1">
      <c r="A14598" s="426"/>
    </row>
    <row r="14599" spans="1:1" s="427" customFormat="1" ht="12" hidden="1" customHeight="1">
      <c r="A14599" s="426"/>
    </row>
    <row r="14600" spans="1:1" s="427" customFormat="1" ht="12" hidden="1" customHeight="1">
      <c r="A14600" s="426"/>
    </row>
    <row r="14601" spans="1:1" s="427" customFormat="1" ht="12" hidden="1" customHeight="1">
      <c r="A14601" s="426"/>
    </row>
    <row r="14602" spans="1:1" s="427" customFormat="1" ht="12" hidden="1" customHeight="1">
      <c r="A14602" s="426"/>
    </row>
    <row r="14603" spans="1:1" s="427" customFormat="1" ht="12" hidden="1" customHeight="1">
      <c r="A14603" s="426"/>
    </row>
    <row r="14604" spans="1:1" s="427" customFormat="1" ht="12" hidden="1" customHeight="1">
      <c r="A14604" s="426"/>
    </row>
    <row r="14605" spans="1:1" s="427" customFormat="1" ht="12" hidden="1" customHeight="1">
      <c r="A14605" s="426"/>
    </row>
    <row r="14606" spans="1:1" s="427" customFormat="1" ht="12" hidden="1" customHeight="1">
      <c r="A14606" s="426"/>
    </row>
    <row r="14607" spans="1:1" s="427" customFormat="1" ht="12" hidden="1" customHeight="1">
      <c r="A14607" s="426"/>
    </row>
    <row r="14608" spans="1:1" s="427" customFormat="1" ht="12" hidden="1" customHeight="1">
      <c r="A14608" s="426"/>
    </row>
    <row r="14609" spans="1:1" s="427" customFormat="1" ht="12" hidden="1" customHeight="1">
      <c r="A14609" s="426"/>
    </row>
    <row r="14610" spans="1:1" s="427" customFormat="1" ht="12" hidden="1" customHeight="1">
      <c r="A14610" s="426"/>
    </row>
    <row r="14611" spans="1:1" s="427" customFormat="1" ht="12" hidden="1" customHeight="1">
      <c r="A14611" s="426"/>
    </row>
    <row r="14612" spans="1:1" s="427" customFormat="1" ht="12" hidden="1" customHeight="1">
      <c r="A14612" s="426"/>
    </row>
    <row r="14613" spans="1:1" s="427" customFormat="1" ht="12" hidden="1" customHeight="1">
      <c r="A14613" s="426"/>
    </row>
    <row r="14614" spans="1:1" s="427" customFormat="1" ht="12" hidden="1" customHeight="1">
      <c r="A14614" s="426"/>
    </row>
    <row r="14615" spans="1:1" s="427" customFormat="1" ht="12" hidden="1" customHeight="1">
      <c r="A14615" s="426"/>
    </row>
    <row r="14616" spans="1:1" s="427" customFormat="1" ht="12" hidden="1" customHeight="1">
      <c r="A14616" s="426"/>
    </row>
    <row r="14617" spans="1:1" s="427" customFormat="1" ht="12" hidden="1" customHeight="1">
      <c r="A14617" s="426"/>
    </row>
    <row r="14618" spans="1:1" s="427" customFormat="1" ht="12" hidden="1" customHeight="1">
      <c r="A14618" s="426"/>
    </row>
    <row r="14619" spans="1:1" s="427" customFormat="1" ht="12" hidden="1" customHeight="1">
      <c r="A14619" s="426"/>
    </row>
    <row r="14620" spans="1:1" s="427" customFormat="1" ht="12" hidden="1" customHeight="1">
      <c r="A14620" s="426"/>
    </row>
    <row r="14621" spans="1:1" s="427" customFormat="1" ht="12" hidden="1" customHeight="1">
      <c r="A14621" s="426"/>
    </row>
    <row r="14622" spans="1:1" s="427" customFormat="1" ht="12" hidden="1" customHeight="1">
      <c r="A14622" s="426"/>
    </row>
    <row r="14623" spans="1:1" s="427" customFormat="1" ht="12" hidden="1" customHeight="1">
      <c r="A14623" s="426"/>
    </row>
    <row r="14624" spans="1:1" s="427" customFormat="1" ht="12" hidden="1" customHeight="1">
      <c r="A14624" s="426"/>
    </row>
    <row r="14625" spans="1:1" s="427" customFormat="1" ht="12" hidden="1" customHeight="1">
      <c r="A14625" s="426"/>
    </row>
    <row r="14626" spans="1:1" s="427" customFormat="1" ht="12" hidden="1" customHeight="1">
      <c r="A14626" s="426"/>
    </row>
    <row r="14627" spans="1:1" s="427" customFormat="1" ht="12" hidden="1" customHeight="1">
      <c r="A14627" s="426"/>
    </row>
    <row r="14628" spans="1:1" s="427" customFormat="1" ht="12" hidden="1" customHeight="1">
      <c r="A14628" s="426"/>
    </row>
    <row r="14629" spans="1:1" s="427" customFormat="1" ht="12" hidden="1" customHeight="1">
      <c r="A14629" s="426"/>
    </row>
    <row r="14630" spans="1:1" s="427" customFormat="1" ht="12" hidden="1" customHeight="1">
      <c r="A14630" s="426"/>
    </row>
    <row r="14631" spans="1:1" s="427" customFormat="1" ht="12" hidden="1" customHeight="1">
      <c r="A14631" s="426"/>
    </row>
    <row r="14632" spans="1:1" s="427" customFormat="1" ht="12" hidden="1" customHeight="1">
      <c r="A14632" s="426"/>
    </row>
    <row r="14633" spans="1:1" s="427" customFormat="1" ht="12" hidden="1" customHeight="1">
      <c r="A14633" s="426"/>
    </row>
    <row r="14634" spans="1:1" s="427" customFormat="1" ht="12" hidden="1" customHeight="1">
      <c r="A14634" s="426"/>
    </row>
    <row r="14635" spans="1:1" s="427" customFormat="1" ht="12" hidden="1" customHeight="1">
      <c r="A14635" s="426"/>
    </row>
    <row r="14636" spans="1:1" s="427" customFormat="1" ht="12" hidden="1" customHeight="1">
      <c r="A14636" s="426"/>
    </row>
    <row r="14637" spans="1:1" s="427" customFormat="1" ht="12" hidden="1" customHeight="1">
      <c r="A14637" s="426"/>
    </row>
    <row r="14638" spans="1:1" s="427" customFormat="1" ht="12" hidden="1" customHeight="1">
      <c r="A14638" s="426"/>
    </row>
    <row r="14639" spans="1:1" s="427" customFormat="1" ht="12" hidden="1" customHeight="1">
      <c r="A14639" s="426"/>
    </row>
    <row r="14640" spans="1:1" s="427" customFormat="1" ht="12" hidden="1" customHeight="1">
      <c r="A14640" s="426"/>
    </row>
    <row r="14641" spans="1:1" s="427" customFormat="1" ht="12" hidden="1" customHeight="1">
      <c r="A14641" s="426"/>
    </row>
    <row r="14642" spans="1:1" s="427" customFormat="1" ht="12" hidden="1" customHeight="1">
      <c r="A14642" s="426"/>
    </row>
    <row r="14643" spans="1:1" s="427" customFormat="1" ht="12" hidden="1" customHeight="1">
      <c r="A14643" s="426"/>
    </row>
    <row r="14644" spans="1:1" s="427" customFormat="1" ht="12" hidden="1" customHeight="1">
      <c r="A14644" s="426"/>
    </row>
    <row r="14645" spans="1:1" s="427" customFormat="1" ht="12" hidden="1" customHeight="1">
      <c r="A14645" s="426"/>
    </row>
    <row r="14646" spans="1:1" s="427" customFormat="1" ht="12" hidden="1" customHeight="1">
      <c r="A14646" s="426"/>
    </row>
    <row r="14647" spans="1:1" s="427" customFormat="1" ht="12" hidden="1" customHeight="1">
      <c r="A14647" s="426"/>
    </row>
    <row r="14648" spans="1:1" s="427" customFormat="1" ht="12" hidden="1" customHeight="1">
      <c r="A14648" s="426"/>
    </row>
    <row r="14649" spans="1:1" s="427" customFormat="1" ht="12" hidden="1" customHeight="1">
      <c r="A14649" s="426"/>
    </row>
    <row r="14650" spans="1:1" s="427" customFormat="1" ht="12" hidden="1" customHeight="1">
      <c r="A14650" s="426"/>
    </row>
    <row r="14651" spans="1:1" s="427" customFormat="1" ht="12" hidden="1" customHeight="1">
      <c r="A14651" s="426"/>
    </row>
    <row r="14652" spans="1:1" s="427" customFormat="1" ht="12" hidden="1" customHeight="1">
      <c r="A14652" s="426"/>
    </row>
    <row r="14653" spans="1:1" s="427" customFormat="1" ht="12" hidden="1" customHeight="1">
      <c r="A14653" s="426"/>
    </row>
    <row r="14654" spans="1:1" s="427" customFormat="1" ht="12" hidden="1" customHeight="1">
      <c r="A14654" s="426"/>
    </row>
    <row r="14655" spans="1:1" s="427" customFormat="1" ht="12" hidden="1" customHeight="1">
      <c r="A14655" s="426"/>
    </row>
    <row r="14656" spans="1:1" s="427" customFormat="1" ht="12" hidden="1" customHeight="1">
      <c r="A14656" s="426"/>
    </row>
    <row r="14657" spans="1:1" s="427" customFormat="1" ht="12" hidden="1" customHeight="1">
      <c r="A14657" s="426"/>
    </row>
    <row r="14658" spans="1:1" s="427" customFormat="1" ht="12" hidden="1" customHeight="1">
      <c r="A14658" s="426"/>
    </row>
    <row r="14659" spans="1:1" s="427" customFormat="1" ht="12" hidden="1" customHeight="1">
      <c r="A14659" s="426"/>
    </row>
    <row r="14660" spans="1:1" s="427" customFormat="1" ht="12" hidden="1" customHeight="1">
      <c r="A14660" s="426"/>
    </row>
    <row r="14661" spans="1:1" s="427" customFormat="1" ht="12" hidden="1" customHeight="1">
      <c r="A14661" s="426"/>
    </row>
    <row r="14662" spans="1:1" s="427" customFormat="1" ht="12" hidden="1" customHeight="1">
      <c r="A14662" s="426"/>
    </row>
    <row r="14663" spans="1:1" s="427" customFormat="1" ht="12" hidden="1" customHeight="1">
      <c r="A14663" s="426"/>
    </row>
    <row r="14664" spans="1:1" s="427" customFormat="1" ht="12" hidden="1" customHeight="1">
      <c r="A14664" s="426"/>
    </row>
    <row r="14665" spans="1:1" s="427" customFormat="1" ht="12" hidden="1" customHeight="1">
      <c r="A14665" s="426"/>
    </row>
    <row r="14666" spans="1:1" s="427" customFormat="1" ht="12" hidden="1" customHeight="1">
      <c r="A14666" s="426"/>
    </row>
    <row r="14667" spans="1:1" s="427" customFormat="1" ht="12" hidden="1" customHeight="1">
      <c r="A14667" s="426"/>
    </row>
    <row r="14668" spans="1:1" s="427" customFormat="1" ht="12" hidden="1" customHeight="1">
      <c r="A14668" s="426"/>
    </row>
    <row r="14669" spans="1:1" s="427" customFormat="1" ht="12" hidden="1" customHeight="1">
      <c r="A14669" s="426"/>
    </row>
    <row r="14670" spans="1:1" s="427" customFormat="1" ht="12" hidden="1" customHeight="1">
      <c r="A14670" s="426"/>
    </row>
    <row r="14671" spans="1:1" s="427" customFormat="1" ht="12" hidden="1" customHeight="1">
      <c r="A14671" s="426"/>
    </row>
    <row r="14672" spans="1:1" s="427" customFormat="1" ht="12" hidden="1" customHeight="1">
      <c r="A14672" s="426"/>
    </row>
    <row r="14673" spans="1:1" s="427" customFormat="1" ht="12" hidden="1" customHeight="1">
      <c r="A14673" s="426"/>
    </row>
    <row r="14674" spans="1:1" s="427" customFormat="1" ht="12" hidden="1" customHeight="1">
      <c r="A14674" s="426"/>
    </row>
    <row r="14675" spans="1:1" s="427" customFormat="1" ht="12" hidden="1" customHeight="1">
      <c r="A14675" s="426"/>
    </row>
    <row r="14676" spans="1:1" s="427" customFormat="1" ht="12" hidden="1" customHeight="1">
      <c r="A14676" s="426"/>
    </row>
    <row r="14677" spans="1:1" s="427" customFormat="1" ht="12" hidden="1" customHeight="1">
      <c r="A14677" s="426"/>
    </row>
    <row r="14678" spans="1:1" s="427" customFormat="1" ht="12" hidden="1" customHeight="1">
      <c r="A14678" s="426"/>
    </row>
    <row r="14679" spans="1:1" s="427" customFormat="1" ht="12" hidden="1" customHeight="1">
      <c r="A14679" s="426"/>
    </row>
    <row r="14680" spans="1:1" s="427" customFormat="1" ht="12" hidden="1" customHeight="1">
      <c r="A14680" s="426"/>
    </row>
    <row r="14681" spans="1:1" s="427" customFormat="1" ht="12" hidden="1" customHeight="1">
      <c r="A14681" s="426"/>
    </row>
    <row r="14682" spans="1:1" s="427" customFormat="1" ht="12" hidden="1" customHeight="1">
      <c r="A14682" s="426"/>
    </row>
    <row r="14683" spans="1:1" s="427" customFormat="1" ht="12" hidden="1" customHeight="1">
      <c r="A14683" s="426"/>
    </row>
    <row r="14684" spans="1:1" s="427" customFormat="1" ht="12" hidden="1" customHeight="1">
      <c r="A14684" s="426"/>
    </row>
    <row r="14685" spans="1:1" s="427" customFormat="1" ht="12" hidden="1" customHeight="1">
      <c r="A14685" s="426"/>
    </row>
    <row r="14686" spans="1:1" s="427" customFormat="1" ht="12" hidden="1" customHeight="1">
      <c r="A14686" s="426"/>
    </row>
    <row r="14687" spans="1:1" s="427" customFormat="1" ht="12" hidden="1" customHeight="1">
      <c r="A14687" s="426"/>
    </row>
    <row r="14688" spans="1:1" s="427" customFormat="1" ht="12" hidden="1" customHeight="1">
      <c r="A14688" s="426"/>
    </row>
    <row r="14689" spans="1:1" s="427" customFormat="1" ht="12" hidden="1" customHeight="1">
      <c r="A14689" s="426"/>
    </row>
    <row r="14690" spans="1:1" s="427" customFormat="1" ht="12" hidden="1" customHeight="1">
      <c r="A14690" s="426"/>
    </row>
    <row r="14691" spans="1:1" s="427" customFormat="1" ht="12" hidden="1" customHeight="1">
      <c r="A14691" s="426"/>
    </row>
    <row r="14692" spans="1:1" s="427" customFormat="1" ht="12" hidden="1" customHeight="1">
      <c r="A14692" s="426"/>
    </row>
    <row r="14693" spans="1:1" s="427" customFormat="1" ht="12" hidden="1" customHeight="1">
      <c r="A14693" s="426"/>
    </row>
    <row r="14694" spans="1:1" s="427" customFormat="1" ht="12" hidden="1" customHeight="1">
      <c r="A14694" s="426"/>
    </row>
    <row r="14695" spans="1:1" s="427" customFormat="1" ht="12" hidden="1" customHeight="1">
      <c r="A14695" s="426"/>
    </row>
    <row r="14696" spans="1:1" s="427" customFormat="1" ht="12" hidden="1" customHeight="1">
      <c r="A14696" s="426"/>
    </row>
    <row r="14697" spans="1:1" s="427" customFormat="1" ht="12" hidden="1" customHeight="1">
      <c r="A14697" s="426"/>
    </row>
    <row r="14698" spans="1:1" s="427" customFormat="1" ht="12" hidden="1" customHeight="1">
      <c r="A14698" s="426"/>
    </row>
    <row r="14699" spans="1:1" s="427" customFormat="1" ht="12" hidden="1" customHeight="1">
      <c r="A14699" s="426"/>
    </row>
    <row r="14700" spans="1:1" s="427" customFormat="1" ht="12" hidden="1" customHeight="1">
      <c r="A14700" s="426"/>
    </row>
    <row r="14701" spans="1:1" s="427" customFormat="1" ht="12" hidden="1" customHeight="1">
      <c r="A14701" s="426"/>
    </row>
    <row r="14702" spans="1:1" s="427" customFormat="1" ht="12" hidden="1" customHeight="1">
      <c r="A14702" s="426"/>
    </row>
    <row r="14703" spans="1:1" s="427" customFormat="1" ht="12" hidden="1" customHeight="1">
      <c r="A14703" s="426"/>
    </row>
    <row r="14704" spans="1:1" s="427" customFormat="1" ht="12" hidden="1" customHeight="1">
      <c r="A14704" s="426"/>
    </row>
    <row r="14705" spans="1:1" s="427" customFormat="1" ht="12" hidden="1" customHeight="1">
      <c r="A14705" s="426"/>
    </row>
    <row r="14706" spans="1:1" s="427" customFormat="1" ht="12" hidden="1" customHeight="1">
      <c r="A14706" s="426"/>
    </row>
    <row r="14707" spans="1:1" s="427" customFormat="1" ht="12" hidden="1" customHeight="1">
      <c r="A14707" s="426"/>
    </row>
    <row r="14708" spans="1:1" s="427" customFormat="1" ht="12" hidden="1" customHeight="1">
      <c r="A14708" s="426"/>
    </row>
    <row r="14709" spans="1:1" s="427" customFormat="1" ht="12" hidden="1" customHeight="1">
      <c r="A14709" s="426"/>
    </row>
    <row r="14710" spans="1:1" s="427" customFormat="1" ht="12" hidden="1" customHeight="1">
      <c r="A14710" s="426"/>
    </row>
    <row r="14711" spans="1:1" s="427" customFormat="1" ht="12" hidden="1" customHeight="1">
      <c r="A14711" s="426"/>
    </row>
    <row r="14712" spans="1:1" s="427" customFormat="1" ht="12" hidden="1" customHeight="1">
      <c r="A14712" s="426"/>
    </row>
    <row r="14713" spans="1:1" s="427" customFormat="1" ht="12" hidden="1" customHeight="1">
      <c r="A14713" s="426"/>
    </row>
    <row r="14714" spans="1:1" s="427" customFormat="1" ht="12" hidden="1" customHeight="1">
      <c r="A14714" s="426"/>
    </row>
    <row r="14715" spans="1:1" s="427" customFormat="1" ht="12" hidden="1" customHeight="1">
      <c r="A14715" s="426"/>
    </row>
    <row r="14716" spans="1:1" s="427" customFormat="1" ht="12" hidden="1" customHeight="1">
      <c r="A14716" s="426"/>
    </row>
    <row r="14717" spans="1:1" s="427" customFormat="1" ht="12" hidden="1" customHeight="1">
      <c r="A14717" s="426"/>
    </row>
    <row r="14718" spans="1:1" s="427" customFormat="1" ht="12" hidden="1" customHeight="1">
      <c r="A14718" s="426"/>
    </row>
    <row r="14719" spans="1:1" s="427" customFormat="1" ht="12" hidden="1" customHeight="1">
      <c r="A14719" s="426"/>
    </row>
    <row r="14720" spans="1:1" s="427" customFormat="1" ht="12" hidden="1" customHeight="1">
      <c r="A14720" s="426"/>
    </row>
    <row r="14721" spans="1:1" s="427" customFormat="1" ht="12" hidden="1" customHeight="1">
      <c r="A14721" s="426"/>
    </row>
    <row r="14722" spans="1:1" s="427" customFormat="1" ht="12" hidden="1" customHeight="1">
      <c r="A14722" s="426"/>
    </row>
    <row r="14723" spans="1:1" s="427" customFormat="1" ht="12" hidden="1" customHeight="1">
      <c r="A14723" s="426"/>
    </row>
    <row r="14724" spans="1:1" s="427" customFormat="1" ht="12" hidden="1" customHeight="1">
      <c r="A14724" s="426"/>
    </row>
    <row r="14725" spans="1:1" s="427" customFormat="1" ht="12" hidden="1" customHeight="1">
      <c r="A14725" s="426"/>
    </row>
    <row r="14726" spans="1:1" s="427" customFormat="1" ht="12" hidden="1" customHeight="1">
      <c r="A14726" s="426"/>
    </row>
    <row r="14727" spans="1:1" s="427" customFormat="1" ht="12" hidden="1" customHeight="1">
      <c r="A14727" s="426"/>
    </row>
    <row r="14728" spans="1:1" s="427" customFormat="1" ht="12" hidden="1" customHeight="1">
      <c r="A14728" s="426"/>
    </row>
    <row r="14729" spans="1:1" s="427" customFormat="1" ht="12" hidden="1" customHeight="1">
      <c r="A14729" s="426"/>
    </row>
    <row r="14730" spans="1:1" s="427" customFormat="1" ht="12" hidden="1" customHeight="1">
      <c r="A14730" s="426"/>
    </row>
    <row r="14731" spans="1:1" s="427" customFormat="1" ht="12" hidden="1" customHeight="1">
      <c r="A14731" s="426"/>
    </row>
    <row r="14732" spans="1:1" s="427" customFormat="1" ht="12" hidden="1" customHeight="1">
      <c r="A14732" s="426"/>
    </row>
    <row r="14733" spans="1:1" s="427" customFormat="1" ht="12" hidden="1" customHeight="1">
      <c r="A14733" s="426"/>
    </row>
    <row r="14734" spans="1:1" s="427" customFormat="1" ht="12" hidden="1" customHeight="1">
      <c r="A14734" s="426"/>
    </row>
    <row r="14735" spans="1:1" s="427" customFormat="1" ht="12" hidden="1" customHeight="1">
      <c r="A14735" s="426"/>
    </row>
    <row r="14736" spans="1:1" s="427" customFormat="1" ht="12" hidden="1" customHeight="1">
      <c r="A14736" s="426"/>
    </row>
    <row r="14737" spans="1:1" s="427" customFormat="1" ht="12" hidden="1" customHeight="1">
      <c r="A14737" s="426"/>
    </row>
    <row r="14738" spans="1:1" s="427" customFormat="1" ht="12" hidden="1" customHeight="1">
      <c r="A14738" s="426"/>
    </row>
    <row r="14739" spans="1:1" s="427" customFormat="1" ht="12" hidden="1" customHeight="1">
      <c r="A14739" s="426"/>
    </row>
    <row r="14740" spans="1:1" s="427" customFormat="1" ht="12" hidden="1" customHeight="1">
      <c r="A14740" s="426"/>
    </row>
    <row r="14741" spans="1:1" s="427" customFormat="1" ht="12" hidden="1" customHeight="1">
      <c r="A14741" s="426"/>
    </row>
    <row r="14742" spans="1:1" s="427" customFormat="1" ht="12" hidden="1" customHeight="1">
      <c r="A14742" s="426"/>
    </row>
    <row r="14743" spans="1:1" s="427" customFormat="1" ht="12" hidden="1" customHeight="1">
      <c r="A14743" s="426"/>
    </row>
    <row r="14744" spans="1:1" s="427" customFormat="1" ht="12" hidden="1" customHeight="1">
      <c r="A14744" s="426"/>
    </row>
    <row r="14745" spans="1:1" s="427" customFormat="1" ht="12" hidden="1" customHeight="1">
      <c r="A14745" s="426"/>
    </row>
    <row r="14746" spans="1:1" s="427" customFormat="1" ht="12" hidden="1" customHeight="1">
      <c r="A14746" s="426"/>
    </row>
    <row r="14747" spans="1:1" s="427" customFormat="1" ht="12" hidden="1" customHeight="1">
      <c r="A14747" s="426"/>
    </row>
    <row r="14748" spans="1:1" s="427" customFormat="1" ht="12" hidden="1" customHeight="1">
      <c r="A14748" s="426"/>
    </row>
    <row r="14749" spans="1:1" s="427" customFormat="1" ht="12" hidden="1" customHeight="1">
      <c r="A14749" s="426"/>
    </row>
    <row r="14750" spans="1:1" s="427" customFormat="1" ht="12" hidden="1" customHeight="1">
      <c r="A14750" s="426"/>
    </row>
    <row r="14751" spans="1:1" s="427" customFormat="1" ht="12" hidden="1" customHeight="1">
      <c r="A14751" s="426"/>
    </row>
    <row r="14752" spans="1:1" s="427" customFormat="1" ht="12" hidden="1" customHeight="1">
      <c r="A14752" s="426"/>
    </row>
    <row r="14753" spans="1:1" s="427" customFormat="1" ht="12" hidden="1" customHeight="1">
      <c r="A14753" s="426"/>
    </row>
    <row r="14754" spans="1:1" s="427" customFormat="1" ht="12" hidden="1" customHeight="1">
      <c r="A14754" s="426"/>
    </row>
    <row r="14755" spans="1:1" s="427" customFormat="1" ht="12" hidden="1" customHeight="1">
      <c r="A14755" s="426"/>
    </row>
    <row r="14756" spans="1:1" s="427" customFormat="1" ht="12" hidden="1" customHeight="1">
      <c r="A14756" s="426"/>
    </row>
    <row r="14757" spans="1:1" s="427" customFormat="1" ht="12" hidden="1" customHeight="1">
      <c r="A14757" s="426"/>
    </row>
    <row r="14758" spans="1:1" s="427" customFormat="1" ht="12" hidden="1" customHeight="1">
      <c r="A14758" s="426"/>
    </row>
    <row r="14759" spans="1:1" s="427" customFormat="1" ht="12" hidden="1" customHeight="1">
      <c r="A14759" s="426"/>
    </row>
    <row r="14760" spans="1:1" s="427" customFormat="1" ht="12" hidden="1" customHeight="1">
      <c r="A14760" s="426"/>
    </row>
    <row r="14761" spans="1:1" s="427" customFormat="1" ht="12" hidden="1" customHeight="1">
      <c r="A14761" s="426"/>
    </row>
    <row r="14762" spans="1:1" s="427" customFormat="1" ht="12" hidden="1" customHeight="1">
      <c r="A14762" s="426"/>
    </row>
    <row r="14763" spans="1:1" s="427" customFormat="1" ht="12" hidden="1" customHeight="1">
      <c r="A14763" s="426"/>
    </row>
    <row r="14764" spans="1:1" s="427" customFormat="1" ht="12" hidden="1" customHeight="1">
      <c r="A14764" s="426"/>
    </row>
    <row r="14765" spans="1:1" s="427" customFormat="1" ht="12" hidden="1" customHeight="1">
      <c r="A14765" s="426"/>
    </row>
    <row r="14766" spans="1:1" s="427" customFormat="1" ht="12" hidden="1" customHeight="1">
      <c r="A14766" s="426"/>
    </row>
    <row r="14767" spans="1:1" s="427" customFormat="1" ht="12" hidden="1" customHeight="1">
      <c r="A14767" s="426"/>
    </row>
    <row r="14768" spans="1:1" s="427" customFormat="1" ht="12" hidden="1" customHeight="1">
      <c r="A14768" s="426"/>
    </row>
    <row r="14769" spans="1:1" s="427" customFormat="1" ht="12" hidden="1" customHeight="1">
      <c r="A14769" s="426"/>
    </row>
    <row r="14770" spans="1:1" s="427" customFormat="1" ht="12" hidden="1" customHeight="1">
      <c r="A14770" s="426"/>
    </row>
    <row r="14771" spans="1:1" s="427" customFormat="1" ht="12" hidden="1" customHeight="1">
      <c r="A14771" s="426"/>
    </row>
    <row r="14772" spans="1:1" s="427" customFormat="1" ht="12" hidden="1" customHeight="1">
      <c r="A14772" s="426"/>
    </row>
    <row r="14773" spans="1:1" s="427" customFormat="1" ht="12" hidden="1" customHeight="1">
      <c r="A14773" s="426"/>
    </row>
    <row r="14774" spans="1:1" s="427" customFormat="1" ht="12" hidden="1" customHeight="1">
      <c r="A14774" s="426"/>
    </row>
    <row r="14775" spans="1:1" s="427" customFormat="1" ht="12" hidden="1" customHeight="1">
      <c r="A14775" s="426"/>
    </row>
    <row r="14776" spans="1:1" s="427" customFormat="1" ht="12" hidden="1" customHeight="1">
      <c r="A14776" s="426"/>
    </row>
    <row r="14777" spans="1:1" s="427" customFormat="1" ht="12" hidden="1" customHeight="1">
      <c r="A14777" s="426"/>
    </row>
    <row r="14778" spans="1:1" s="427" customFormat="1" ht="12" hidden="1" customHeight="1">
      <c r="A14778" s="426"/>
    </row>
    <row r="14779" spans="1:1" s="427" customFormat="1" ht="12" hidden="1" customHeight="1">
      <c r="A14779" s="426"/>
    </row>
    <row r="14780" spans="1:1" s="427" customFormat="1" ht="12" hidden="1" customHeight="1">
      <c r="A14780" s="426"/>
    </row>
    <row r="14781" spans="1:1" s="427" customFormat="1" ht="12" hidden="1" customHeight="1">
      <c r="A14781" s="426"/>
    </row>
    <row r="14782" spans="1:1" s="427" customFormat="1" ht="12" hidden="1" customHeight="1">
      <c r="A14782" s="426"/>
    </row>
    <row r="14783" spans="1:1" s="427" customFormat="1" ht="12" hidden="1" customHeight="1">
      <c r="A14783" s="426"/>
    </row>
    <row r="14784" spans="1:1" s="427" customFormat="1" ht="12" hidden="1" customHeight="1">
      <c r="A14784" s="426"/>
    </row>
    <row r="14785" spans="1:1" s="427" customFormat="1" ht="12" hidden="1" customHeight="1">
      <c r="A14785" s="426"/>
    </row>
    <row r="14786" spans="1:1" s="427" customFormat="1" ht="12" hidden="1" customHeight="1">
      <c r="A14786" s="426"/>
    </row>
    <row r="14787" spans="1:1" s="427" customFormat="1" ht="12" hidden="1" customHeight="1">
      <c r="A14787" s="426"/>
    </row>
    <row r="14788" spans="1:1" s="427" customFormat="1" ht="12" hidden="1" customHeight="1">
      <c r="A14788" s="426"/>
    </row>
    <row r="14789" spans="1:1" s="427" customFormat="1" ht="12" hidden="1" customHeight="1">
      <c r="A14789" s="426"/>
    </row>
    <row r="14790" spans="1:1" s="427" customFormat="1" ht="12" hidden="1" customHeight="1">
      <c r="A14790" s="426"/>
    </row>
    <row r="14791" spans="1:1" s="427" customFormat="1" ht="12" hidden="1" customHeight="1">
      <c r="A14791" s="426"/>
    </row>
    <row r="14792" spans="1:1" s="427" customFormat="1" ht="12" hidden="1" customHeight="1">
      <c r="A14792" s="426"/>
    </row>
    <row r="14793" spans="1:1" s="427" customFormat="1" ht="12" hidden="1" customHeight="1">
      <c r="A14793" s="426"/>
    </row>
    <row r="14794" spans="1:1" s="427" customFormat="1" ht="12" hidden="1" customHeight="1">
      <c r="A14794" s="426"/>
    </row>
    <row r="14795" spans="1:1" s="427" customFormat="1" ht="12" hidden="1" customHeight="1">
      <c r="A14795" s="426"/>
    </row>
    <row r="14796" spans="1:1" s="427" customFormat="1" ht="12" hidden="1" customHeight="1">
      <c r="A14796" s="426"/>
    </row>
    <row r="14797" spans="1:1" s="427" customFormat="1" ht="12" hidden="1" customHeight="1">
      <c r="A14797" s="426"/>
    </row>
    <row r="14798" spans="1:1" s="427" customFormat="1" ht="12" hidden="1" customHeight="1">
      <c r="A14798" s="426"/>
    </row>
    <row r="14799" spans="1:1" s="427" customFormat="1" ht="12" hidden="1" customHeight="1">
      <c r="A14799" s="426"/>
    </row>
    <row r="14800" spans="1:1" s="427" customFormat="1" ht="12" hidden="1" customHeight="1">
      <c r="A14800" s="426"/>
    </row>
    <row r="14801" spans="1:1" s="427" customFormat="1" ht="12" hidden="1" customHeight="1">
      <c r="A14801" s="426"/>
    </row>
    <row r="14802" spans="1:1" s="427" customFormat="1" ht="12" hidden="1" customHeight="1">
      <c r="A14802" s="426"/>
    </row>
    <row r="14803" spans="1:1" s="427" customFormat="1" ht="12" hidden="1" customHeight="1">
      <c r="A14803" s="426"/>
    </row>
    <row r="14804" spans="1:1" s="427" customFormat="1" ht="12" hidden="1" customHeight="1">
      <c r="A14804" s="426"/>
    </row>
    <row r="14805" spans="1:1" s="427" customFormat="1" ht="12" hidden="1" customHeight="1">
      <c r="A14805" s="426"/>
    </row>
    <row r="14806" spans="1:1" s="427" customFormat="1" ht="12" hidden="1" customHeight="1">
      <c r="A14806" s="426"/>
    </row>
    <row r="14807" spans="1:1" s="427" customFormat="1" ht="12" hidden="1" customHeight="1">
      <c r="A14807" s="426"/>
    </row>
    <row r="14808" spans="1:1" s="427" customFormat="1" ht="12" hidden="1" customHeight="1">
      <c r="A14808" s="426"/>
    </row>
    <row r="14809" spans="1:1" s="427" customFormat="1" ht="12" hidden="1" customHeight="1">
      <c r="A14809" s="426"/>
    </row>
    <row r="14810" spans="1:1" s="427" customFormat="1" ht="12" hidden="1" customHeight="1">
      <c r="A14810" s="426"/>
    </row>
    <row r="14811" spans="1:1" s="427" customFormat="1" ht="12" hidden="1" customHeight="1">
      <c r="A14811" s="426"/>
    </row>
    <row r="14812" spans="1:1" s="427" customFormat="1" ht="12" hidden="1" customHeight="1">
      <c r="A14812" s="426"/>
    </row>
    <row r="14813" spans="1:1" s="427" customFormat="1" ht="12" hidden="1" customHeight="1">
      <c r="A14813" s="426"/>
    </row>
    <row r="14814" spans="1:1" s="427" customFormat="1" ht="12" hidden="1" customHeight="1">
      <c r="A14814" s="426"/>
    </row>
    <row r="14815" spans="1:1" s="427" customFormat="1" ht="12" hidden="1" customHeight="1">
      <c r="A14815" s="426"/>
    </row>
    <row r="14816" spans="1:1" s="427" customFormat="1" ht="12" hidden="1" customHeight="1">
      <c r="A14816" s="426"/>
    </row>
    <row r="14817" spans="1:1" s="427" customFormat="1" ht="12" hidden="1" customHeight="1">
      <c r="A14817" s="426"/>
    </row>
    <row r="14818" spans="1:1" s="427" customFormat="1" ht="12" hidden="1" customHeight="1">
      <c r="A14818" s="426"/>
    </row>
    <row r="14819" spans="1:1" s="427" customFormat="1" ht="12" hidden="1" customHeight="1">
      <c r="A14819" s="426"/>
    </row>
    <row r="14820" spans="1:1" s="427" customFormat="1" ht="12" hidden="1" customHeight="1">
      <c r="A14820" s="426"/>
    </row>
    <row r="14821" spans="1:1" s="427" customFormat="1" ht="12" hidden="1" customHeight="1">
      <c r="A14821" s="426"/>
    </row>
    <row r="14822" spans="1:1" s="427" customFormat="1" ht="12" hidden="1" customHeight="1">
      <c r="A14822" s="426"/>
    </row>
    <row r="14823" spans="1:1" s="427" customFormat="1" ht="12" hidden="1" customHeight="1">
      <c r="A14823" s="426"/>
    </row>
    <row r="14824" spans="1:1" s="427" customFormat="1" ht="12" hidden="1" customHeight="1">
      <c r="A14824" s="426"/>
    </row>
    <row r="14825" spans="1:1" s="427" customFormat="1" ht="12" hidden="1" customHeight="1">
      <c r="A14825" s="426"/>
    </row>
    <row r="14826" spans="1:1" s="427" customFormat="1" ht="12" hidden="1" customHeight="1">
      <c r="A14826" s="426"/>
    </row>
    <row r="14827" spans="1:1" s="427" customFormat="1" ht="12" hidden="1" customHeight="1">
      <c r="A14827" s="426"/>
    </row>
    <row r="14828" spans="1:1" s="427" customFormat="1" ht="12" hidden="1" customHeight="1">
      <c r="A14828" s="426"/>
    </row>
    <row r="14829" spans="1:1" s="427" customFormat="1" ht="12" hidden="1" customHeight="1">
      <c r="A14829" s="426"/>
    </row>
    <row r="14830" spans="1:1" s="427" customFormat="1" ht="12" hidden="1" customHeight="1">
      <c r="A14830" s="426"/>
    </row>
    <row r="14831" spans="1:1" s="427" customFormat="1" ht="12" hidden="1" customHeight="1">
      <c r="A14831" s="426"/>
    </row>
    <row r="14832" spans="1:1" s="427" customFormat="1" ht="12" hidden="1" customHeight="1">
      <c r="A14832" s="426"/>
    </row>
    <row r="14833" spans="1:1" s="427" customFormat="1" ht="12" hidden="1" customHeight="1">
      <c r="A14833" s="426"/>
    </row>
    <row r="14834" spans="1:1" s="427" customFormat="1" ht="12" hidden="1" customHeight="1">
      <c r="A14834" s="426"/>
    </row>
    <row r="14835" spans="1:1" s="427" customFormat="1" ht="12" hidden="1" customHeight="1">
      <c r="A14835" s="426"/>
    </row>
    <row r="14836" spans="1:1" s="427" customFormat="1" ht="12" hidden="1" customHeight="1">
      <c r="A14836" s="426"/>
    </row>
    <row r="14837" spans="1:1" s="427" customFormat="1" ht="12" hidden="1" customHeight="1">
      <c r="A14837" s="426"/>
    </row>
    <row r="14838" spans="1:1" s="427" customFormat="1" ht="12" hidden="1" customHeight="1">
      <c r="A14838" s="426"/>
    </row>
    <row r="14839" spans="1:1" s="427" customFormat="1" ht="12" hidden="1" customHeight="1">
      <c r="A14839" s="426"/>
    </row>
    <row r="14840" spans="1:1" s="427" customFormat="1" ht="12" hidden="1" customHeight="1">
      <c r="A14840" s="426"/>
    </row>
    <row r="14841" spans="1:1" s="427" customFormat="1" ht="12" hidden="1" customHeight="1">
      <c r="A14841" s="426"/>
    </row>
    <row r="14842" spans="1:1" s="427" customFormat="1" ht="12" hidden="1" customHeight="1">
      <c r="A14842" s="426"/>
    </row>
    <row r="14843" spans="1:1" s="427" customFormat="1" ht="12" hidden="1" customHeight="1">
      <c r="A14843" s="426"/>
    </row>
    <row r="14844" spans="1:1" s="427" customFormat="1" ht="12" hidden="1" customHeight="1">
      <c r="A14844" s="426"/>
    </row>
    <row r="14845" spans="1:1" s="427" customFormat="1" ht="12" hidden="1" customHeight="1">
      <c r="A14845" s="426"/>
    </row>
    <row r="14846" spans="1:1" s="427" customFormat="1" ht="12" hidden="1" customHeight="1">
      <c r="A14846" s="426"/>
    </row>
    <row r="14847" spans="1:1" s="427" customFormat="1" ht="12" hidden="1" customHeight="1">
      <c r="A14847" s="426"/>
    </row>
    <row r="14848" spans="1:1" s="427" customFormat="1" ht="12" hidden="1" customHeight="1">
      <c r="A14848" s="426"/>
    </row>
    <row r="14849" spans="1:1" s="427" customFormat="1" ht="12" hidden="1" customHeight="1">
      <c r="A14849" s="426"/>
    </row>
    <row r="14850" spans="1:1" s="427" customFormat="1" ht="12" hidden="1" customHeight="1">
      <c r="A14850" s="426"/>
    </row>
    <row r="14851" spans="1:1" s="427" customFormat="1" ht="12" hidden="1" customHeight="1">
      <c r="A14851" s="426"/>
    </row>
    <row r="14852" spans="1:1" s="427" customFormat="1" ht="12" hidden="1" customHeight="1">
      <c r="A14852" s="426"/>
    </row>
    <row r="14853" spans="1:1" s="427" customFormat="1" ht="12" hidden="1" customHeight="1">
      <c r="A14853" s="426"/>
    </row>
    <row r="14854" spans="1:1" s="427" customFormat="1" ht="12" hidden="1" customHeight="1">
      <c r="A14854" s="426"/>
    </row>
    <row r="14855" spans="1:1" s="427" customFormat="1" ht="12" hidden="1" customHeight="1">
      <c r="A14855" s="426"/>
    </row>
    <row r="14856" spans="1:1" s="427" customFormat="1" ht="12" hidden="1" customHeight="1">
      <c r="A14856" s="426"/>
    </row>
    <row r="14857" spans="1:1" s="427" customFormat="1" ht="12" hidden="1" customHeight="1">
      <c r="A14857" s="426"/>
    </row>
    <row r="14858" spans="1:1" s="427" customFormat="1" ht="12" hidden="1" customHeight="1">
      <c r="A14858" s="426"/>
    </row>
    <row r="14859" spans="1:1" s="427" customFormat="1" ht="12" hidden="1" customHeight="1">
      <c r="A14859" s="426"/>
    </row>
    <row r="14860" spans="1:1" s="427" customFormat="1" ht="12" hidden="1" customHeight="1">
      <c r="A14860" s="426"/>
    </row>
    <row r="14861" spans="1:1" s="427" customFormat="1" ht="12" hidden="1" customHeight="1">
      <c r="A14861" s="426"/>
    </row>
    <row r="14862" spans="1:1" s="427" customFormat="1" ht="12" hidden="1" customHeight="1">
      <c r="A14862" s="426"/>
    </row>
    <row r="14863" spans="1:1" s="427" customFormat="1" ht="12" hidden="1" customHeight="1">
      <c r="A14863" s="426"/>
    </row>
    <row r="14864" spans="1:1" s="427" customFormat="1" ht="12" hidden="1" customHeight="1">
      <c r="A14864" s="426"/>
    </row>
    <row r="14865" spans="1:1" s="427" customFormat="1" ht="12" hidden="1" customHeight="1">
      <c r="A14865" s="426"/>
    </row>
    <row r="14866" spans="1:1" s="427" customFormat="1" ht="12" hidden="1" customHeight="1">
      <c r="A14866" s="426"/>
    </row>
    <row r="14867" spans="1:1" s="427" customFormat="1" ht="12" hidden="1" customHeight="1">
      <c r="A14867" s="426"/>
    </row>
    <row r="14868" spans="1:1" s="427" customFormat="1" ht="12" hidden="1" customHeight="1">
      <c r="A14868" s="426"/>
    </row>
    <row r="14869" spans="1:1" s="427" customFormat="1" ht="12" hidden="1" customHeight="1">
      <c r="A14869" s="426"/>
    </row>
    <row r="14870" spans="1:1" s="427" customFormat="1" ht="12" hidden="1" customHeight="1">
      <c r="A14870" s="426"/>
    </row>
    <row r="14871" spans="1:1" s="427" customFormat="1" ht="12" hidden="1" customHeight="1">
      <c r="A14871" s="426"/>
    </row>
    <row r="14872" spans="1:1" s="427" customFormat="1" ht="12" hidden="1" customHeight="1">
      <c r="A14872" s="426"/>
    </row>
    <row r="14873" spans="1:1" s="427" customFormat="1" ht="12" hidden="1" customHeight="1">
      <c r="A14873" s="426"/>
    </row>
    <row r="14874" spans="1:1" s="427" customFormat="1" ht="12" hidden="1" customHeight="1">
      <c r="A14874" s="426"/>
    </row>
    <row r="14875" spans="1:1" s="427" customFormat="1" ht="12" hidden="1" customHeight="1">
      <c r="A14875" s="426"/>
    </row>
    <row r="14876" spans="1:1" s="427" customFormat="1" ht="12" hidden="1" customHeight="1">
      <c r="A14876" s="426"/>
    </row>
    <row r="14877" spans="1:1" s="427" customFormat="1" ht="12" hidden="1" customHeight="1">
      <c r="A14877" s="426"/>
    </row>
    <row r="14878" spans="1:1" s="427" customFormat="1" ht="12" hidden="1" customHeight="1">
      <c r="A14878" s="426"/>
    </row>
    <row r="14879" spans="1:1" s="427" customFormat="1" ht="12" hidden="1" customHeight="1">
      <c r="A14879" s="426"/>
    </row>
    <row r="14880" spans="1:1" s="427" customFormat="1" ht="12" hidden="1" customHeight="1">
      <c r="A14880" s="426"/>
    </row>
    <row r="14881" spans="1:1" s="427" customFormat="1" ht="12" hidden="1" customHeight="1">
      <c r="A14881" s="426"/>
    </row>
    <row r="14882" spans="1:1" s="427" customFormat="1" ht="12" hidden="1" customHeight="1">
      <c r="A14882" s="426"/>
    </row>
    <row r="14883" spans="1:1" s="427" customFormat="1" ht="12" hidden="1" customHeight="1">
      <c r="A14883" s="426"/>
    </row>
    <row r="14884" spans="1:1" s="427" customFormat="1" ht="12" hidden="1" customHeight="1">
      <c r="A14884" s="426"/>
    </row>
    <row r="14885" spans="1:1" s="427" customFormat="1" ht="12" hidden="1" customHeight="1">
      <c r="A14885" s="426"/>
    </row>
    <row r="14886" spans="1:1" s="427" customFormat="1" ht="12" hidden="1" customHeight="1">
      <c r="A14886" s="426"/>
    </row>
    <row r="14887" spans="1:1" s="427" customFormat="1" ht="12" hidden="1" customHeight="1">
      <c r="A14887" s="426"/>
    </row>
    <row r="14888" spans="1:1" s="427" customFormat="1" ht="12" hidden="1" customHeight="1">
      <c r="A14888" s="426"/>
    </row>
    <row r="14889" spans="1:1" s="427" customFormat="1" ht="12" hidden="1" customHeight="1">
      <c r="A14889" s="426"/>
    </row>
    <row r="14890" spans="1:1" s="427" customFormat="1" ht="12" hidden="1" customHeight="1">
      <c r="A14890" s="426"/>
    </row>
    <row r="14891" spans="1:1" s="427" customFormat="1" ht="12" hidden="1" customHeight="1">
      <c r="A14891" s="426"/>
    </row>
    <row r="14892" spans="1:1" s="427" customFormat="1" ht="12" hidden="1" customHeight="1">
      <c r="A14892" s="426"/>
    </row>
    <row r="14893" spans="1:1" s="427" customFormat="1" ht="12" hidden="1" customHeight="1">
      <c r="A14893" s="426"/>
    </row>
    <row r="14894" spans="1:1" s="427" customFormat="1" ht="12" hidden="1" customHeight="1">
      <c r="A14894" s="426"/>
    </row>
    <row r="14895" spans="1:1" s="427" customFormat="1" ht="12" hidden="1" customHeight="1">
      <c r="A14895" s="426"/>
    </row>
    <row r="14896" spans="1:1" s="427" customFormat="1" ht="12" hidden="1" customHeight="1">
      <c r="A14896" s="426"/>
    </row>
    <row r="14897" spans="1:1" s="427" customFormat="1" ht="12" hidden="1" customHeight="1">
      <c r="A14897" s="426"/>
    </row>
    <row r="14898" spans="1:1" s="427" customFormat="1" ht="12" hidden="1" customHeight="1">
      <c r="A14898" s="426"/>
    </row>
    <row r="14899" spans="1:1" s="427" customFormat="1" ht="12" hidden="1" customHeight="1">
      <c r="A14899" s="426"/>
    </row>
    <row r="14900" spans="1:1" s="427" customFormat="1" ht="12" hidden="1" customHeight="1">
      <c r="A14900" s="426"/>
    </row>
    <row r="14901" spans="1:1" s="427" customFormat="1" ht="12" hidden="1" customHeight="1">
      <c r="A14901" s="426"/>
    </row>
    <row r="14902" spans="1:1" s="427" customFormat="1" ht="12" hidden="1" customHeight="1">
      <c r="A14902" s="426"/>
    </row>
    <row r="14903" spans="1:1" s="427" customFormat="1" ht="12" hidden="1" customHeight="1">
      <c r="A14903" s="426"/>
    </row>
    <row r="14904" spans="1:1" s="427" customFormat="1" ht="12" hidden="1" customHeight="1">
      <c r="A14904" s="426"/>
    </row>
    <row r="14905" spans="1:1" s="427" customFormat="1" ht="12" hidden="1" customHeight="1">
      <c r="A14905" s="426"/>
    </row>
    <row r="14906" spans="1:1" s="427" customFormat="1" ht="12" hidden="1" customHeight="1">
      <c r="A14906" s="426"/>
    </row>
    <row r="14907" spans="1:1" s="427" customFormat="1" ht="12" hidden="1" customHeight="1">
      <c r="A14907" s="426"/>
    </row>
    <row r="14908" spans="1:1" s="427" customFormat="1" ht="12" hidden="1" customHeight="1">
      <c r="A14908" s="426"/>
    </row>
    <row r="14909" spans="1:1" s="427" customFormat="1" ht="12" hidden="1" customHeight="1">
      <c r="A14909" s="426"/>
    </row>
    <row r="14910" spans="1:1" s="427" customFormat="1" ht="12" hidden="1" customHeight="1">
      <c r="A14910" s="426"/>
    </row>
    <row r="14911" spans="1:1" s="427" customFormat="1" ht="12" hidden="1" customHeight="1">
      <c r="A14911" s="426"/>
    </row>
    <row r="14912" spans="1:1" s="427" customFormat="1" ht="12" hidden="1" customHeight="1">
      <c r="A14912" s="426"/>
    </row>
    <row r="14913" spans="1:1" s="427" customFormat="1" ht="12" hidden="1" customHeight="1">
      <c r="A14913" s="426"/>
    </row>
    <row r="14914" spans="1:1" s="427" customFormat="1" ht="12" hidden="1" customHeight="1">
      <c r="A14914" s="426"/>
    </row>
    <row r="14915" spans="1:1" s="427" customFormat="1" ht="12" hidden="1" customHeight="1">
      <c r="A14915" s="426"/>
    </row>
    <row r="14916" spans="1:1" s="427" customFormat="1" ht="12" hidden="1" customHeight="1">
      <c r="A14916" s="426"/>
    </row>
    <row r="14917" spans="1:1" s="427" customFormat="1" ht="12" hidden="1" customHeight="1">
      <c r="A14917" s="426"/>
    </row>
    <row r="14918" spans="1:1" s="427" customFormat="1" ht="12" hidden="1" customHeight="1">
      <c r="A14918" s="426"/>
    </row>
    <row r="14919" spans="1:1" s="427" customFormat="1" ht="12" hidden="1" customHeight="1">
      <c r="A14919" s="426"/>
    </row>
    <row r="14920" spans="1:1" s="427" customFormat="1" ht="12" hidden="1" customHeight="1">
      <c r="A14920" s="426"/>
    </row>
    <row r="14921" spans="1:1" s="427" customFormat="1" ht="12" hidden="1" customHeight="1">
      <c r="A14921" s="426"/>
    </row>
    <row r="14922" spans="1:1" s="427" customFormat="1" ht="12" hidden="1" customHeight="1">
      <c r="A14922" s="426"/>
    </row>
    <row r="14923" spans="1:1" s="427" customFormat="1" ht="12" hidden="1" customHeight="1">
      <c r="A14923" s="426"/>
    </row>
    <row r="14924" spans="1:1" s="427" customFormat="1" ht="12" hidden="1" customHeight="1">
      <c r="A14924" s="426"/>
    </row>
    <row r="14925" spans="1:1" s="427" customFormat="1" ht="12" hidden="1" customHeight="1">
      <c r="A14925" s="426"/>
    </row>
    <row r="14926" spans="1:1" s="427" customFormat="1" ht="12" hidden="1" customHeight="1">
      <c r="A14926" s="426"/>
    </row>
    <row r="14927" spans="1:1" s="427" customFormat="1" ht="12" hidden="1" customHeight="1">
      <c r="A14927" s="426"/>
    </row>
    <row r="14928" spans="1:1" s="427" customFormat="1" ht="12" hidden="1" customHeight="1">
      <c r="A14928" s="426"/>
    </row>
    <row r="14929" spans="1:1" s="427" customFormat="1" ht="12" hidden="1" customHeight="1">
      <c r="A14929" s="426"/>
    </row>
    <row r="14930" spans="1:1" s="427" customFormat="1" ht="12" hidden="1" customHeight="1">
      <c r="A14930" s="426"/>
    </row>
    <row r="14931" spans="1:1" s="427" customFormat="1" ht="12" hidden="1" customHeight="1">
      <c r="A14931" s="426"/>
    </row>
    <row r="14932" spans="1:1" s="427" customFormat="1" ht="12" hidden="1" customHeight="1">
      <c r="A14932" s="426"/>
    </row>
    <row r="14933" spans="1:1" s="427" customFormat="1" ht="12" hidden="1" customHeight="1">
      <c r="A14933" s="426"/>
    </row>
    <row r="14934" spans="1:1" s="427" customFormat="1" ht="12" hidden="1" customHeight="1">
      <c r="A14934" s="426"/>
    </row>
    <row r="14935" spans="1:1" s="427" customFormat="1" ht="12" hidden="1" customHeight="1">
      <c r="A14935" s="426"/>
    </row>
    <row r="14936" spans="1:1" s="427" customFormat="1" ht="12" hidden="1" customHeight="1">
      <c r="A14936" s="426"/>
    </row>
    <row r="14937" spans="1:1" s="427" customFormat="1" ht="12" hidden="1" customHeight="1">
      <c r="A14937" s="426"/>
    </row>
    <row r="14938" spans="1:1" s="427" customFormat="1" ht="12" hidden="1" customHeight="1">
      <c r="A14938" s="426"/>
    </row>
    <row r="14939" spans="1:1" s="427" customFormat="1" ht="12" hidden="1" customHeight="1">
      <c r="A14939" s="426"/>
    </row>
    <row r="14940" spans="1:1" s="427" customFormat="1" ht="12" hidden="1" customHeight="1">
      <c r="A14940" s="426"/>
    </row>
    <row r="14941" spans="1:1" s="427" customFormat="1" ht="12" hidden="1" customHeight="1">
      <c r="A14941" s="426"/>
    </row>
    <row r="14942" spans="1:1" s="427" customFormat="1" ht="12" hidden="1" customHeight="1">
      <c r="A14942" s="426"/>
    </row>
    <row r="14943" spans="1:1" s="427" customFormat="1" ht="12" hidden="1" customHeight="1">
      <c r="A14943" s="426"/>
    </row>
    <row r="14944" spans="1:1" s="427" customFormat="1" ht="12" hidden="1" customHeight="1">
      <c r="A14944" s="426"/>
    </row>
    <row r="14945" spans="1:1" s="427" customFormat="1" ht="12" hidden="1" customHeight="1">
      <c r="A14945" s="426"/>
    </row>
    <row r="14946" spans="1:1" s="427" customFormat="1" ht="12" hidden="1" customHeight="1">
      <c r="A14946" s="426"/>
    </row>
    <row r="14947" spans="1:1" s="427" customFormat="1" ht="12" hidden="1" customHeight="1">
      <c r="A14947" s="426"/>
    </row>
    <row r="14948" spans="1:1" s="427" customFormat="1" ht="12" hidden="1" customHeight="1">
      <c r="A14948" s="426"/>
    </row>
    <row r="14949" spans="1:1" s="427" customFormat="1" ht="12" hidden="1" customHeight="1">
      <c r="A14949" s="426"/>
    </row>
    <row r="14950" spans="1:1" s="427" customFormat="1" ht="12" hidden="1" customHeight="1">
      <c r="A14950" s="426"/>
    </row>
    <row r="14951" spans="1:1" s="427" customFormat="1" ht="12" hidden="1" customHeight="1">
      <c r="A14951" s="426"/>
    </row>
    <row r="14952" spans="1:1" s="427" customFormat="1" ht="12" hidden="1" customHeight="1">
      <c r="A14952" s="426"/>
    </row>
    <row r="14953" spans="1:1" s="427" customFormat="1" ht="12" hidden="1" customHeight="1">
      <c r="A14953" s="426"/>
    </row>
    <row r="14954" spans="1:1" s="427" customFormat="1" ht="12" hidden="1" customHeight="1">
      <c r="A14954" s="426"/>
    </row>
    <row r="14955" spans="1:1" s="427" customFormat="1" ht="12" hidden="1" customHeight="1">
      <c r="A14955" s="426"/>
    </row>
    <row r="14956" spans="1:1" s="427" customFormat="1" ht="12" hidden="1" customHeight="1">
      <c r="A14956" s="426"/>
    </row>
    <row r="14957" spans="1:1" s="427" customFormat="1" ht="12" hidden="1" customHeight="1">
      <c r="A14957" s="426"/>
    </row>
    <row r="14958" spans="1:1" s="427" customFormat="1" ht="12" hidden="1" customHeight="1">
      <c r="A14958" s="426"/>
    </row>
    <row r="14959" spans="1:1" s="427" customFormat="1" ht="12" hidden="1" customHeight="1">
      <c r="A14959" s="426"/>
    </row>
    <row r="14960" spans="1:1" s="427" customFormat="1" ht="12" hidden="1" customHeight="1">
      <c r="A14960" s="426"/>
    </row>
    <row r="14961" spans="1:1" s="427" customFormat="1" ht="12" hidden="1" customHeight="1">
      <c r="A14961" s="426"/>
    </row>
    <row r="14962" spans="1:1" s="427" customFormat="1" ht="12" hidden="1" customHeight="1">
      <c r="A14962" s="426"/>
    </row>
    <row r="14963" spans="1:1" s="427" customFormat="1" ht="12" hidden="1" customHeight="1">
      <c r="A14963" s="426"/>
    </row>
    <row r="14964" spans="1:1" s="427" customFormat="1" ht="12" hidden="1" customHeight="1">
      <c r="A14964" s="426"/>
    </row>
    <row r="14965" spans="1:1" s="427" customFormat="1" ht="12" hidden="1" customHeight="1">
      <c r="A14965" s="426"/>
    </row>
    <row r="14966" spans="1:1" s="427" customFormat="1" ht="12" hidden="1" customHeight="1">
      <c r="A14966" s="426"/>
    </row>
    <row r="14967" spans="1:1" s="427" customFormat="1" ht="12" hidden="1" customHeight="1">
      <c r="A14967" s="426"/>
    </row>
    <row r="14968" spans="1:1" s="427" customFormat="1" ht="12" hidden="1" customHeight="1">
      <c r="A14968" s="426"/>
    </row>
    <row r="14969" spans="1:1" s="427" customFormat="1" ht="12" hidden="1" customHeight="1">
      <c r="A14969" s="426"/>
    </row>
    <row r="14970" spans="1:1" s="427" customFormat="1" ht="12" hidden="1" customHeight="1">
      <c r="A14970" s="426"/>
    </row>
    <row r="14971" spans="1:1" s="427" customFormat="1" ht="12" hidden="1" customHeight="1">
      <c r="A14971" s="426"/>
    </row>
    <row r="14972" spans="1:1" s="427" customFormat="1" ht="12" hidden="1" customHeight="1">
      <c r="A14972" s="426"/>
    </row>
    <row r="14973" spans="1:1" s="427" customFormat="1" ht="12" hidden="1" customHeight="1">
      <c r="A14973" s="426"/>
    </row>
    <row r="14974" spans="1:1" s="427" customFormat="1" ht="12" hidden="1" customHeight="1">
      <c r="A14974" s="426"/>
    </row>
    <row r="14975" spans="1:1" s="427" customFormat="1" ht="12" hidden="1" customHeight="1">
      <c r="A14975" s="426"/>
    </row>
    <row r="14976" spans="1:1" s="427" customFormat="1" ht="12" hidden="1" customHeight="1">
      <c r="A14976" s="426"/>
    </row>
    <row r="14977" spans="1:1" s="427" customFormat="1" ht="12" hidden="1" customHeight="1">
      <c r="A14977" s="426"/>
    </row>
    <row r="14978" spans="1:1" s="427" customFormat="1" ht="12" hidden="1" customHeight="1">
      <c r="A14978" s="426"/>
    </row>
    <row r="14979" spans="1:1" s="427" customFormat="1" ht="12" hidden="1" customHeight="1">
      <c r="A14979" s="426"/>
    </row>
    <row r="14980" spans="1:1" s="427" customFormat="1" ht="12" hidden="1" customHeight="1">
      <c r="A14980" s="426"/>
    </row>
    <row r="14981" spans="1:1" s="427" customFormat="1" ht="12" hidden="1" customHeight="1">
      <c r="A14981" s="426"/>
    </row>
    <row r="14982" spans="1:1" s="427" customFormat="1" ht="12" hidden="1" customHeight="1">
      <c r="A14982" s="426"/>
    </row>
    <row r="14983" spans="1:1" s="427" customFormat="1" ht="12" hidden="1" customHeight="1">
      <c r="A14983" s="426"/>
    </row>
    <row r="14984" spans="1:1" s="427" customFormat="1" ht="12" hidden="1" customHeight="1">
      <c r="A14984" s="426"/>
    </row>
    <row r="14985" spans="1:1" s="427" customFormat="1" ht="12" hidden="1" customHeight="1">
      <c r="A14985" s="426"/>
    </row>
    <row r="14986" spans="1:1" s="427" customFormat="1" ht="12" hidden="1" customHeight="1">
      <c r="A14986" s="426"/>
    </row>
    <row r="14987" spans="1:1" s="427" customFormat="1" ht="12" hidden="1" customHeight="1">
      <c r="A14987" s="426"/>
    </row>
    <row r="14988" spans="1:1" s="427" customFormat="1" ht="12" hidden="1" customHeight="1">
      <c r="A14988" s="426"/>
    </row>
    <row r="14989" spans="1:1" s="427" customFormat="1" ht="12" hidden="1" customHeight="1">
      <c r="A14989" s="426"/>
    </row>
    <row r="14990" spans="1:1" s="427" customFormat="1" ht="12" hidden="1" customHeight="1">
      <c r="A14990" s="426"/>
    </row>
    <row r="14991" spans="1:1" s="427" customFormat="1" ht="12" hidden="1" customHeight="1">
      <c r="A14991" s="426"/>
    </row>
    <row r="14992" spans="1:1" s="427" customFormat="1" ht="12" hidden="1" customHeight="1">
      <c r="A14992" s="426"/>
    </row>
    <row r="14993" spans="1:1" s="427" customFormat="1" ht="12" hidden="1" customHeight="1">
      <c r="A14993" s="426"/>
    </row>
    <row r="14994" spans="1:1" s="427" customFormat="1" ht="12" hidden="1" customHeight="1">
      <c r="A14994" s="426"/>
    </row>
    <row r="14995" spans="1:1" s="427" customFormat="1" ht="12" hidden="1" customHeight="1">
      <c r="A14995" s="426"/>
    </row>
    <row r="14996" spans="1:1" s="427" customFormat="1" ht="12" hidden="1" customHeight="1">
      <c r="A14996" s="426"/>
    </row>
    <row r="14997" spans="1:1" s="427" customFormat="1" ht="12" hidden="1" customHeight="1">
      <c r="A14997" s="426"/>
    </row>
    <row r="14998" spans="1:1" s="427" customFormat="1" ht="12" hidden="1" customHeight="1">
      <c r="A14998" s="426"/>
    </row>
    <row r="14999" spans="1:1" s="427" customFormat="1" ht="12" hidden="1" customHeight="1">
      <c r="A14999" s="426"/>
    </row>
    <row r="15000" spans="1:1" s="427" customFormat="1" ht="12" hidden="1" customHeight="1">
      <c r="A15000" s="426"/>
    </row>
    <row r="15001" spans="1:1" s="427" customFormat="1" ht="12" hidden="1" customHeight="1">
      <c r="A15001" s="426"/>
    </row>
    <row r="15002" spans="1:1" s="427" customFormat="1" ht="12" hidden="1" customHeight="1">
      <c r="A15002" s="426"/>
    </row>
    <row r="15003" spans="1:1" s="427" customFormat="1" ht="12" hidden="1" customHeight="1">
      <c r="A15003" s="426"/>
    </row>
    <row r="15004" spans="1:1" s="427" customFormat="1" ht="12" hidden="1" customHeight="1">
      <c r="A15004" s="426"/>
    </row>
    <row r="15005" spans="1:1" s="427" customFormat="1" ht="12" hidden="1" customHeight="1">
      <c r="A15005" s="426"/>
    </row>
    <row r="15006" spans="1:1" s="427" customFormat="1" ht="12" hidden="1" customHeight="1">
      <c r="A15006" s="426"/>
    </row>
    <row r="15007" spans="1:1" s="427" customFormat="1" ht="12" hidden="1" customHeight="1">
      <c r="A15007" s="426"/>
    </row>
    <row r="15008" spans="1:1" s="427" customFormat="1" ht="12" hidden="1" customHeight="1">
      <c r="A15008" s="426"/>
    </row>
    <row r="15009" spans="1:1" s="427" customFormat="1" ht="12" hidden="1" customHeight="1">
      <c r="A15009" s="426"/>
    </row>
    <row r="15010" spans="1:1" s="427" customFormat="1" ht="12" hidden="1" customHeight="1">
      <c r="A15010" s="426"/>
    </row>
    <row r="15011" spans="1:1" s="427" customFormat="1" ht="12" hidden="1" customHeight="1">
      <c r="A15011" s="426"/>
    </row>
    <row r="15012" spans="1:1" s="427" customFormat="1" ht="12" hidden="1" customHeight="1">
      <c r="A15012" s="426"/>
    </row>
    <row r="15013" spans="1:1" s="427" customFormat="1" ht="12" hidden="1" customHeight="1">
      <c r="A15013" s="426"/>
    </row>
    <row r="15014" spans="1:1" s="427" customFormat="1" ht="12" hidden="1" customHeight="1">
      <c r="A15014" s="426"/>
    </row>
    <row r="15015" spans="1:1" s="427" customFormat="1" ht="12" hidden="1" customHeight="1">
      <c r="A15015" s="426"/>
    </row>
    <row r="15016" spans="1:1" s="427" customFormat="1" ht="12" hidden="1" customHeight="1">
      <c r="A15016" s="426"/>
    </row>
    <row r="15017" spans="1:1" s="427" customFormat="1" ht="12" hidden="1" customHeight="1">
      <c r="A15017" s="426"/>
    </row>
    <row r="15018" spans="1:1" s="427" customFormat="1" ht="12" hidden="1" customHeight="1">
      <c r="A15018" s="426"/>
    </row>
    <row r="15019" spans="1:1" s="427" customFormat="1" ht="12" hidden="1" customHeight="1">
      <c r="A15019" s="426"/>
    </row>
    <row r="15020" spans="1:1" s="427" customFormat="1" ht="12" hidden="1" customHeight="1">
      <c r="A15020" s="426"/>
    </row>
    <row r="15021" spans="1:1" s="427" customFormat="1" ht="12" hidden="1" customHeight="1">
      <c r="A15021" s="426"/>
    </row>
    <row r="15022" spans="1:1" s="427" customFormat="1" ht="12" hidden="1" customHeight="1">
      <c r="A15022" s="426"/>
    </row>
    <row r="15023" spans="1:1" s="427" customFormat="1" ht="12" hidden="1" customHeight="1">
      <c r="A15023" s="426"/>
    </row>
    <row r="15024" spans="1:1" s="427" customFormat="1" ht="12" hidden="1" customHeight="1">
      <c r="A15024" s="426"/>
    </row>
    <row r="15025" spans="1:1" s="427" customFormat="1" ht="12" hidden="1" customHeight="1">
      <c r="A15025" s="426"/>
    </row>
    <row r="15026" spans="1:1" s="427" customFormat="1" ht="12" hidden="1" customHeight="1">
      <c r="A15026" s="426"/>
    </row>
    <row r="15027" spans="1:1" s="427" customFormat="1" ht="12" hidden="1" customHeight="1">
      <c r="A15027" s="426"/>
    </row>
    <row r="15028" spans="1:1" s="427" customFormat="1" ht="12" hidden="1" customHeight="1">
      <c r="A15028" s="426"/>
    </row>
    <row r="15029" spans="1:1" s="427" customFormat="1" ht="12" hidden="1" customHeight="1">
      <c r="A15029" s="426"/>
    </row>
    <row r="15030" spans="1:1" s="427" customFormat="1" ht="12" hidden="1" customHeight="1">
      <c r="A15030" s="426"/>
    </row>
    <row r="15031" spans="1:1" s="427" customFormat="1" ht="12" hidden="1" customHeight="1">
      <c r="A15031" s="426"/>
    </row>
    <row r="15032" spans="1:1" s="427" customFormat="1" ht="12" hidden="1" customHeight="1">
      <c r="A15032" s="426"/>
    </row>
    <row r="15033" spans="1:1" s="427" customFormat="1" ht="12" hidden="1" customHeight="1">
      <c r="A15033" s="426"/>
    </row>
    <row r="15034" spans="1:1" s="427" customFormat="1" ht="12" hidden="1" customHeight="1">
      <c r="A15034" s="426"/>
    </row>
    <row r="15035" spans="1:1" s="427" customFormat="1" ht="12" hidden="1" customHeight="1">
      <c r="A15035" s="426"/>
    </row>
    <row r="15036" spans="1:1" s="427" customFormat="1" ht="12" hidden="1" customHeight="1">
      <c r="A15036" s="426"/>
    </row>
    <row r="15037" spans="1:1" s="427" customFormat="1" ht="12" hidden="1" customHeight="1">
      <c r="A15037" s="426"/>
    </row>
    <row r="15038" spans="1:1" s="427" customFormat="1" ht="12" hidden="1" customHeight="1">
      <c r="A15038" s="426"/>
    </row>
    <row r="15039" spans="1:1" s="427" customFormat="1" ht="12" hidden="1" customHeight="1">
      <c r="A15039" s="426"/>
    </row>
    <row r="15040" spans="1:1" s="427" customFormat="1" ht="12" hidden="1" customHeight="1">
      <c r="A15040" s="426"/>
    </row>
    <row r="15041" spans="1:1" s="427" customFormat="1" ht="12" hidden="1" customHeight="1">
      <c r="A15041" s="426"/>
    </row>
    <row r="15042" spans="1:1" s="427" customFormat="1" ht="12" hidden="1" customHeight="1">
      <c r="A15042" s="426"/>
    </row>
    <row r="15043" spans="1:1" s="427" customFormat="1" ht="12" hidden="1" customHeight="1">
      <c r="A15043" s="426"/>
    </row>
    <row r="15044" spans="1:1" s="427" customFormat="1" ht="12" hidden="1" customHeight="1">
      <c r="A15044" s="426"/>
    </row>
    <row r="15045" spans="1:1" s="427" customFormat="1" ht="12" hidden="1" customHeight="1">
      <c r="A15045" s="426"/>
    </row>
    <row r="15046" spans="1:1" s="427" customFormat="1" ht="12" hidden="1" customHeight="1">
      <c r="A15046" s="426"/>
    </row>
    <row r="15047" spans="1:1" s="427" customFormat="1" ht="12" hidden="1" customHeight="1">
      <c r="A15047" s="426"/>
    </row>
    <row r="15048" spans="1:1" s="427" customFormat="1" ht="12" hidden="1" customHeight="1">
      <c r="A15048" s="426"/>
    </row>
    <row r="15049" spans="1:1" s="427" customFormat="1" ht="12" hidden="1" customHeight="1">
      <c r="A15049" s="426"/>
    </row>
    <row r="15050" spans="1:1" s="427" customFormat="1" ht="12" hidden="1" customHeight="1">
      <c r="A15050" s="426"/>
    </row>
    <row r="15051" spans="1:1" s="427" customFormat="1" ht="12" hidden="1" customHeight="1">
      <c r="A15051" s="426"/>
    </row>
    <row r="15052" spans="1:1" s="427" customFormat="1" ht="12" hidden="1" customHeight="1">
      <c r="A15052" s="426"/>
    </row>
    <row r="15053" spans="1:1" s="427" customFormat="1" ht="12" hidden="1" customHeight="1">
      <c r="A15053" s="426"/>
    </row>
    <row r="15054" spans="1:1" s="427" customFormat="1" ht="12" hidden="1" customHeight="1">
      <c r="A15054" s="426"/>
    </row>
    <row r="15055" spans="1:1" s="427" customFormat="1" ht="12" hidden="1" customHeight="1">
      <c r="A15055" s="426"/>
    </row>
    <row r="15056" spans="1:1" s="427" customFormat="1" ht="12" hidden="1" customHeight="1">
      <c r="A15056" s="426"/>
    </row>
    <row r="15057" spans="1:1" s="427" customFormat="1" ht="12" hidden="1" customHeight="1">
      <c r="A15057" s="426"/>
    </row>
    <row r="15058" spans="1:1" s="427" customFormat="1" ht="12" hidden="1" customHeight="1">
      <c r="A15058" s="426"/>
    </row>
    <row r="15059" spans="1:1" s="427" customFormat="1" ht="12" hidden="1" customHeight="1">
      <c r="A15059" s="426"/>
    </row>
    <row r="15060" spans="1:1" s="427" customFormat="1" ht="12" hidden="1" customHeight="1">
      <c r="A15060" s="426"/>
    </row>
    <row r="15061" spans="1:1" s="427" customFormat="1" ht="12" hidden="1" customHeight="1">
      <c r="A15061" s="426"/>
    </row>
    <row r="15062" spans="1:1" s="427" customFormat="1" ht="12" hidden="1" customHeight="1">
      <c r="A15062" s="426"/>
    </row>
    <row r="15063" spans="1:1" s="427" customFormat="1" ht="12" hidden="1" customHeight="1">
      <c r="A15063" s="426"/>
    </row>
    <row r="15064" spans="1:1" s="427" customFormat="1" ht="12" hidden="1" customHeight="1">
      <c r="A15064" s="426"/>
    </row>
    <row r="15065" spans="1:1" s="427" customFormat="1" ht="12" hidden="1" customHeight="1">
      <c r="A15065" s="426"/>
    </row>
    <row r="15066" spans="1:1" s="427" customFormat="1" ht="12" hidden="1" customHeight="1">
      <c r="A15066" s="426"/>
    </row>
    <row r="15067" spans="1:1" s="427" customFormat="1" ht="12" hidden="1" customHeight="1">
      <c r="A15067" s="426"/>
    </row>
    <row r="15068" spans="1:1" s="427" customFormat="1" ht="12" hidden="1" customHeight="1">
      <c r="A15068" s="426"/>
    </row>
    <row r="15069" spans="1:1" s="427" customFormat="1" ht="12" hidden="1" customHeight="1">
      <c r="A15069" s="426"/>
    </row>
    <row r="15070" spans="1:1" s="427" customFormat="1" ht="12" hidden="1" customHeight="1">
      <c r="A15070" s="426"/>
    </row>
    <row r="15071" spans="1:1" s="427" customFormat="1" ht="12" hidden="1" customHeight="1">
      <c r="A15071" s="426"/>
    </row>
    <row r="15072" spans="1:1" s="427" customFormat="1" ht="12" hidden="1" customHeight="1">
      <c r="A15072" s="426"/>
    </row>
    <row r="15073" spans="1:1" s="427" customFormat="1" ht="12" hidden="1" customHeight="1">
      <c r="A15073" s="426"/>
    </row>
    <row r="15074" spans="1:1" s="427" customFormat="1" ht="12" hidden="1" customHeight="1">
      <c r="A15074" s="426"/>
    </row>
    <row r="15075" spans="1:1" s="427" customFormat="1" ht="12" hidden="1" customHeight="1">
      <c r="A15075" s="426"/>
    </row>
    <row r="15076" spans="1:1" s="427" customFormat="1" ht="12" hidden="1" customHeight="1">
      <c r="A15076" s="426"/>
    </row>
    <row r="15077" spans="1:1" s="427" customFormat="1" ht="12" hidden="1" customHeight="1">
      <c r="A15077" s="426"/>
    </row>
    <row r="15078" spans="1:1" s="427" customFormat="1" ht="12" hidden="1" customHeight="1">
      <c r="A15078" s="426"/>
    </row>
    <row r="15079" spans="1:1" s="427" customFormat="1" ht="12" hidden="1" customHeight="1">
      <c r="A15079" s="426"/>
    </row>
    <row r="15080" spans="1:1" s="427" customFormat="1" ht="12" hidden="1" customHeight="1">
      <c r="A15080" s="426"/>
    </row>
    <row r="15081" spans="1:1" s="427" customFormat="1" ht="12" hidden="1" customHeight="1">
      <c r="A15081" s="426"/>
    </row>
    <row r="15082" spans="1:1" s="427" customFormat="1" ht="12" hidden="1" customHeight="1">
      <c r="A15082" s="426"/>
    </row>
    <row r="15083" spans="1:1" s="427" customFormat="1" ht="12" hidden="1" customHeight="1">
      <c r="A15083" s="426"/>
    </row>
    <row r="15084" spans="1:1" s="427" customFormat="1" ht="12" hidden="1" customHeight="1">
      <c r="A15084" s="426"/>
    </row>
    <row r="15085" spans="1:1" s="427" customFormat="1" ht="12" hidden="1" customHeight="1">
      <c r="A15085" s="426"/>
    </row>
    <row r="15086" spans="1:1" s="427" customFormat="1" ht="12" hidden="1" customHeight="1">
      <c r="A15086" s="426"/>
    </row>
    <row r="15087" spans="1:1" s="427" customFormat="1" ht="12" hidden="1" customHeight="1">
      <c r="A15087" s="426"/>
    </row>
    <row r="15088" spans="1:1" s="427" customFormat="1" ht="12" hidden="1" customHeight="1">
      <c r="A15088" s="426"/>
    </row>
    <row r="15089" spans="1:1" s="427" customFormat="1" ht="12" hidden="1" customHeight="1">
      <c r="A15089" s="426"/>
    </row>
    <row r="15090" spans="1:1" s="427" customFormat="1" ht="12" hidden="1" customHeight="1">
      <c r="A15090" s="426"/>
    </row>
    <row r="15091" spans="1:1" s="427" customFormat="1" ht="12" hidden="1" customHeight="1">
      <c r="A15091" s="426"/>
    </row>
    <row r="15092" spans="1:1" s="427" customFormat="1" ht="12" hidden="1" customHeight="1">
      <c r="A15092" s="426"/>
    </row>
    <row r="15093" spans="1:1" s="427" customFormat="1" ht="12" hidden="1" customHeight="1">
      <c r="A15093" s="426"/>
    </row>
    <row r="15094" spans="1:1" s="427" customFormat="1" ht="12" hidden="1" customHeight="1">
      <c r="A15094" s="426"/>
    </row>
    <row r="15095" spans="1:1" s="427" customFormat="1" ht="12" hidden="1" customHeight="1">
      <c r="A15095" s="426"/>
    </row>
    <row r="15096" spans="1:1" s="427" customFormat="1" ht="12" hidden="1" customHeight="1">
      <c r="A15096" s="426"/>
    </row>
    <row r="15097" spans="1:1" s="427" customFormat="1" ht="12" hidden="1" customHeight="1">
      <c r="A15097" s="426"/>
    </row>
    <row r="15098" spans="1:1" s="427" customFormat="1" ht="12" hidden="1" customHeight="1">
      <c r="A15098" s="426"/>
    </row>
    <row r="15099" spans="1:1" s="427" customFormat="1" ht="12" hidden="1" customHeight="1">
      <c r="A15099" s="426"/>
    </row>
    <row r="15100" spans="1:1" s="427" customFormat="1" ht="12" hidden="1" customHeight="1">
      <c r="A15100" s="426"/>
    </row>
    <row r="15101" spans="1:1" s="427" customFormat="1" ht="12" hidden="1" customHeight="1">
      <c r="A15101" s="426"/>
    </row>
    <row r="15102" spans="1:1" s="427" customFormat="1" ht="12" hidden="1" customHeight="1">
      <c r="A15102" s="426"/>
    </row>
    <row r="15103" spans="1:1" s="427" customFormat="1" ht="12" hidden="1" customHeight="1">
      <c r="A15103" s="426"/>
    </row>
    <row r="15104" spans="1:1" s="427" customFormat="1" ht="12" hidden="1" customHeight="1">
      <c r="A15104" s="426"/>
    </row>
    <row r="15105" spans="1:1" s="427" customFormat="1" ht="12" hidden="1" customHeight="1">
      <c r="A15105" s="426"/>
    </row>
    <row r="15106" spans="1:1" s="427" customFormat="1" ht="12" hidden="1" customHeight="1">
      <c r="A15106" s="426"/>
    </row>
    <row r="15107" spans="1:1" s="427" customFormat="1" ht="12" hidden="1" customHeight="1">
      <c r="A15107" s="426"/>
    </row>
    <row r="15108" spans="1:1" s="427" customFormat="1" ht="12" hidden="1" customHeight="1">
      <c r="A15108" s="426"/>
    </row>
    <row r="15109" spans="1:1" s="427" customFormat="1" ht="12" hidden="1" customHeight="1">
      <c r="A15109" s="426"/>
    </row>
    <row r="15110" spans="1:1" s="427" customFormat="1" ht="12" hidden="1" customHeight="1">
      <c r="A15110" s="426"/>
    </row>
    <row r="15111" spans="1:1" s="427" customFormat="1" ht="12" hidden="1" customHeight="1">
      <c r="A15111" s="426"/>
    </row>
    <row r="15112" spans="1:1" s="427" customFormat="1" ht="12" hidden="1" customHeight="1">
      <c r="A15112" s="426"/>
    </row>
    <row r="15113" spans="1:1" s="427" customFormat="1" ht="12" hidden="1" customHeight="1">
      <c r="A15113" s="426"/>
    </row>
    <row r="15114" spans="1:1" s="427" customFormat="1" ht="12" hidden="1" customHeight="1">
      <c r="A15114" s="426"/>
    </row>
    <row r="15115" spans="1:1" s="427" customFormat="1" ht="12" hidden="1" customHeight="1">
      <c r="A15115" s="426"/>
    </row>
    <row r="15116" spans="1:1" s="427" customFormat="1" ht="12" hidden="1" customHeight="1">
      <c r="A15116" s="426"/>
    </row>
    <row r="15117" spans="1:1" s="427" customFormat="1" ht="12" hidden="1" customHeight="1">
      <c r="A15117" s="426"/>
    </row>
    <row r="15118" spans="1:1" s="427" customFormat="1" ht="12" hidden="1" customHeight="1">
      <c r="A15118" s="426"/>
    </row>
    <row r="15119" spans="1:1" s="427" customFormat="1" ht="12" hidden="1" customHeight="1">
      <c r="A15119" s="426"/>
    </row>
    <row r="15120" spans="1:1" s="427" customFormat="1" ht="12" hidden="1" customHeight="1">
      <c r="A15120" s="426"/>
    </row>
    <row r="15121" spans="1:1" s="427" customFormat="1" ht="12" hidden="1" customHeight="1">
      <c r="A15121" s="426"/>
    </row>
    <row r="15122" spans="1:1" s="427" customFormat="1" ht="12" hidden="1" customHeight="1">
      <c r="A15122" s="426"/>
    </row>
    <row r="15123" spans="1:1" s="427" customFormat="1" ht="12" hidden="1" customHeight="1">
      <c r="A15123" s="426"/>
    </row>
    <row r="15124" spans="1:1" s="427" customFormat="1" ht="12" hidden="1" customHeight="1">
      <c r="A15124" s="426"/>
    </row>
    <row r="15125" spans="1:1" s="427" customFormat="1" ht="12" hidden="1" customHeight="1">
      <c r="A15125" s="426"/>
    </row>
    <row r="15126" spans="1:1" s="427" customFormat="1" ht="12" hidden="1" customHeight="1">
      <c r="A15126" s="426"/>
    </row>
    <row r="15127" spans="1:1" s="427" customFormat="1" ht="12" hidden="1" customHeight="1">
      <c r="A15127" s="426"/>
    </row>
    <row r="15128" spans="1:1" s="427" customFormat="1" ht="12" hidden="1" customHeight="1">
      <c r="A15128" s="426"/>
    </row>
    <row r="15129" spans="1:1" s="427" customFormat="1" ht="12" hidden="1" customHeight="1">
      <c r="A15129" s="426"/>
    </row>
    <row r="15130" spans="1:1" s="427" customFormat="1" ht="12" hidden="1" customHeight="1">
      <c r="A15130" s="426"/>
    </row>
    <row r="15131" spans="1:1" s="427" customFormat="1" ht="12" hidden="1" customHeight="1">
      <c r="A15131" s="426"/>
    </row>
    <row r="15132" spans="1:1" s="427" customFormat="1" ht="12" hidden="1" customHeight="1">
      <c r="A15132" s="426"/>
    </row>
    <row r="15133" spans="1:1" s="427" customFormat="1" ht="12" hidden="1" customHeight="1">
      <c r="A15133" s="426"/>
    </row>
    <row r="15134" spans="1:1" s="427" customFormat="1" ht="12" hidden="1" customHeight="1">
      <c r="A15134" s="426"/>
    </row>
    <row r="15135" spans="1:1" s="427" customFormat="1" ht="12" hidden="1" customHeight="1">
      <c r="A15135" s="426"/>
    </row>
    <row r="15136" spans="1:1" s="427" customFormat="1" ht="12" hidden="1" customHeight="1">
      <c r="A15136" s="426"/>
    </row>
    <row r="15137" spans="1:1" s="427" customFormat="1" ht="12" hidden="1" customHeight="1">
      <c r="A15137" s="426"/>
    </row>
    <row r="15138" spans="1:1" s="427" customFormat="1" ht="12" hidden="1" customHeight="1">
      <c r="A15138" s="426"/>
    </row>
    <row r="15139" spans="1:1" s="427" customFormat="1" ht="12" hidden="1" customHeight="1">
      <c r="A15139" s="426"/>
    </row>
    <row r="15140" spans="1:1" s="427" customFormat="1" ht="12" hidden="1" customHeight="1">
      <c r="A15140" s="426"/>
    </row>
    <row r="15141" spans="1:1" s="427" customFormat="1" ht="12" hidden="1" customHeight="1">
      <c r="A15141" s="426"/>
    </row>
    <row r="15142" spans="1:1" s="427" customFormat="1" ht="12" hidden="1" customHeight="1">
      <c r="A15142" s="426"/>
    </row>
    <row r="15143" spans="1:1" s="427" customFormat="1" ht="12" hidden="1" customHeight="1">
      <c r="A15143" s="426"/>
    </row>
    <row r="15144" spans="1:1" s="427" customFormat="1" ht="12" hidden="1" customHeight="1">
      <c r="A15144" s="426"/>
    </row>
    <row r="15145" spans="1:1" s="427" customFormat="1" ht="12" hidden="1" customHeight="1">
      <c r="A15145" s="426"/>
    </row>
    <row r="15146" spans="1:1" s="427" customFormat="1" ht="12" hidden="1" customHeight="1">
      <c r="A15146" s="426"/>
    </row>
    <row r="15147" spans="1:1" s="427" customFormat="1" ht="12" hidden="1" customHeight="1">
      <c r="A15147" s="426"/>
    </row>
    <row r="15148" spans="1:1" s="427" customFormat="1" ht="12" hidden="1" customHeight="1">
      <c r="A15148" s="426"/>
    </row>
    <row r="15149" spans="1:1" s="427" customFormat="1" ht="12" hidden="1" customHeight="1">
      <c r="A15149" s="426"/>
    </row>
    <row r="15150" spans="1:1" s="427" customFormat="1" ht="12" hidden="1" customHeight="1">
      <c r="A15150" s="426"/>
    </row>
    <row r="15151" spans="1:1" s="427" customFormat="1" ht="12" hidden="1" customHeight="1">
      <c r="A15151" s="426"/>
    </row>
    <row r="15152" spans="1:1" s="427" customFormat="1" ht="12" hidden="1" customHeight="1">
      <c r="A15152" s="426"/>
    </row>
    <row r="15153" spans="1:1" s="427" customFormat="1" ht="12" hidden="1" customHeight="1">
      <c r="A15153" s="426"/>
    </row>
    <row r="15154" spans="1:1" s="427" customFormat="1" ht="12" hidden="1" customHeight="1">
      <c r="A15154" s="426"/>
    </row>
    <row r="15155" spans="1:1" s="427" customFormat="1" ht="12" hidden="1" customHeight="1">
      <c r="A15155" s="426"/>
    </row>
    <row r="15156" spans="1:1" s="427" customFormat="1" ht="12" hidden="1" customHeight="1">
      <c r="A15156" s="426"/>
    </row>
    <row r="15157" spans="1:1" s="427" customFormat="1" ht="12" hidden="1" customHeight="1">
      <c r="A15157" s="426"/>
    </row>
    <row r="15158" spans="1:1" s="427" customFormat="1" ht="12" hidden="1" customHeight="1">
      <c r="A15158" s="426"/>
    </row>
    <row r="15159" spans="1:1" s="427" customFormat="1" ht="12" hidden="1" customHeight="1">
      <c r="A15159" s="426"/>
    </row>
    <row r="15160" spans="1:1" s="427" customFormat="1" ht="12" hidden="1" customHeight="1">
      <c r="A15160" s="426"/>
    </row>
    <row r="15161" spans="1:1" s="427" customFormat="1" ht="12" hidden="1" customHeight="1">
      <c r="A15161" s="426"/>
    </row>
    <row r="15162" spans="1:1" s="427" customFormat="1" ht="12" hidden="1" customHeight="1">
      <c r="A15162" s="426"/>
    </row>
    <row r="15163" spans="1:1" s="427" customFormat="1" ht="12" hidden="1" customHeight="1">
      <c r="A15163" s="426"/>
    </row>
    <row r="15164" spans="1:1" s="427" customFormat="1" ht="12" hidden="1" customHeight="1">
      <c r="A15164" s="426"/>
    </row>
    <row r="15165" spans="1:1" s="427" customFormat="1" ht="12" hidden="1" customHeight="1">
      <c r="A15165" s="426"/>
    </row>
    <row r="15166" spans="1:1" s="427" customFormat="1" ht="12" hidden="1" customHeight="1">
      <c r="A15166" s="426"/>
    </row>
    <row r="15167" spans="1:1" s="427" customFormat="1" ht="12" hidden="1" customHeight="1">
      <c r="A15167" s="426"/>
    </row>
    <row r="15168" spans="1:1" s="427" customFormat="1" ht="12" hidden="1" customHeight="1">
      <c r="A15168" s="426"/>
    </row>
    <row r="15169" spans="1:1" s="427" customFormat="1" ht="12" hidden="1" customHeight="1">
      <c r="A15169" s="426"/>
    </row>
    <row r="15170" spans="1:1" s="427" customFormat="1" ht="12" hidden="1" customHeight="1">
      <c r="A15170" s="426"/>
    </row>
    <row r="15171" spans="1:1" s="427" customFormat="1" ht="12" hidden="1" customHeight="1">
      <c r="A15171" s="426"/>
    </row>
    <row r="15172" spans="1:1" s="427" customFormat="1" ht="12" hidden="1" customHeight="1">
      <c r="A15172" s="426"/>
    </row>
    <row r="15173" spans="1:1" s="427" customFormat="1" ht="12" hidden="1" customHeight="1">
      <c r="A15173" s="426"/>
    </row>
    <row r="15174" spans="1:1" s="427" customFormat="1" ht="12" hidden="1" customHeight="1">
      <c r="A15174" s="426"/>
    </row>
    <row r="15175" spans="1:1" s="427" customFormat="1" ht="12" hidden="1" customHeight="1">
      <c r="A15175" s="426"/>
    </row>
    <row r="15176" spans="1:1" s="427" customFormat="1" ht="12" hidden="1" customHeight="1">
      <c r="A15176" s="426"/>
    </row>
    <row r="15177" spans="1:1" s="427" customFormat="1" ht="12" hidden="1" customHeight="1">
      <c r="A15177" s="426"/>
    </row>
    <row r="15178" spans="1:1" s="427" customFormat="1" ht="12" hidden="1" customHeight="1">
      <c r="A15178" s="426"/>
    </row>
    <row r="15179" spans="1:1" s="427" customFormat="1" ht="12" hidden="1" customHeight="1">
      <c r="A15179" s="426"/>
    </row>
    <row r="15180" spans="1:1" s="427" customFormat="1" ht="12" hidden="1" customHeight="1">
      <c r="A15180" s="426"/>
    </row>
    <row r="15181" spans="1:1" s="427" customFormat="1" ht="12" hidden="1" customHeight="1">
      <c r="A15181" s="426"/>
    </row>
    <row r="15182" spans="1:1" s="427" customFormat="1" ht="12" hidden="1" customHeight="1">
      <c r="A15182" s="426"/>
    </row>
    <row r="15183" spans="1:1" s="427" customFormat="1" ht="12" hidden="1" customHeight="1">
      <c r="A15183" s="426"/>
    </row>
    <row r="15184" spans="1:1" s="427" customFormat="1" ht="12" hidden="1" customHeight="1">
      <c r="A15184" s="426"/>
    </row>
    <row r="15185" spans="1:1" s="427" customFormat="1" ht="12" hidden="1" customHeight="1">
      <c r="A15185" s="426"/>
    </row>
    <row r="15186" spans="1:1" s="427" customFormat="1" ht="12" hidden="1" customHeight="1">
      <c r="A15186" s="426"/>
    </row>
    <row r="15187" spans="1:1" s="427" customFormat="1" ht="12" hidden="1" customHeight="1">
      <c r="A15187" s="426"/>
    </row>
    <row r="15188" spans="1:1" s="427" customFormat="1" ht="12" hidden="1" customHeight="1">
      <c r="A15188" s="426"/>
    </row>
    <row r="15189" spans="1:1" s="427" customFormat="1" ht="12" hidden="1" customHeight="1">
      <c r="A15189" s="426"/>
    </row>
    <row r="15190" spans="1:1" s="427" customFormat="1" ht="12" hidden="1" customHeight="1">
      <c r="A15190" s="426"/>
    </row>
    <row r="15191" spans="1:1" s="427" customFormat="1" ht="12" hidden="1" customHeight="1">
      <c r="A15191" s="426"/>
    </row>
    <row r="15192" spans="1:1" s="427" customFormat="1" ht="12" hidden="1" customHeight="1">
      <c r="A15192" s="426"/>
    </row>
    <row r="15193" spans="1:1" s="427" customFormat="1" ht="12" hidden="1" customHeight="1">
      <c r="A15193" s="426"/>
    </row>
    <row r="15194" spans="1:1" s="427" customFormat="1" ht="12" hidden="1" customHeight="1">
      <c r="A15194" s="426"/>
    </row>
    <row r="15195" spans="1:1" s="427" customFormat="1" ht="12" hidden="1" customHeight="1">
      <c r="A15195" s="426"/>
    </row>
    <row r="15196" spans="1:1" s="427" customFormat="1" ht="12" hidden="1" customHeight="1">
      <c r="A15196" s="426"/>
    </row>
    <row r="15197" spans="1:1" s="427" customFormat="1" ht="12" hidden="1" customHeight="1">
      <c r="A15197" s="426"/>
    </row>
    <row r="15198" spans="1:1" s="427" customFormat="1" ht="12" hidden="1" customHeight="1">
      <c r="A15198" s="426"/>
    </row>
    <row r="15199" spans="1:1" s="427" customFormat="1" ht="12" hidden="1" customHeight="1">
      <c r="A15199" s="426"/>
    </row>
    <row r="15200" spans="1:1" s="427" customFormat="1" ht="12" hidden="1" customHeight="1">
      <c r="A15200" s="426"/>
    </row>
    <row r="15201" spans="1:1" s="427" customFormat="1" ht="12" hidden="1" customHeight="1">
      <c r="A15201" s="426"/>
    </row>
    <row r="15202" spans="1:1" s="427" customFormat="1" ht="12" hidden="1" customHeight="1">
      <c r="A15202" s="426"/>
    </row>
    <row r="15203" spans="1:1" s="427" customFormat="1" ht="12" hidden="1" customHeight="1">
      <c r="A15203" s="426"/>
    </row>
    <row r="15204" spans="1:1" s="427" customFormat="1" ht="12" hidden="1" customHeight="1">
      <c r="A15204" s="426"/>
    </row>
    <row r="15205" spans="1:1" s="427" customFormat="1" ht="12" hidden="1" customHeight="1">
      <c r="A15205" s="426"/>
    </row>
    <row r="15206" spans="1:1" s="427" customFormat="1" ht="12" hidden="1" customHeight="1">
      <c r="A15206" s="426"/>
    </row>
    <row r="15207" spans="1:1" s="427" customFormat="1" ht="12" hidden="1" customHeight="1">
      <c r="A15207" s="426"/>
    </row>
    <row r="15208" spans="1:1" s="427" customFormat="1" ht="12" hidden="1" customHeight="1">
      <c r="A15208" s="426"/>
    </row>
    <row r="15209" spans="1:1" s="427" customFormat="1" ht="12" hidden="1" customHeight="1">
      <c r="A15209" s="426"/>
    </row>
    <row r="15210" spans="1:1" s="427" customFormat="1" ht="12" hidden="1" customHeight="1">
      <c r="A15210" s="426"/>
    </row>
    <row r="15211" spans="1:1" s="427" customFormat="1" ht="12" hidden="1" customHeight="1">
      <c r="A15211" s="426"/>
    </row>
    <row r="15212" spans="1:1" s="427" customFormat="1" ht="12" hidden="1" customHeight="1">
      <c r="A15212" s="426"/>
    </row>
    <row r="15213" spans="1:1" s="427" customFormat="1" ht="12" hidden="1" customHeight="1">
      <c r="A15213" s="426"/>
    </row>
    <row r="15214" spans="1:1" s="427" customFormat="1" ht="12" hidden="1" customHeight="1">
      <c r="A15214" s="426"/>
    </row>
    <row r="15215" spans="1:1" s="427" customFormat="1" ht="12" hidden="1" customHeight="1">
      <c r="A15215" s="426"/>
    </row>
    <row r="15216" spans="1:1" s="427" customFormat="1" ht="12" hidden="1" customHeight="1">
      <c r="A15216" s="426"/>
    </row>
    <row r="15217" spans="1:1" s="427" customFormat="1" ht="12" hidden="1" customHeight="1">
      <c r="A15217" s="426"/>
    </row>
    <row r="15218" spans="1:1" s="427" customFormat="1" ht="12" hidden="1" customHeight="1">
      <c r="A15218" s="426"/>
    </row>
    <row r="15219" spans="1:1" s="427" customFormat="1" ht="12" hidden="1" customHeight="1">
      <c r="A15219" s="426"/>
    </row>
    <row r="15220" spans="1:1" s="427" customFormat="1" ht="12" hidden="1" customHeight="1">
      <c r="A15220" s="426"/>
    </row>
    <row r="15221" spans="1:1" s="427" customFormat="1" ht="12" hidden="1" customHeight="1">
      <c r="A15221" s="426"/>
    </row>
    <row r="15222" spans="1:1" s="427" customFormat="1" ht="12" hidden="1" customHeight="1">
      <c r="A15222" s="426"/>
    </row>
    <row r="15223" spans="1:1" s="427" customFormat="1" ht="12" hidden="1" customHeight="1">
      <c r="A15223" s="426"/>
    </row>
    <row r="15224" spans="1:1" s="427" customFormat="1" ht="12" hidden="1" customHeight="1">
      <c r="A15224" s="426"/>
    </row>
    <row r="15225" spans="1:1" s="427" customFormat="1" ht="12" hidden="1" customHeight="1">
      <c r="A15225" s="426"/>
    </row>
    <row r="15226" spans="1:1" s="427" customFormat="1" ht="12" hidden="1" customHeight="1">
      <c r="A15226" s="426"/>
    </row>
    <row r="15227" spans="1:1" s="427" customFormat="1" ht="12" hidden="1" customHeight="1">
      <c r="A15227" s="426"/>
    </row>
    <row r="15228" spans="1:1" s="427" customFormat="1" ht="12" hidden="1" customHeight="1">
      <c r="A15228" s="426"/>
    </row>
    <row r="15229" spans="1:1" s="427" customFormat="1" ht="12" hidden="1" customHeight="1">
      <c r="A15229" s="426"/>
    </row>
    <row r="15230" spans="1:1" s="427" customFormat="1" ht="12" hidden="1" customHeight="1">
      <c r="A15230" s="426"/>
    </row>
    <row r="15231" spans="1:1" s="427" customFormat="1" ht="12" hidden="1" customHeight="1">
      <c r="A15231" s="426"/>
    </row>
    <row r="15232" spans="1:1" s="427" customFormat="1" ht="12" hidden="1" customHeight="1">
      <c r="A15232" s="426"/>
    </row>
    <row r="15233" spans="1:1" s="427" customFormat="1" ht="12" hidden="1" customHeight="1">
      <c r="A15233" s="426"/>
    </row>
    <row r="15234" spans="1:1" s="427" customFormat="1" ht="12" hidden="1" customHeight="1">
      <c r="A15234" s="426"/>
    </row>
    <row r="15235" spans="1:1" s="427" customFormat="1" ht="12" hidden="1" customHeight="1">
      <c r="A15235" s="426"/>
    </row>
    <row r="15236" spans="1:1" s="427" customFormat="1" ht="12" hidden="1" customHeight="1">
      <c r="A15236" s="426"/>
    </row>
    <row r="15237" spans="1:1" s="427" customFormat="1" ht="12" hidden="1" customHeight="1">
      <c r="A15237" s="426"/>
    </row>
    <row r="15238" spans="1:1" s="427" customFormat="1" ht="12" hidden="1" customHeight="1">
      <c r="A15238" s="426"/>
    </row>
    <row r="15239" spans="1:1" s="427" customFormat="1" ht="12" hidden="1" customHeight="1">
      <c r="A15239" s="426"/>
    </row>
    <row r="15240" spans="1:1" s="427" customFormat="1" ht="12" hidden="1" customHeight="1">
      <c r="A15240" s="426"/>
    </row>
    <row r="15241" spans="1:1" s="427" customFormat="1" ht="12" hidden="1" customHeight="1">
      <c r="A15241" s="426"/>
    </row>
    <row r="15242" spans="1:1" s="427" customFormat="1" ht="12" hidden="1" customHeight="1">
      <c r="A15242" s="426"/>
    </row>
    <row r="15243" spans="1:1" s="427" customFormat="1" ht="12" hidden="1" customHeight="1">
      <c r="A15243" s="426"/>
    </row>
    <row r="15244" spans="1:1" s="427" customFormat="1" ht="12" hidden="1" customHeight="1">
      <c r="A15244" s="426"/>
    </row>
    <row r="15245" spans="1:1" s="427" customFormat="1" ht="12" hidden="1" customHeight="1">
      <c r="A15245" s="426"/>
    </row>
    <row r="15246" spans="1:1" s="427" customFormat="1" ht="12" hidden="1" customHeight="1">
      <c r="A15246" s="426"/>
    </row>
    <row r="15247" spans="1:1" s="427" customFormat="1" ht="12" hidden="1" customHeight="1">
      <c r="A15247" s="426"/>
    </row>
    <row r="15248" spans="1:1" s="427" customFormat="1" ht="12" hidden="1" customHeight="1">
      <c r="A15248" s="426"/>
    </row>
    <row r="15249" spans="1:1" s="427" customFormat="1" ht="12" hidden="1" customHeight="1">
      <c r="A15249" s="426"/>
    </row>
    <row r="15250" spans="1:1" s="427" customFormat="1" ht="12" hidden="1" customHeight="1">
      <c r="A15250" s="426"/>
    </row>
    <row r="15251" spans="1:1" s="427" customFormat="1" ht="12" hidden="1" customHeight="1">
      <c r="A15251" s="426"/>
    </row>
    <row r="15252" spans="1:1" s="427" customFormat="1" ht="12" hidden="1" customHeight="1">
      <c r="A15252" s="426"/>
    </row>
    <row r="15253" spans="1:1" s="427" customFormat="1" ht="12" hidden="1" customHeight="1">
      <c r="A15253" s="426"/>
    </row>
    <row r="15254" spans="1:1" s="427" customFormat="1" ht="12" hidden="1" customHeight="1">
      <c r="A15254" s="426"/>
    </row>
    <row r="15255" spans="1:1" s="427" customFormat="1" ht="12" hidden="1" customHeight="1">
      <c r="A15255" s="426"/>
    </row>
    <row r="15256" spans="1:1" s="427" customFormat="1" ht="12" hidden="1" customHeight="1">
      <c r="A15256" s="426"/>
    </row>
    <row r="15257" spans="1:1" s="427" customFormat="1" ht="12" hidden="1" customHeight="1">
      <c r="A15257" s="426"/>
    </row>
    <row r="15258" spans="1:1" s="427" customFormat="1" ht="12" hidden="1" customHeight="1">
      <c r="A15258" s="426"/>
    </row>
    <row r="15259" spans="1:1" s="427" customFormat="1" ht="12" hidden="1" customHeight="1">
      <c r="A15259" s="426"/>
    </row>
    <row r="15260" spans="1:1" s="427" customFormat="1" ht="12" hidden="1" customHeight="1">
      <c r="A15260" s="426"/>
    </row>
    <row r="15261" spans="1:1" s="427" customFormat="1" ht="12" hidden="1" customHeight="1">
      <c r="A15261" s="426"/>
    </row>
    <row r="15262" spans="1:1" s="427" customFormat="1" ht="12" hidden="1" customHeight="1">
      <c r="A15262" s="426"/>
    </row>
    <row r="15263" spans="1:1" s="427" customFormat="1" ht="12" hidden="1" customHeight="1">
      <c r="A15263" s="426"/>
    </row>
    <row r="15264" spans="1:1" s="427" customFormat="1" ht="12" hidden="1" customHeight="1">
      <c r="A15264" s="426"/>
    </row>
    <row r="15265" spans="1:1" s="427" customFormat="1" ht="12" hidden="1" customHeight="1">
      <c r="A15265" s="426"/>
    </row>
    <row r="15266" spans="1:1" s="427" customFormat="1" ht="12" hidden="1" customHeight="1">
      <c r="A15266" s="426"/>
    </row>
    <row r="15267" spans="1:1" s="427" customFormat="1" ht="12" hidden="1" customHeight="1">
      <c r="A15267" s="426"/>
    </row>
    <row r="15268" spans="1:1" s="427" customFormat="1" ht="12" hidden="1" customHeight="1">
      <c r="A15268" s="426"/>
    </row>
    <row r="15269" spans="1:1" s="427" customFormat="1" ht="12" hidden="1" customHeight="1">
      <c r="A15269" s="426"/>
    </row>
    <row r="15270" spans="1:1" s="427" customFormat="1" ht="12" hidden="1" customHeight="1">
      <c r="A15270" s="426"/>
    </row>
    <row r="15271" spans="1:1" s="427" customFormat="1" ht="12" hidden="1" customHeight="1">
      <c r="A15271" s="426"/>
    </row>
    <row r="15272" spans="1:1" s="427" customFormat="1" ht="12" hidden="1" customHeight="1">
      <c r="A15272" s="426"/>
    </row>
    <row r="15273" spans="1:1" s="427" customFormat="1" ht="12" hidden="1" customHeight="1">
      <c r="A15273" s="426"/>
    </row>
    <row r="15274" spans="1:1" s="427" customFormat="1" ht="12" hidden="1" customHeight="1">
      <c r="A15274" s="426"/>
    </row>
    <row r="15275" spans="1:1" s="427" customFormat="1" ht="12" hidden="1" customHeight="1">
      <c r="A15275" s="426"/>
    </row>
    <row r="15276" spans="1:1" s="427" customFormat="1" ht="12" hidden="1" customHeight="1">
      <c r="A15276" s="426"/>
    </row>
    <row r="15277" spans="1:1" s="427" customFormat="1" ht="12" hidden="1" customHeight="1">
      <c r="A15277" s="426"/>
    </row>
    <row r="15278" spans="1:1" s="427" customFormat="1" ht="12" hidden="1" customHeight="1">
      <c r="A15278" s="426"/>
    </row>
    <row r="15279" spans="1:1" s="427" customFormat="1" ht="12" hidden="1" customHeight="1">
      <c r="A15279" s="426"/>
    </row>
    <row r="15280" spans="1:1" s="427" customFormat="1" ht="12" hidden="1" customHeight="1">
      <c r="A15280" s="426"/>
    </row>
    <row r="15281" spans="1:1" s="427" customFormat="1" ht="12" hidden="1" customHeight="1">
      <c r="A15281" s="426"/>
    </row>
    <row r="15282" spans="1:1" s="427" customFormat="1" ht="12" hidden="1" customHeight="1">
      <c r="A15282" s="426"/>
    </row>
    <row r="15283" spans="1:1" s="427" customFormat="1" ht="12" hidden="1" customHeight="1">
      <c r="A15283" s="426"/>
    </row>
    <row r="15284" spans="1:1" s="427" customFormat="1" ht="12" hidden="1" customHeight="1">
      <c r="A15284" s="426"/>
    </row>
    <row r="15285" spans="1:1" s="427" customFormat="1" ht="12" hidden="1" customHeight="1">
      <c r="A15285" s="426"/>
    </row>
    <row r="15286" spans="1:1" s="427" customFormat="1" ht="12" hidden="1" customHeight="1">
      <c r="A15286" s="426"/>
    </row>
    <row r="15287" spans="1:1" s="427" customFormat="1" ht="12" hidden="1" customHeight="1">
      <c r="A15287" s="426"/>
    </row>
    <row r="15288" spans="1:1" s="427" customFormat="1" ht="12" hidden="1" customHeight="1">
      <c r="A15288" s="426"/>
    </row>
    <row r="15289" spans="1:1" s="427" customFormat="1" ht="12" hidden="1" customHeight="1">
      <c r="A15289" s="426"/>
    </row>
    <row r="15290" spans="1:1" s="427" customFormat="1" ht="12" hidden="1" customHeight="1">
      <c r="A15290" s="426"/>
    </row>
    <row r="15291" spans="1:1" s="427" customFormat="1" ht="12" hidden="1" customHeight="1">
      <c r="A15291" s="426"/>
    </row>
    <row r="15292" spans="1:1" s="427" customFormat="1" ht="12" hidden="1" customHeight="1">
      <c r="A15292" s="426"/>
    </row>
    <row r="15293" spans="1:1" s="427" customFormat="1" ht="12" hidden="1" customHeight="1">
      <c r="A15293" s="426"/>
    </row>
    <row r="15294" spans="1:1" s="427" customFormat="1" ht="12" hidden="1" customHeight="1">
      <c r="A15294" s="426"/>
    </row>
    <row r="15295" spans="1:1" s="427" customFormat="1" ht="12" hidden="1" customHeight="1">
      <c r="A15295" s="426"/>
    </row>
    <row r="15296" spans="1:1" s="427" customFormat="1" ht="12" hidden="1" customHeight="1">
      <c r="A15296" s="426"/>
    </row>
    <row r="15297" spans="1:1" s="427" customFormat="1" ht="12" hidden="1" customHeight="1">
      <c r="A15297" s="426"/>
    </row>
    <row r="15298" spans="1:1" s="427" customFormat="1" ht="12" hidden="1" customHeight="1">
      <c r="A15298" s="426"/>
    </row>
    <row r="15299" spans="1:1" s="427" customFormat="1" ht="12" hidden="1" customHeight="1">
      <c r="A15299" s="426"/>
    </row>
    <row r="15300" spans="1:1" s="427" customFormat="1" ht="12" hidden="1" customHeight="1">
      <c r="A15300" s="426"/>
    </row>
    <row r="15301" spans="1:1" s="427" customFormat="1" ht="12" hidden="1" customHeight="1">
      <c r="A15301" s="426"/>
    </row>
    <row r="15302" spans="1:1" s="427" customFormat="1" ht="12" hidden="1" customHeight="1">
      <c r="A15302" s="426"/>
    </row>
    <row r="15303" spans="1:1" s="427" customFormat="1" ht="12" hidden="1" customHeight="1">
      <c r="A15303" s="426"/>
    </row>
    <row r="15304" spans="1:1" s="427" customFormat="1" ht="12" hidden="1" customHeight="1">
      <c r="A15304" s="426"/>
    </row>
    <row r="15305" spans="1:1" s="427" customFormat="1" ht="12" hidden="1" customHeight="1">
      <c r="A15305" s="426"/>
    </row>
    <row r="15306" spans="1:1" s="427" customFormat="1" ht="12" hidden="1" customHeight="1">
      <c r="A15306" s="426"/>
    </row>
    <row r="15307" spans="1:1" s="427" customFormat="1" ht="12" hidden="1" customHeight="1">
      <c r="A15307" s="426"/>
    </row>
    <row r="15308" spans="1:1" s="427" customFormat="1" ht="12" hidden="1" customHeight="1">
      <c r="A15308" s="426"/>
    </row>
    <row r="15309" spans="1:1" s="427" customFormat="1" ht="12" hidden="1" customHeight="1">
      <c r="A15309" s="426"/>
    </row>
    <row r="15310" spans="1:1" s="427" customFormat="1" ht="12" hidden="1" customHeight="1">
      <c r="A15310" s="426"/>
    </row>
    <row r="15311" spans="1:1" s="427" customFormat="1" ht="12" hidden="1" customHeight="1">
      <c r="A15311" s="426"/>
    </row>
    <row r="15312" spans="1:1" s="427" customFormat="1" ht="12" hidden="1" customHeight="1">
      <c r="A15312" s="426"/>
    </row>
    <row r="15313" spans="1:1" s="427" customFormat="1" ht="12" hidden="1" customHeight="1">
      <c r="A15313" s="426"/>
    </row>
    <row r="15314" spans="1:1" s="427" customFormat="1" ht="12" hidden="1" customHeight="1">
      <c r="A15314" s="426"/>
    </row>
    <row r="15315" spans="1:1" s="427" customFormat="1" ht="12" hidden="1" customHeight="1">
      <c r="A15315" s="426"/>
    </row>
    <row r="15316" spans="1:1" s="427" customFormat="1" ht="12" hidden="1" customHeight="1">
      <c r="A15316" s="426"/>
    </row>
    <row r="15317" spans="1:1" s="427" customFormat="1" ht="12" hidden="1" customHeight="1">
      <c r="A15317" s="426"/>
    </row>
    <row r="15318" spans="1:1" s="427" customFormat="1" ht="12" hidden="1" customHeight="1">
      <c r="A15318" s="426"/>
    </row>
    <row r="15319" spans="1:1" s="427" customFormat="1" ht="12" hidden="1" customHeight="1">
      <c r="A15319" s="426"/>
    </row>
    <row r="15320" spans="1:1" s="427" customFormat="1" ht="12" hidden="1" customHeight="1">
      <c r="A15320" s="426"/>
    </row>
    <row r="15321" spans="1:1" s="427" customFormat="1" ht="12" hidden="1" customHeight="1">
      <c r="A15321" s="426"/>
    </row>
    <row r="15322" spans="1:1" s="427" customFormat="1" ht="12" hidden="1" customHeight="1">
      <c r="A15322" s="426"/>
    </row>
    <row r="15323" spans="1:1" s="427" customFormat="1" ht="12" hidden="1" customHeight="1">
      <c r="A15323" s="426"/>
    </row>
    <row r="15324" spans="1:1" s="427" customFormat="1" ht="12" hidden="1" customHeight="1">
      <c r="A15324" s="426"/>
    </row>
    <row r="15325" spans="1:1" s="427" customFormat="1" ht="12" hidden="1" customHeight="1">
      <c r="A15325" s="426"/>
    </row>
    <row r="15326" spans="1:1" s="427" customFormat="1" ht="12" hidden="1" customHeight="1">
      <c r="A15326" s="426"/>
    </row>
    <row r="15327" spans="1:1" s="427" customFormat="1" ht="12" hidden="1" customHeight="1">
      <c r="A15327" s="426"/>
    </row>
    <row r="15328" spans="1:1" s="427" customFormat="1" ht="12" hidden="1" customHeight="1">
      <c r="A15328" s="426"/>
    </row>
    <row r="15329" spans="1:1" s="427" customFormat="1" ht="12" hidden="1" customHeight="1">
      <c r="A15329" s="426"/>
    </row>
    <row r="15330" spans="1:1" s="427" customFormat="1" ht="12" hidden="1" customHeight="1">
      <c r="A15330" s="426"/>
    </row>
    <row r="15331" spans="1:1" s="427" customFormat="1" ht="12" hidden="1" customHeight="1">
      <c r="A15331" s="426"/>
    </row>
    <row r="15332" spans="1:1" s="427" customFormat="1" ht="12" hidden="1" customHeight="1">
      <c r="A15332" s="426"/>
    </row>
    <row r="15333" spans="1:1" s="427" customFormat="1" ht="12" hidden="1" customHeight="1">
      <c r="A15333" s="426"/>
    </row>
    <row r="15334" spans="1:1" s="427" customFormat="1" ht="12" hidden="1" customHeight="1">
      <c r="A15334" s="426"/>
    </row>
    <row r="15335" spans="1:1" s="427" customFormat="1" ht="12" hidden="1" customHeight="1">
      <c r="A15335" s="426"/>
    </row>
    <row r="15336" spans="1:1" s="427" customFormat="1" ht="12" hidden="1" customHeight="1">
      <c r="A15336" s="426"/>
    </row>
    <row r="15337" spans="1:1" s="427" customFormat="1" ht="12" hidden="1" customHeight="1">
      <c r="A15337" s="426"/>
    </row>
    <row r="15338" spans="1:1" s="427" customFormat="1" ht="12" hidden="1" customHeight="1">
      <c r="A15338" s="426"/>
    </row>
    <row r="15339" spans="1:1" s="427" customFormat="1" ht="12" hidden="1" customHeight="1">
      <c r="A15339" s="426"/>
    </row>
    <row r="15340" spans="1:1" s="427" customFormat="1" ht="12" hidden="1" customHeight="1">
      <c r="A15340" s="426"/>
    </row>
    <row r="15341" spans="1:1" s="427" customFormat="1" ht="12" hidden="1" customHeight="1">
      <c r="A15341" s="426"/>
    </row>
    <row r="15342" spans="1:1" s="427" customFormat="1" ht="12" hidden="1" customHeight="1">
      <c r="A15342" s="426"/>
    </row>
    <row r="15343" spans="1:1" s="427" customFormat="1" ht="12" hidden="1" customHeight="1">
      <c r="A15343" s="426"/>
    </row>
    <row r="15344" spans="1:1" s="427" customFormat="1" ht="12" hidden="1" customHeight="1">
      <c r="A15344" s="426"/>
    </row>
    <row r="15345" spans="1:1" s="427" customFormat="1" ht="12" hidden="1" customHeight="1">
      <c r="A15345" s="426"/>
    </row>
    <row r="15346" spans="1:1" s="427" customFormat="1" ht="12" hidden="1" customHeight="1">
      <c r="A15346" s="426"/>
    </row>
    <row r="15347" spans="1:1" s="427" customFormat="1" ht="12" hidden="1" customHeight="1">
      <c r="A15347" s="426"/>
    </row>
    <row r="15348" spans="1:1" s="427" customFormat="1" ht="12" hidden="1" customHeight="1">
      <c r="A15348" s="426"/>
    </row>
    <row r="15349" spans="1:1" s="427" customFormat="1" ht="12" hidden="1" customHeight="1">
      <c r="A15349" s="426"/>
    </row>
    <row r="15350" spans="1:1" s="427" customFormat="1" ht="12" hidden="1" customHeight="1">
      <c r="A15350" s="426"/>
    </row>
    <row r="15351" spans="1:1" s="427" customFormat="1" ht="12" hidden="1" customHeight="1">
      <c r="A15351" s="426"/>
    </row>
    <row r="15352" spans="1:1" s="427" customFormat="1" ht="12" hidden="1" customHeight="1">
      <c r="A15352" s="426"/>
    </row>
    <row r="15353" spans="1:1" s="427" customFormat="1" ht="12" hidden="1" customHeight="1">
      <c r="A15353" s="426"/>
    </row>
    <row r="15354" spans="1:1" s="427" customFormat="1" ht="12" hidden="1" customHeight="1">
      <c r="A15354" s="426"/>
    </row>
    <row r="15355" spans="1:1" s="427" customFormat="1" ht="12" hidden="1" customHeight="1">
      <c r="A15355" s="426"/>
    </row>
    <row r="15356" spans="1:1" s="427" customFormat="1" ht="12" hidden="1" customHeight="1">
      <c r="A15356" s="426"/>
    </row>
    <row r="15357" spans="1:1" s="427" customFormat="1" ht="12" hidden="1" customHeight="1">
      <c r="A15357" s="426"/>
    </row>
    <row r="15358" spans="1:1" s="427" customFormat="1" ht="12" hidden="1" customHeight="1">
      <c r="A15358" s="426"/>
    </row>
    <row r="15359" spans="1:1" s="427" customFormat="1" ht="12" hidden="1" customHeight="1">
      <c r="A15359" s="426"/>
    </row>
    <row r="15360" spans="1:1" s="427" customFormat="1" ht="12" hidden="1" customHeight="1">
      <c r="A15360" s="426"/>
    </row>
    <row r="15361" spans="1:1" s="427" customFormat="1" ht="12" hidden="1" customHeight="1">
      <c r="A15361" s="426"/>
    </row>
    <row r="15362" spans="1:1" s="427" customFormat="1" ht="12" hidden="1" customHeight="1">
      <c r="A15362" s="426"/>
    </row>
    <row r="15363" spans="1:1" s="427" customFormat="1" ht="12" hidden="1" customHeight="1">
      <c r="A15363" s="426"/>
    </row>
    <row r="15364" spans="1:1" s="427" customFormat="1" ht="12" hidden="1" customHeight="1">
      <c r="A15364" s="426"/>
    </row>
    <row r="15365" spans="1:1" s="427" customFormat="1" ht="12" hidden="1" customHeight="1">
      <c r="A15365" s="426"/>
    </row>
    <row r="15366" spans="1:1" s="427" customFormat="1" ht="12" hidden="1" customHeight="1">
      <c r="A15366" s="426"/>
    </row>
    <row r="15367" spans="1:1" s="427" customFormat="1" ht="12" hidden="1" customHeight="1">
      <c r="A15367" s="426"/>
    </row>
    <row r="15368" spans="1:1" s="427" customFormat="1" ht="12" hidden="1" customHeight="1">
      <c r="A15368" s="426"/>
    </row>
    <row r="15369" spans="1:1" s="427" customFormat="1" ht="12" hidden="1" customHeight="1">
      <c r="A15369" s="426"/>
    </row>
    <row r="15370" spans="1:1" s="427" customFormat="1" ht="12" hidden="1" customHeight="1">
      <c r="A15370" s="426"/>
    </row>
    <row r="15371" spans="1:1" s="427" customFormat="1" ht="12" hidden="1" customHeight="1">
      <c r="A15371" s="426"/>
    </row>
    <row r="15372" spans="1:1" s="427" customFormat="1" ht="12" hidden="1" customHeight="1">
      <c r="A15372" s="426"/>
    </row>
    <row r="15373" spans="1:1" s="427" customFormat="1" ht="12" hidden="1" customHeight="1">
      <c r="A15373" s="426"/>
    </row>
    <row r="15374" spans="1:1" s="427" customFormat="1" ht="12" hidden="1" customHeight="1">
      <c r="A15374" s="426"/>
    </row>
    <row r="15375" spans="1:1" s="427" customFormat="1" ht="12" hidden="1" customHeight="1">
      <c r="A15375" s="426"/>
    </row>
    <row r="15376" spans="1:1" s="427" customFormat="1" ht="12" hidden="1" customHeight="1">
      <c r="A15376" s="426"/>
    </row>
    <row r="15377" spans="1:1" s="427" customFormat="1" ht="12" hidden="1" customHeight="1">
      <c r="A15377" s="426"/>
    </row>
    <row r="15378" spans="1:1" s="427" customFormat="1" ht="12" hidden="1" customHeight="1">
      <c r="A15378" s="426"/>
    </row>
    <row r="15379" spans="1:1" s="427" customFormat="1" ht="12" hidden="1" customHeight="1">
      <c r="A15379" s="426"/>
    </row>
    <row r="15380" spans="1:1" s="427" customFormat="1" ht="12" hidden="1" customHeight="1">
      <c r="A15380" s="426"/>
    </row>
    <row r="15381" spans="1:1" s="427" customFormat="1" ht="12" hidden="1" customHeight="1">
      <c r="A15381" s="426"/>
    </row>
    <row r="15382" spans="1:1" s="427" customFormat="1" ht="12" hidden="1" customHeight="1">
      <c r="A15382" s="426"/>
    </row>
    <row r="15383" spans="1:1" s="427" customFormat="1" ht="12" hidden="1" customHeight="1">
      <c r="A15383" s="426"/>
    </row>
    <row r="15384" spans="1:1" s="427" customFormat="1" ht="12" hidden="1" customHeight="1">
      <c r="A15384" s="426"/>
    </row>
    <row r="15385" spans="1:1" s="427" customFormat="1" ht="12" hidden="1" customHeight="1">
      <c r="A15385" s="426"/>
    </row>
    <row r="15386" spans="1:1" s="427" customFormat="1" ht="12" hidden="1" customHeight="1">
      <c r="A15386" s="426"/>
    </row>
    <row r="15387" spans="1:1" s="427" customFormat="1" ht="12" hidden="1" customHeight="1">
      <c r="A15387" s="426"/>
    </row>
    <row r="15388" spans="1:1" s="427" customFormat="1" ht="12" hidden="1" customHeight="1">
      <c r="A15388" s="426"/>
    </row>
    <row r="15389" spans="1:1" s="427" customFormat="1" ht="12" hidden="1" customHeight="1">
      <c r="A15389" s="426"/>
    </row>
    <row r="15390" spans="1:1" s="427" customFormat="1" ht="12" hidden="1" customHeight="1">
      <c r="A15390" s="426"/>
    </row>
    <row r="15391" spans="1:1" s="427" customFormat="1" ht="12" hidden="1" customHeight="1">
      <c r="A15391" s="426"/>
    </row>
    <row r="15392" spans="1:1" s="427" customFormat="1" ht="12" hidden="1" customHeight="1">
      <c r="A15392" s="426"/>
    </row>
    <row r="15393" spans="1:1" s="427" customFormat="1" ht="12" hidden="1" customHeight="1">
      <c r="A15393" s="426"/>
    </row>
    <row r="15394" spans="1:1" s="427" customFormat="1" ht="12" hidden="1" customHeight="1">
      <c r="A15394" s="426"/>
    </row>
    <row r="15395" spans="1:1" s="427" customFormat="1" ht="12" hidden="1" customHeight="1">
      <c r="A15395" s="426"/>
    </row>
    <row r="15396" spans="1:1" s="427" customFormat="1" ht="12" hidden="1" customHeight="1">
      <c r="A15396" s="426"/>
    </row>
    <row r="15397" spans="1:1" s="427" customFormat="1" ht="12" hidden="1" customHeight="1">
      <c r="A15397" s="426"/>
    </row>
    <row r="15398" spans="1:1" s="427" customFormat="1" ht="12" hidden="1" customHeight="1">
      <c r="A15398" s="426"/>
    </row>
    <row r="15399" spans="1:1" s="427" customFormat="1" ht="12" hidden="1" customHeight="1">
      <c r="A15399" s="426"/>
    </row>
    <row r="15400" spans="1:1" s="427" customFormat="1" ht="12" hidden="1" customHeight="1">
      <c r="A15400" s="426"/>
    </row>
    <row r="15401" spans="1:1" s="427" customFormat="1" ht="12" hidden="1" customHeight="1">
      <c r="A15401" s="426"/>
    </row>
    <row r="15402" spans="1:1" s="427" customFormat="1" ht="12" hidden="1" customHeight="1">
      <c r="A15402" s="426"/>
    </row>
    <row r="15403" spans="1:1" s="427" customFormat="1" ht="12" hidden="1" customHeight="1">
      <c r="A15403" s="426"/>
    </row>
    <row r="15404" spans="1:1" s="427" customFormat="1" ht="12" hidden="1" customHeight="1">
      <c r="A15404" s="426"/>
    </row>
    <row r="15405" spans="1:1" s="427" customFormat="1" ht="12" hidden="1" customHeight="1">
      <c r="A15405" s="426"/>
    </row>
    <row r="15406" spans="1:1" s="427" customFormat="1" ht="12" hidden="1" customHeight="1">
      <c r="A15406" s="426"/>
    </row>
    <row r="15407" spans="1:1" s="427" customFormat="1" ht="12" hidden="1" customHeight="1">
      <c r="A15407" s="426"/>
    </row>
    <row r="15408" spans="1:1" s="427" customFormat="1" ht="12" hidden="1" customHeight="1">
      <c r="A15408" s="426"/>
    </row>
    <row r="15409" spans="1:1" s="427" customFormat="1" ht="12" hidden="1" customHeight="1">
      <c r="A15409" s="426"/>
    </row>
    <row r="15410" spans="1:1" s="427" customFormat="1" ht="12" hidden="1" customHeight="1">
      <c r="A15410" s="426"/>
    </row>
    <row r="15411" spans="1:1" s="427" customFormat="1" ht="12" hidden="1" customHeight="1">
      <c r="A15411" s="426"/>
    </row>
    <row r="15412" spans="1:1" s="427" customFormat="1" ht="12" hidden="1" customHeight="1">
      <c r="A15412" s="426"/>
    </row>
    <row r="15413" spans="1:1" s="427" customFormat="1" ht="12" hidden="1" customHeight="1">
      <c r="A15413" s="426"/>
    </row>
    <row r="15414" spans="1:1" s="427" customFormat="1" ht="12" hidden="1" customHeight="1">
      <c r="A15414" s="426"/>
    </row>
    <row r="15415" spans="1:1" s="427" customFormat="1" ht="12" hidden="1" customHeight="1">
      <c r="A15415" s="426"/>
    </row>
    <row r="15416" spans="1:1" s="427" customFormat="1" ht="12" hidden="1" customHeight="1">
      <c r="A15416" s="426"/>
    </row>
    <row r="15417" spans="1:1" s="427" customFormat="1" ht="12" hidden="1" customHeight="1">
      <c r="A15417" s="426"/>
    </row>
    <row r="15418" spans="1:1" s="427" customFormat="1" ht="12" hidden="1" customHeight="1">
      <c r="A15418" s="426"/>
    </row>
    <row r="15419" spans="1:1" s="427" customFormat="1" ht="12" hidden="1" customHeight="1">
      <c r="A15419" s="426"/>
    </row>
    <row r="15420" spans="1:1" s="427" customFormat="1" ht="12" hidden="1" customHeight="1">
      <c r="A15420" s="426"/>
    </row>
    <row r="15421" spans="1:1" s="427" customFormat="1" ht="12" hidden="1" customHeight="1">
      <c r="A15421" s="426"/>
    </row>
    <row r="15422" spans="1:1" s="427" customFormat="1" ht="12" hidden="1" customHeight="1">
      <c r="A15422" s="426"/>
    </row>
    <row r="15423" spans="1:1" s="427" customFormat="1" ht="12" hidden="1" customHeight="1">
      <c r="A15423" s="426"/>
    </row>
    <row r="15424" spans="1:1" s="427" customFormat="1" ht="12" hidden="1" customHeight="1">
      <c r="A15424" s="426"/>
    </row>
    <row r="15425" spans="1:1" s="427" customFormat="1" ht="12" hidden="1" customHeight="1">
      <c r="A15425" s="426"/>
    </row>
    <row r="15426" spans="1:1" s="427" customFormat="1" ht="12" hidden="1" customHeight="1">
      <c r="A15426" s="426"/>
    </row>
    <row r="15427" spans="1:1" s="427" customFormat="1" ht="12" hidden="1" customHeight="1">
      <c r="A15427" s="426"/>
    </row>
    <row r="15428" spans="1:1" s="427" customFormat="1" ht="12" hidden="1" customHeight="1">
      <c r="A15428" s="426"/>
    </row>
    <row r="15429" spans="1:1" s="427" customFormat="1" ht="12" hidden="1" customHeight="1">
      <c r="A15429" s="426"/>
    </row>
    <row r="15430" spans="1:1" s="427" customFormat="1" ht="12" hidden="1" customHeight="1">
      <c r="A15430" s="426"/>
    </row>
    <row r="15431" spans="1:1" s="427" customFormat="1" ht="12" hidden="1" customHeight="1">
      <c r="A15431" s="426"/>
    </row>
    <row r="15432" spans="1:1" s="427" customFormat="1" ht="12" hidden="1" customHeight="1">
      <c r="A15432" s="426"/>
    </row>
    <row r="15433" spans="1:1" s="427" customFormat="1" ht="12" hidden="1" customHeight="1">
      <c r="A15433" s="426"/>
    </row>
    <row r="15434" spans="1:1" s="427" customFormat="1" ht="12" hidden="1" customHeight="1">
      <c r="A15434" s="426"/>
    </row>
    <row r="15435" spans="1:1" s="427" customFormat="1" ht="12" hidden="1" customHeight="1">
      <c r="A15435" s="426"/>
    </row>
    <row r="15436" spans="1:1" s="427" customFormat="1" ht="12" hidden="1" customHeight="1">
      <c r="A15436" s="426"/>
    </row>
    <row r="15437" spans="1:1" s="427" customFormat="1" ht="12" hidden="1" customHeight="1">
      <c r="A15437" s="426"/>
    </row>
    <row r="15438" spans="1:1" s="427" customFormat="1" ht="12" hidden="1" customHeight="1">
      <c r="A15438" s="426"/>
    </row>
    <row r="15439" spans="1:1" s="427" customFormat="1" ht="12" hidden="1" customHeight="1">
      <c r="A15439" s="426"/>
    </row>
    <row r="15440" spans="1:1" s="427" customFormat="1" ht="12" hidden="1" customHeight="1">
      <c r="A15440" s="426"/>
    </row>
    <row r="15441" spans="1:1" s="427" customFormat="1" ht="12" hidden="1" customHeight="1">
      <c r="A15441" s="426"/>
    </row>
    <row r="15442" spans="1:1" s="427" customFormat="1" ht="12" hidden="1" customHeight="1">
      <c r="A15442" s="426"/>
    </row>
    <row r="15443" spans="1:1" s="427" customFormat="1" ht="12" hidden="1" customHeight="1">
      <c r="A15443" s="426"/>
    </row>
    <row r="15444" spans="1:1" s="427" customFormat="1" ht="12" hidden="1" customHeight="1">
      <c r="A15444" s="426"/>
    </row>
    <row r="15445" spans="1:1" s="427" customFormat="1" ht="12" hidden="1" customHeight="1">
      <c r="A15445" s="426"/>
    </row>
    <row r="15446" spans="1:1" s="427" customFormat="1" ht="12" hidden="1" customHeight="1">
      <c r="A15446" s="426"/>
    </row>
    <row r="15447" spans="1:1" s="427" customFormat="1" ht="12" hidden="1" customHeight="1">
      <c r="A15447" s="426"/>
    </row>
    <row r="15448" spans="1:1" s="427" customFormat="1" ht="12" hidden="1" customHeight="1">
      <c r="A15448" s="426"/>
    </row>
    <row r="15449" spans="1:1" s="427" customFormat="1" ht="12" hidden="1" customHeight="1">
      <c r="A15449" s="426"/>
    </row>
    <row r="15450" spans="1:1" s="427" customFormat="1" ht="12" hidden="1" customHeight="1">
      <c r="A15450" s="426"/>
    </row>
    <row r="15451" spans="1:1" s="427" customFormat="1" ht="12" hidden="1" customHeight="1">
      <c r="A15451" s="426"/>
    </row>
    <row r="15452" spans="1:1" s="427" customFormat="1" ht="12" hidden="1" customHeight="1">
      <c r="A15452" s="426"/>
    </row>
    <row r="15453" spans="1:1" s="427" customFormat="1" ht="12" hidden="1" customHeight="1">
      <c r="A15453" s="426"/>
    </row>
    <row r="15454" spans="1:1" s="427" customFormat="1" ht="12" hidden="1" customHeight="1">
      <c r="A15454" s="426"/>
    </row>
    <row r="15455" spans="1:1" s="427" customFormat="1" ht="12" hidden="1" customHeight="1">
      <c r="A15455" s="426"/>
    </row>
    <row r="15456" spans="1:1" s="427" customFormat="1" ht="12" hidden="1" customHeight="1">
      <c r="A15456" s="426"/>
    </row>
    <row r="15457" spans="1:1" s="427" customFormat="1" ht="12" hidden="1" customHeight="1">
      <c r="A15457" s="426"/>
    </row>
    <row r="15458" spans="1:1" s="427" customFormat="1" ht="12" hidden="1" customHeight="1">
      <c r="A15458" s="426"/>
    </row>
    <row r="15459" spans="1:1" s="427" customFormat="1" ht="12" hidden="1" customHeight="1">
      <c r="A15459" s="426"/>
    </row>
    <row r="15460" spans="1:1" s="427" customFormat="1" ht="12" hidden="1" customHeight="1">
      <c r="A15460" s="426"/>
    </row>
    <row r="15461" spans="1:1" s="427" customFormat="1" ht="12" hidden="1" customHeight="1">
      <c r="A15461" s="426"/>
    </row>
    <row r="15462" spans="1:1" s="427" customFormat="1" ht="12" hidden="1" customHeight="1">
      <c r="A15462" s="426"/>
    </row>
    <row r="15463" spans="1:1" s="427" customFormat="1" ht="12" hidden="1" customHeight="1">
      <c r="A15463" s="426"/>
    </row>
    <row r="15464" spans="1:1" s="427" customFormat="1" ht="12" hidden="1" customHeight="1">
      <c r="A15464" s="426"/>
    </row>
    <row r="15465" spans="1:1" s="427" customFormat="1" ht="12" hidden="1" customHeight="1">
      <c r="A15465" s="426"/>
    </row>
    <row r="15466" spans="1:1" s="427" customFormat="1" ht="12" hidden="1" customHeight="1">
      <c r="A15466" s="426"/>
    </row>
    <row r="15467" spans="1:1" s="427" customFormat="1" ht="12" hidden="1" customHeight="1">
      <c r="A15467" s="426"/>
    </row>
    <row r="15468" spans="1:1" s="427" customFormat="1" ht="12" hidden="1" customHeight="1">
      <c r="A15468" s="426"/>
    </row>
    <row r="15469" spans="1:1" s="427" customFormat="1" ht="12" hidden="1" customHeight="1">
      <c r="A15469" s="426"/>
    </row>
    <row r="15470" spans="1:1" s="427" customFormat="1" ht="12" hidden="1" customHeight="1">
      <c r="A15470" s="426"/>
    </row>
    <row r="15471" spans="1:1" s="427" customFormat="1" ht="12" hidden="1" customHeight="1">
      <c r="A15471" s="426"/>
    </row>
    <row r="15472" spans="1:1" s="427" customFormat="1" ht="12" hidden="1" customHeight="1">
      <c r="A15472" s="426"/>
    </row>
    <row r="15473" spans="1:1" s="427" customFormat="1" ht="12" hidden="1" customHeight="1">
      <c r="A15473" s="426"/>
    </row>
    <row r="15474" spans="1:1" s="427" customFormat="1" ht="12" hidden="1" customHeight="1">
      <c r="A15474" s="426"/>
    </row>
    <row r="15475" spans="1:1" s="427" customFormat="1" ht="12" hidden="1" customHeight="1">
      <c r="A15475" s="426"/>
    </row>
    <row r="15476" spans="1:1" s="427" customFormat="1" ht="12" hidden="1" customHeight="1">
      <c r="A15476" s="426"/>
    </row>
    <row r="15477" spans="1:1" s="427" customFormat="1" ht="12" hidden="1" customHeight="1">
      <c r="A15477" s="426"/>
    </row>
    <row r="15478" spans="1:1" s="427" customFormat="1" ht="12" hidden="1" customHeight="1">
      <c r="A15478" s="426"/>
    </row>
    <row r="15479" spans="1:1" s="427" customFormat="1" ht="12" hidden="1" customHeight="1">
      <c r="A15479" s="426"/>
    </row>
    <row r="15480" spans="1:1" s="427" customFormat="1" ht="12" hidden="1" customHeight="1">
      <c r="A15480" s="426"/>
    </row>
    <row r="15481" spans="1:1" s="427" customFormat="1" ht="12" hidden="1" customHeight="1">
      <c r="A15481" s="426"/>
    </row>
    <row r="15482" spans="1:1" s="427" customFormat="1" ht="12" hidden="1" customHeight="1">
      <c r="A15482" s="426"/>
    </row>
    <row r="15483" spans="1:1" s="427" customFormat="1" ht="12" hidden="1" customHeight="1">
      <c r="A15483" s="426"/>
    </row>
    <row r="15484" spans="1:1" s="427" customFormat="1" ht="12" hidden="1" customHeight="1">
      <c r="A15484" s="426"/>
    </row>
    <row r="15485" spans="1:1" s="427" customFormat="1" ht="12" hidden="1" customHeight="1">
      <c r="A15485" s="426"/>
    </row>
    <row r="15486" spans="1:1" s="427" customFormat="1" ht="12" hidden="1" customHeight="1">
      <c r="A15486" s="426"/>
    </row>
    <row r="15487" spans="1:1" s="427" customFormat="1" ht="12" hidden="1" customHeight="1">
      <c r="A15487" s="426"/>
    </row>
    <row r="15488" spans="1:1" s="427" customFormat="1" ht="12" hidden="1" customHeight="1">
      <c r="A15488" s="426"/>
    </row>
    <row r="15489" spans="1:1" s="427" customFormat="1" ht="12" hidden="1" customHeight="1">
      <c r="A15489" s="426"/>
    </row>
    <row r="15490" spans="1:1" s="427" customFormat="1" ht="12" hidden="1" customHeight="1">
      <c r="A15490" s="426"/>
    </row>
    <row r="15491" spans="1:1" s="427" customFormat="1" ht="12" hidden="1" customHeight="1">
      <c r="A15491" s="426"/>
    </row>
    <row r="15492" spans="1:1" s="427" customFormat="1" ht="12" hidden="1" customHeight="1">
      <c r="A15492" s="426"/>
    </row>
    <row r="15493" spans="1:1" s="427" customFormat="1" ht="12" hidden="1" customHeight="1">
      <c r="A15493" s="426"/>
    </row>
    <row r="15494" spans="1:1" s="427" customFormat="1" ht="12" hidden="1" customHeight="1">
      <c r="A15494" s="426"/>
    </row>
    <row r="15495" spans="1:1" s="427" customFormat="1" ht="12" hidden="1" customHeight="1">
      <c r="A15495" s="426"/>
    </row>
    <row r="15496" spans="1:1" s="427" customFormat="1" ht="12" hidden="1" customHeight="1">
      <c r="A15496" s="426"/>
    </row>
    <row r="15497" spans="1:1" s="427" customFormat="1" ht="12" hidden="1" customHeight="1">
      <c r="A15497" s="426"/>
    </row>
    <row r="15498" spans="1:1" s="427" customFormat="1" ht="12" hidden="1" customHeight="1">
      <c r="A15498" s="426"/>
    </row>
    <row r="15499" spans="1:1" s="427" customFormat="1" ht="12" hidden="1" customHeight="1">
      <c r="A15499" s="426"/>
    </row>
    <row r="15500" spans="1:1" s="427" customFormat="1" ht="12" hidden="1" customHeight="1">
      <c r="A15500" s="426"/>
    </row>
    <row r="15501" spans="1:1" s="427" customFormat="1" ht="12" hidden="1" customHeight="1">
      <c r="A15501" s="426"/>
    </row>
    <row r="15502" spans="1:1" s="427" customFormat="1" ht="12" hidden="1" customHeight="1">
      <c r="A15502" s="426"/>
    </row>
    <row r="15503" spans="1:1" s="427" customFormat="1" ht="12" hidden="1" customHeight="1">
      <c r="A15503" s="426"/>
    </row>
    <row r="15504" spans="1:1" s="427" customFormat="1" ht="12" hidden="1" customHeight="1">
      <c r="A15504" s="426"/>
    </row>
    <row r="15505" spans="1:1" s="427" customFormat="1" ht="12" hidden="1" customHeight="1">
      <c r="A15505" s="426"/>
    </row>
    <row r="15506" spans="1:1" s="427" customFormat="1" ht="12" hidden="1" customHeight="1">
      <c r="A15506" s="426"/>
    </row>
    <row r="15507" spans="1:1" s="427" customFormat="1" ht="12" hidden="1" customHeight="1">
      <c r="A15507" s="426"/>
    </row>
    <row r="15508" spans="1:1" s="427" customFormat="1" ht="12" hidden="1" customHeight="1">
      <c r="A15508" s="426"/>
    </row>
    <row r="15509" spans="1:1" s="427" customFormat="1" ht="12" hidden="1" customHeight="1">
      <c r="A15509" s="426"/>
    </row>
    <row r="15510" spans="1:1" s="427" customFormat="1" ht="12" hidden="1" customHeight="1">
      <c r="A15510" s="426"/>
    </row>
    <row r="15511" spans="1:1" s="427" customFormat="1" ht="12" hidden="1" customHeight="1">
      <c r="A15511" s="426"/>
    </row>
    <row r="15512" spans="1:1" s="427" customFormat="1" ht="12" hidden="1" customHeight="1">
      <c r="A15512" s="426"/>
    </row>
    <row r="15513" spans="1:1" s="427" customFormat="1" ht="12" hidden="1" customHeight="1">
      <c r="A15513" s="426"/>
    </row>
    <row r="15514" spans="1:1" s="427" customFormat="1" ht="12" hidden="1" customHeight="1">
      <c r="A15514" s="426"/>
    </row>
    <row r="15515" spans="1:1" s="427" customFormat="1" ht="12" hidden="1" customHeight="1">
      <c r="A15515" s="426"/>
    </row>
    <row r="15516" spans="1:1" s="427" customFormat="1" ht="12" hidden="1" customHeight="1">
      <c r="A15516" s="426"/>
    </row>
    <row r="15517" spans="1:1" s="427" customFormat="1" ht="12" hidden="1" customHeight="1">
      <c r="A15517" s="426"/>
    </row>
    <row r="15518" spans="1:1" s="427" customFormat="1" ht="12" hidden="1" customHeight="1">
      <c r="A15518" s="426"/>
    </row>
    <row r="15519" spans="1:1" s="427" customFormat="1" ht="12" hidden="1" customHeight="1">
      <c r="A15519" s="426"/>
    </row>
    <row r="15520" spans="1:1" s="427" customFormat="1" ht="12" hidden="1" customHeight="1">
      <c r="A15520" s="426"/>
    </row>
    <row r="15521" spans="1:1" s="427" customFormat="1" ht="12" hidden="1" customHeight="1">
      <c r="A15521" s="426"/>
    </row>
    <row r="15522" spans="1:1" s="427" customFormat="1" ht="12" hidden="1" customHeight="1">
      <c r="A15522" s="426"/>
    </row>
    <row r="15523" spans="1:1" s="427" customFormat="1" ht="12" hidden="1" customHeight="1">
      <c r="A15523" s="426"/>
    </row>
    <row r="15524" spans="1:1" s="427" customFormat="1" ht="12" hidden="1" customHeight="1">
      <c r="A15524" s="426"/>
    </row>
    <row r="15525" spans="1:1" s="427" customFormat="1" ht="12" hidden="1" customHeight="1">
      <c r="A15525" s="426"/>
    </row>
    <row r="15526" spans="1:1" s="427" customFormat="1" ht="12" hidden="1" customHeight="1">
      <c r="A15526" s="426"/>
    </row>
    <row r="15527" spans="1:1" s="427" customFormat="1" ht="12" hidden="1" customHeight="1">
      <c r="A15527" s="426"/>
    </row>
    <row r="15528" spans="1:1" s="427" customFormat="1" ht="12" hidden="1" customHeight="1">
      <c r="A15528" s="426"/>
    </row>
    <row r="15529" spans="1:1" s="427" customFormat="1" ht="12" hidden="1" customHeight="1">
      <c r="A15529" s="426"/>
    </row>
    <row r="15530" spans="1:1" s="427" customFormat="1" ht="12" hidden="1" customHeight="1">
      <c r="A15530" s="426"/>
    </row>
    <row r="15531" spans="1:1" s="427" customFormat="1" ht="12" hidden="1" customHeight="1">
      <c r="A15531" s="426"/>
    </row>
    <row r="15532" spans="1:1" s="427" customFormat="1" ht="12" hidden="1" customHeight="1">
      <c r="A15532" s="426"/>
    </row>
    <row r="15533" spans="1:1" s="427" customFormat="1" ht="12" hidden="1" customHeight="1">
      <c r="A15533" s="426"/>
    </row>
    <row r="15534" spans="1:1" s="427" customFormat="1" ht="12" hidden="1" customHeight="1">
      <c r="A15534" s="426"/>
    </row>
    <row r="15535" spans="1:1" s="427" customFormat="1" ht="12" hidden="1" customHeight="1">
      <c r="A15535" s="426"/>
    </row>
    <row r="15536" spans="1:1" s="427" customFormat="1" ht="12" hidden="1" customHeight="1">
      <c r="A15536" s="426"/>
    </row>
    <row r="15537" spans="1:1" s="427" customFormat="1" ht="12" hidden="1" customHeight="1">
      <c r="A15537" s="426"/>
    </row>
    <row r="15538" spans="1:1" s="427" customFormat="1" ht="12" hidden="1" customHeight="1">
      <c r="A15538" s="426"/>
    </row>
    <row r="15539" spans="1:1" s="427" customFormat="1" ht="12" hidden="1" customHeight="1">
      <c r="A15539" s="426"/>
    </row>
    <row r="15540" spans="1:1" s="427" customFormat="1" ht="12" hidden="1" customHeight="1">
      <c r="A15540" s="426"/>
    </row>
    <row r="15541" spans="1:1" s="427" customFormat="1" ht="12" hidden="1" customHeight="1">
      <c r="A15541" s="426"/>
    </row>
    <row r="15542" spans="1:1" s="427" customFormat="1" ht="12" hidden="1" customHeight="1">
      <c r="A15542" s="426"/>
    </row>
    <row r="15543" spans="1:1" s="427" customFormat="1" ht="12" hidden="1" customHeight="1">
      <c r="A15543" s="426"/>
    </row>
    <row r="15544" spans="1:1" s="427" customFormat="1" ht="12" hidden="1" customHeight="1">
      <c r="A15544" s="426"/>
    </row>
    <row r="15545" spans="1:1" s="427" customFormat="1" ht="12" hidden="1" customHeight="1">
      <c r="A15545" s="426"/>
    </row>
    <row r="15546" spans="1:1" s="427" customFormat="1" ht="12" hidden="1" customHeight="1">
      <c r="A15546" s="426"/>
    </row>
    <row r="15547" spans="1:1" s="427" customFormat="1" ht="12" hidden="1" customHeight="1">
      <c r="A15547" s="426"/>
    </row>
    <row r="15548" spans="1:1" s="427" customFormat="1" ht="12" hidden="1" customHeight="1">
      <c r="A15548" s="426"/>
    </row>
    <row r="15549" spans="1:1" s="427" customFormat="1" ht="12" hidden="1" customHeight="1">
      <c r="A15549" s="426"/>
    </row>
    <row r="15550" spans="1:1" s="427" customFormat="1" ht="12" hidden="1" customHeight="1">
      <c r="A15550" s="426"/>
    </row>
    <row r="15551" spans="1:1" s="427" customFormat="1" ht="12" hidden="1" customHeight="1">
      <c r="A15551" s="426"/>
    </row>
    <row r="15552" spans="1:1" s="427" customFormat="1" ht="12" hidden="1" customHeight="1">
      <c r="A15552" s="426"/>
    </row>
    <row r="15553" spans="1:1" s="427" customFormat="1" ht="12" hidden="1" customHeight="1">
      <c r="A15553" s="426"/>
    </row>
    <row r="15554" spans="1:1" s="427" customFormat="1" ht="12" hidden="1" customHeight="1">
      <c r="A15554" s="426"/>
    </row>
    <row r="15555" spans="1:1" s="427" customFormat="1" ht="12" hidden="1" customHeight="1">
      <c r="A15555" s="426"/>
    </row>
    <row r="15556" spans="1:1" s="427" customFormat="1" ht="12" hidden="1" customHeight="1">
      <c r="A15556" s="426"/>
    </row>
    <row r="15557" spans="1:1" s="427" customFormat="1" ht="12" hidden="1" customHeight="1">
      <c r="A15557" s="426"/>
    </row>
    <row r="15558" spans="1:1" s="427" customFormat="1" ht="12" hidden="1" customHeight="1">
      <c r="A15558" s="426"/>
    </row>
    <row r="15559" spans="1:1" s="427" customFormat="1" ht="12" hidden="1" customHeight="1">
      <c r="A15559" s="426"/>
    </row>
    <row r="15560" spans="1:1" s="427" customFormat="1" ht="12" hidden="1" customHeight="1">
      <c r="A15560" s="426"/>
    </row>
    <row r="15561" spans="1:1" s="427" customFormat="1" ht="12" hidden="1" customHeight="1">
      <c r="A15561" s="426"/>
    </row>
    <row r="15562" spans="1:1" s="427" customFormat="1" ht="12" hidden="1" customHeight="1">
      <c r="A15562" s="426"/>
    </row>
    <row r="15563" spans="1:1" s="427" customFormat="1" ht="12" hidden="1" customHeight="1">
      <c r="A15563" s="426"/>
    </row>
    <row r="15564" spans="1:1" s="427" customFormat="1" ht="12" hidden="1" customHeight="1">
      <c r="A15564" s="426"/>
    </row>
    <row r="15565" spans="1:1" s="427" customFormat="1" ht="12" hidden="1" customHeight="1">
      <c r="A15565" s="426"/>
    </row>
    <row r="15566" spans="1:1" s="427" customFormat="1" ht="12" hidden="1" customHeight="1">
      <c r="A15566" s="426"/>
    </row>
    <row r="15567" spans="1:1" s="427" customFormat="1" ht="12" hidden="1" customHeight="1">
      <c r="A15567" s="426"/>
    </row>
    <row r="15568" spans="1:1" s="427" customFormat="1" ht="12" hidden="1" customHeight="1">
      <c r="A15568" s="426"/>
    </row>
    <row r="15569" spans="1:1" s="427" customFormat="1" ht="12" hidden="1" customHeight="1">
      <c r="A15569" s="426"/>
    </row>
    <row r="15570" spans="1:1" s="427" customFormat="1" ht="12" hidden="1" customHeight="1">
      <c r="A15570" s="426"/>
    </row>
    <row r="15571" spans="1:1" s="427" customFormat="1" ht="12" hidden="1" customHeight="1">
      <c r="A15571" s="426"/>
    </row>
    <row r="15572" spans="1:1" s="427" customFormat="1" ht="12" hidden="1" customHeight="1">
      <c r="A15572" s="426"/>
    </row>
    <row r="15573" spans="1:1" s="427" customFormat="1" ht="12" hidden="1" customHeight="1">
      <c r="A15573" s="426"/>
    </row>
    <row r="15574" spans="1:1" s="427" customFormat="1" ht="12" hidden="1" customHeight="1">
      <c r="A15574" s="426"/>
    </row>
    <row r="15575" spans="1:1" s="427" customFormat="1" ht="12" hidden="1" customHeight="1">
      <c r="A15575" s="426"/>
    </row>
    <row r="15576" spans="1:1" s="427" customFormat="1" ht="12" hidden="1" customHeight="1">
      <c r="A15576" s="426"/>
    </row>
    <row r="15577" spans="1:1" s="427" customFormat="1" ht="12" hidden="1" customHeight="1">
      <c r="A15577" s="426"/>
    </row>
    <row r="15578" spans="1:1" s="427" customFormat="1" ht="12" hidden="1" customHeight="1">
      <c r="A15578" s="426"/>
    </row>
    <row r="15579" spans="1:1" s="427" customFormat="1" ht="12" hidden="1" customHeight="1">
      <c r="A15579" s="426"/>
    </row>
    <row r="15580" spans="1:1" s="427" customFormat="1" ht="12" hidden="1" customHeight="1">
      <c r="A15580" s="426"/>
    </row>
    <row r="15581" spans="1:1" s="427" customFormat="1" ht="12" hidden="1" customHeight="1">
      <c r="A15581" s="426"/>
    </row>
    <row r="15582" spans="1:1" s="427" customFormat="1" ht="12" hidden="1" customHeight="1">
      <c r="A15582" s="426"/>
    </row>
    <row r="15583" spans="1:1" s="427" customFormat="1" ht="12" hidden="1" customHeight="1">
      <c r="A15583" s="426"/>
    </row>
    <row r="15584" spans="1:1" s="427" customFormat="1" ht="12" hidden="1" customHeight="1">
      <c r="A15584" s="426"/>
    </row>
    <row r="15585" spans="1:1" s="427" customFormat="1" ht="12" hidden="1" customHeight="1">
      <c r="A15585" s="426"/>
    </row>
    <row r="15586" spans="1:1" s="427" customFormat="1" ht="12" hidden="1" customHeight="1">
      <c r="A15586" s="426"/>
    </row>
    <row r="15587" spans="1:1" s="427" customFormat="1" ht="12" hidden="1" customHeight="1">
      <c r="A15587" s="426"/>
    </row>
    <row r="15588" spans="1:1" s="427" customFormat="1" ht="12" hidden="1" customHeight="1">
      <c r="A15588" s="426"/>
    </row>
    <row r="15589" spans="1:1" s="427" customFormat="1" ht="12" hidden="1" customHeight="1">
      <c r="A15589" s="426"/>
    </row>
    <row r="15590" spans="1:1" s="427" customFormat="1" ht="12" hidden="1" customHeight="1">
      <c r="A15590" s="426"/>
    </row>
    <row r="15591" spans="1:1" s="427" customFormat="1" ht="12" hidden="1" customHeight="1">
      <c r="A15591" s="426"/>
    </row>
    <row r="15592" spans="1:1" s="427" customFormat="1" ht="12" hidden="1" customHeight="1">
      <c r="A15592" s="426"/>
    </row>
    <row r="15593" spans="1:1" s="427" customFormat="1" ht="12" hidden="1" customHeight="1">
      <c r="A15593" s="426"/>
    </row>
    <row r="15594" spans="1:1" s="427" customFormat="1" ht="12" hidden="1" customHeight="1">
      <c r="A15594" s="426"/>
    </row>
    <row r="15595" spans="1:1" s="427" customFormat="1" ht="12" hidden="1" customHeight="1">
      <c r="A15595" s="426"/>
    </row>
    <row r="15596" spans="1:1" s="427" customFormat="1" ht="12" hidden="1" customHeight="1">
      <c r="A15596" s="426"/>
    </row>
    <row r="15597" spans="1:1" s="427" customFormat="1" ht="12" hidden="1" customHeight="1">
      <c r="A15597" s="426"/>
    </row>
    <row r="15598" spans="1:1" s="427" customFormat="1" ht="12" hidden="1" customHeight="1">
      <c r="A15598" s="426"/>
    </row>
    <row r="15599" spans="1:1" s="427" customFormat="1" ht="12" hidden="1" customHeight="1">
      <c r="A15599" s="426"/>
    </row>
    <row r="15600" spans="1:1" s="427" customFormat="1" ht="12" hidden="1" customHeight="1">
      <c r="A15600" s="426"/>
    </row>
    <row r="15601" spans="1:1" s="427" customFormat="1" ht="12" hidden="1" customHeight="1">
      <c r="A15601" s="426"/>
    </row>
    <row r="15602" spans="1:1" s="427" customFormat="1" ht="12" hidden="1" customHeight="1">
      <c r="A15602" s="426"/>
    </row>
    <row r="15603" spans="1:1" s="427" customFormat="1" ht="12" hidden="1" customHeight="1">
      <c r="A15603" s="426"/>
    </row>
    <row r="15604" spans="1:1" s="427" customFormat="1" ht="12" hidden="1" customHeight="1">
      <c r="A15604" s="426"/>
    </row>
    <row r="15605" spans="1:1" s="427" customFormat="1" ht="12" hidden="1" customHeight="1">
      <c r="A15605" s="426"/>
    </row>
    <row r="15606" spans="1:1" s="427" customFormat="1" ht="12" hidden="1" customHeight="1">
      <c r="A15606" s="426"/>
    </row>
    <row r="15607" spans="1:1" s="427" customFormat="1" ht="12" hidden="1" customHeight="1">
      <c r="A15607" s="426"/>
    </row>
    <row r="15608" spans="1:1" s="427" customFormat="1" ht="12" hidden="1" customHeight="1">
      <c r="A15608" s="426"/>
    </row>
    <row r="15609" spans="1:1" s="427" customFormat="1" ht="12" hidden="1" customHeight="1">
      <c r="A15609" s="426"/>
    </row>
    <row r="15610" spans="1:1" s="427" customFormat="1" ht="12" hidden="1" customHeight="1">
      <c r="A15610" s="426"/>
    </row>
    <row r="15611" spans="1:1" s="427" customFormat="1" ht="12" hidden="1" customHeight="1">
      <c r="A15611" s="426"/>
    </row>
    <row r="15612" spans="1:1" s="427" customFormat="1" ht="12" hidden="1" customHeight="1">
      <c r="A15612" s="426"/>
    </row>
    <row r="15613" spans="1:1" s="427" customFormat="1" ht="12" hidden="1" customHeight="1">
      <c r="A15613" s="426"/>
    </row>
    <row r="15614" spans="1:1" s="427" customFormat="1" ht="12" hidden="1" customHeight="1">
      <c r="A15614" s="426"/>
    </row>
    <row r="15615" spans="1:1" s="427" customFormat="1" ht="12" hidden="1" customHeight="1">
      <c r="A15615" s="426"/>
    </row>
    <row r="15616" spans="1:1" s="427" customFormat="1" ht="12" hidden="1" customHeight="1">
      <c r="A15616" s="426"/>
    </row>
    <row r="15617" spans="1:1" s="427" customFormat="1" ht="12" hidden="1" customHeight="1">
      <c r="A15617" s="426"/>
    </row>
    <row r="15618" spans="1:1" s="427" customFormat="1" ht="12" hidden="1" customHeight="1">
      <c r="A15618" s="426"/>
    </row>
    <row r="15619" spans="1:1" s="427" customFormat="1" ht="12" hidden="1" customHeight="1">
      <c r="A15619" s="426"/>
    </row>
    <row r="15620" spans="1:1" s="427" customFormat="1" ht="12" hidden="1" customHeight="1">
      <c r="A15620" s="426"/>
    </row>
    <row r="15621" spans="1:1" s="427" customFormat="1" ht="12" hidden="1" customHeight="1">
      <c r="A15621" s="426"/>
    </row>
    <row r="15622" spans="1:1" s="427" customFormat="1" ht="12" hidden="1" customHeight="1">
      <c r="A15622" s="426"/>
    </row>
    <row r="15623" spans="1:1" s="427" customFormat="1" ht="12" hidden="1" customHeight="1">
      <c r="A15623" s="426"/>
    </row>
    <row r="15624" spans="1:1" s="427" customFormat="1" ht="12" hidden="1" customHeight="1">
      <c r="A15624" s="426"/>
    </row>
    <row r="15625" spans="1:1" s="427" customFormat="1" ht="12" hidden="1" customHeight="1">
      <c r="A15625" s="426"/>
    </row>
    <row r="15626" spans="1:1" s="427" customFormat="1" ht="12" hidden="1" customHeight="1">
      <c r="A15626" s="426"/>
    </row>
    <row r="15627" spans="1:1" s="427" customFormat="1" ht="12" hidden="1" customHeight="1">
      <c r="A15627" s="426"/>
    </row>
    <row r="15628" spans="1:1" s="427" customFormat="1" ht="12" hidden="1" customHeight="1">
      <c r="A15628" s="426"/>
    </row>
    <row r="15629" spans="1:1" s="427" customFormat="1" ht="12" hidden="1" customHeight="1">
      <c r="A15629" s="426"/>
    </row>
    <row r="15630" spans="1:1" s="427" customFormat="1" ht="12" hidden="1" customHeight="1">
      <c r="A15630" s="426"/>
    </row>
    <row r="15631" spans="1:1" s="427" customFormat="1" ht="12" hidden="1" customHeight="1">
      <c r="A15631" s="426"/>
    </row>
    <row r="15632" spans="1:1" s="427" customFormat="1" ht="12" hidden="1" customHeight="1">
      <c r="A15632" s="426"/>
    </row>
    <row r="15633" spans="1:1" s="427" customFormat="1" ht="12" hidden="1" customHeight="1">
      <c r="A15633" s="426"/>
    </row>
    <row r="15634" spans="1:1" s="427" customFormat="1" ht="12" hidden="1" customHeight="1">
      <c r="A15634" s="426"/>
    </row>
    <row r="15635" spans="1:1" s="427" customFormat="1" ht="12" hidden="1" customHeight="1">
      <c r="A15635" s="426"/>
    </row>
    <row r="15636" spans="1:1" s="427" customFormat="1" ht="12" hidden="1" customHeight="1">
      <c r="A15636" s="426"/>
    </row>
    <row r="15637" spans="1:1" s="427" customFormat="1" ht="12" hidden="1" customHeight="1">
      <c r="A15637" s="426"/>
    </row>
    <row r="15638" spans="1:1" s="427" customFormat="1" ht="12" hidden="1" customHeight="1">
      <c r="A15638" s="426"/>
    </row>
    <row r="15639" spans="1:1" s="427" customFormat="1" ht="12" hidden="1" customHeight="1">
      <c r="A15639" s="426"/>
    </row>
    <row r="15640" spans="1:1" s="427" customFormat="1" ht="12" hidden="1" customHeight="1">
      <c r="A15640" s="426"/>
    </row>
    <row r="15641" spans="1:1" s="427" customFormat="1" ht="12" hidden="1" customHeight="1">
      <c r="A15641" s="426"/>
    </row>
    <row r="15642" spans="1:1" s="427" customFormat="1" ht="12" hidden="1" customHeight="1">
      <c r="A15642" s="426"/>
    </row>
    <row r="15643" spans="1:1" s="427" customFormat="1" ht="12" hidden="1" customHeight="1">
      <c r="A15643" s="426"/>
    </row>
    <row r="15644" spans="1:1" s="427" customFormat="1" ht="12" hidden="1" customHeight="1">
      <c r="A15644" s="426"/>
    </row>
    <row r="15645" spans="1:1" s="427" customFormat="1" ht="12" hidden="1" customHeight="1">
      <c r="A15645" s="426"/>
    </row>
    <row r="15646" spans="1:1" s="427" customFormat="1" ht="12" hidden="1" customHeight="1">
      <c r="A15646" s="426"/>
    </row>
    <row r="15647" spans="1:1" s="427" customFormat="1" ht="12" hidden="1" customHeight="1">
      <c r="A15647" s="426"/>
    </row>
    <row r="15648" spans="1:1" s="427" customFormat="1" ht="12" hidden="1" customHeight="1">
      <c r="A15648" s="426"/>
    </row>
    <row r="15649" spans="1:1" s="427" customFormat="1" ht="12" hidden="1" customHeight="1">
      <c r="A15649" s="426"/>
    </row>
    <row r="15650" spans="1:1" s="427" customFormat="1" ht="12" hidden="1" customHeight="1">
      <c r="A15650" s="426"/>
    </row>
    <row r="15651" spans="1:1" s="427" customFormat="1" ht="12" hidden="1" customHeight="1">
      <c r="A15651" s="426"/>
    </row>
    <row r="15652" spans="1:1" s="427" customFormat="1" ht="12" hidden="1" customHeight="1">
      <c r="A15652" s="426"/>
    </row>
    <row r="15653" spans="1:1" s="427" customFormat="1" ht="12" hidden="1" customHeight="1">
      <c r="A15653" s="426"/>
    </row>
    <row r="15654" spans="1:1" s="427" customFormat="1" ht="12" hidden="1" customHeight="1">
      <c r="A15654" s="426"/>
    </row>
    <row r="15655" spans="1:1" s="427" customFormat="1" ht="12" hidden="1" customHeight="1">
      <c r="A15655" s="426"/>
    </row>
    <row r="15656" spans="1:1" s="427" customFormat="1" ht="12" hidden="1" customHeight="1">
      <c r="A15656" s="426"/>
    </row>
    <row r="15657" spans="1:1" s="427" customFormat="1" ht="12" hidden="1" customHeight="1">
      <c r="A15657" s="426"/>
    </row>
    <row r="15658" spans="1:1" s="427" customFormat="1" ht="12" hidden="1" customHeight="1">
      <c r="A15658" s="426"/>
    </row>
    <row r="15659" spans="1:1" s="427" customFormat="1" ht="12" hidden="1" customHeight="1">
      <c r="A15659" s="426"/>
    </row>
    <row r="15660" spans="1:1" s="427" customFormat="1" ht="12" hidden="1" customHeight="1">
      <c r="A15660" s="426"/>
    </row>
    <row r="15661" spans="1:1" s="427" customFormat="1" ht="12" hidden="1" customHeight="1">
      <c r="A15661" s="426"/>
    </row>
    <row r="15662" spans="1:1" s="427" customFormat="1" ht="12" hidden="1" customHeight="1">
      <c r="A15662" s="426"/>
    </row>
    <row r="15663" spans="1:1" s="427" customFormat="1" ht="12" hidden="1" customHeight="1">
      <c r="A15663" s="426"/>
    </row>
    <row r="15664" spans="1:1" s="427" customFormat="1" ht="12" hidden="1" customHeight="1">
      <c r="A15664" s="426"/>
    </row>
    <row r="15665" spans="1:1" s="427" customFormat="1" ht="12" hidden="1" customHeight="1">
      <c r="A15665" s="426"/>
    </row>
    <row r="15666" spans="1:1" s="427" customFormat="1" ht="12" hidden="1" customHeight="1">
      <c r="A15666" s="426"/>
    </row>
    <row r="15667" spans="1:1" s="427" customFormat="1" ht="12" hidden="1" customHeight="1">
      <c r="A15667" s="426"/>
    </row>
    <row r="15668" spans="1:1" s="427" customFormat="1" ht="12" hidden="1" customHeight="1">
      <c r="A15668" s="426"/>
    </row>
    <row r="15669" spans="1:1" s="427" customFormat="1" ht="12" hidden="1" customHeight="1">
      <c r="A15669" s="426"/>
    </row>
    <row r="15670" spans="1:1" s="427" customFormat="1" ht="12" hidden="1" customHeight="1">
      <c r="A15670" s="426"/>
    </row>
    <row r="15671" spans="1:1" s="427" customFormat="1" ht="12" hidden="1" customHeight="1">
      <c r="A15671" s="426"/>
    </row>
    <row r="15672" spans="1:1" s="427" customFormat="1" ht="12" hidden="1" customHeight="1">
      <c r="A15672" s="426"/>
    </row>
    <row r="15673" spans="1:1" s="427" customFormat="1" ht="12" hidden="1" customHeight="1">
      <c r="A15673" s="426"/>
    </row>
    <row r="15674" spans="1:1" s="427" customFormat="1" ht="12" hidden="1" customHeight="1">
      <c r="A15674" s="426"/>
    </row>
    <row r="15675" spans="1:1" s="427" customFormat="1" ht="12" hidden="1" customHeight="1">
      <c r="A15675" s="426"/>
    </row>
    <row r="15676" spans="1:1" s="427" customFormat="1" ht="12" hidden="1" customHeight="1">
      <c r="A15676" s="426"/>
    </row>
    <row r="15677" spans="1:1" s="427" customFormat="1" ht="12" hidden="1" customHeight="1">
      <c r="A15677" s="426"/>
    </row>
    <row r="15678" spans="1:1" s="427" customFormat="1" ht="12" hidden="1" customHeight="1">
      <c r="A15678" s="426"/>
    </row>
    <row r="15679" spans="1:1" s="427" customFormat="1" ht="12" hidden="1" customHeight="1">
      <c r="A15679" s="426"/>
    </row>
    <row r="15680" spans="1:1" s="427" customFormat="1" ht="12" hidden="1" customHeight="1">
      <c r="A15680" s="426"/>
    </row>
    <row r="15681" spans="1:1" s="427" customFormat="1" ht="12" hidden="1" customHeight="1">
      <c r="A15681" s="426"/>
    </row>
    <row r="15682" spans="1:1" s="427" customFormat="1" ht="12" hidden="1" customHeight="1">
      <c r="A15682" s="426"/>
    </row>
    <row r="15683" spans="1:1" s="427" customFormat="1" ht="12" hidden="1" customHeight="1">
      <c r="A15683" s="426"/>
    </row>
    <row r="15684" spans="1:1" s="427" customFormat="1" ht="12" hidden="1" customHeight="1">
      <c r="A15684" s="426"/>
    </row>
    <row r="15685" spans="1:1" s="427" customFormat="1" ht="12" hidden="1" customHeight="1">
      <c r="A15685" s="426"/>
    </row>
    <row r="15686" spans="1:1" s="427" customFormat="1" ht="12" hidden="1" customHeight="1">
      <c r="A15686" s="426"/>
    </row>
    <row r="15687" spans="1:1" s="427" customFormat="1" ht="12" hidden="1" customHeight="1">
      <c r="A15687" s="426"/>
    </row>
    <row r="15688" spans="1:1" s="427" customFormat="1" ht="12" hidden="1" customHeight="1">
      <c r="A15688" s="426"/>
    </row>
    <row r="15689" spans="1:1" s="427" customFormat="1" ht="12" hidden="1" customHeight="1">
      <c r="A15689" s="426"/>
    </row>
    <row r="15690" spans="1:1" s="427" customFormat="1" ht="12" hidden="1" customHeight="1">
      <c r="A15690" s="426"/>
    </row>
    <row r="15691" spans="1:1" s="427" customFormat="1" ht="12" hidden="1" customHeight="1">
      <c r="A15691" s="426"/>
    </row>
    <row r="15692" spans="1:1" s="427" customFormat="1" ht="12" hidden="1" customHeight="1">
      <c r="A15692" s="426"/>
    </row>
    <row r="15693" spans="1:1" s="427" customFormat="1" ht="12" hidden="1" customHeight="1">
      <c r="A15693" s="426"/>
    </row>
    <row r="15694" spans="1:1" s="427" customFormat="1" ht="12" hidden="1" customHeight="1">
      <c r="A15694" s="426"/>
    </row>
    <row r="15695" spans="1:1" s="427" customFormat="1" ht="12" hidden="1" customHeight="1">
      <c r="A15695" s="426"/>
    </row>
    <row r="15696" spans="1:1" s="427" customFormat="1" ht="12" hidden="1" customHeight="1">
      <c r="A15696" s="426"/>
    </row>
    <row r="15697" spans="1:1" s="427" customFormat="1" ht="12" hidden="1" customHeight="1">
      <c r="A15697" s="426"/>
    </row>
    <row r="15698" spans="1:1" s="427" customFormat="1" ht="12" hidden="1" customHeight="1">
      <c r="A15698" s="426"/>
    </row>
    <row r="15699" spans="1:1" s="427" customFormat="1" ht="12" hidden="1" customHeight="1">
      <c r="A15699" s="426"/>
    </row>
    <row r="15700" spans="1:1" s="427" customFormat="1" ht="12" hidden="1" customHeight="1">
      <c r="A15700" s="426"/>
    </row>
    <row r="15701" spans="1:1" s="427" customFormat="1" ht="12" hidden="1" customHeight="1">
      <c r="A15701" s="426"/>
    </row>
    <row r="15702" spans="1:1" s="427" customFormat="1" ht="12" hidden="1" customHeight="1">
      <c r="A15702" s="426"/>
    </row>
    <row r="15703" spans="1:1" s="427" customFormat="1" ht="12" hidden="1" customHeight="1">
      <c r="A15703" s="426"/>
    </row>
    <row r="15704" spans="1:1" s="427" customFormat="1" ht="12" hidden="1" customHeight="1">
      <c r="A15704" s="426"/>
    </row>
    <row r="15705" spans="1:1" s="427" customFormat="1" ht="12" hidden="1" customHeight="1">
      <c r="A15705" s="426"/>
    </row>
    <row r="15706" spans="1:1" s="427" customFormat="1" ht="12" hidden="1" customHeight="1">
      <c r="A15706" s="426"/>
    </row>
    <row r="15707" spans="1:1" s="427" customFormat="1" ht="12" hidden="1" customHeight="1">
      <c r="A15707" s="426"/>
    </row>
    <row r="15708" spans="1:1" s="427" customFormat="1" ht="12" hidden="1" customHeight="1">
      <c r="A15708" s="426"/>
    </row>
    <row r="15709" spans="1:1" s="427" customFormat="1" ht="12" hidden="1" customHeight="1">
      <c r="A15709" s="426"/>
    </row>
    <row r="15710" spans="1:1" s="427" customFormat="1" ht="12" hidden="1" customHeight="1">
      <c r="A15710" s="426"/>
    </row>
    <row r="15711" spans="1:1" s="427" customFormat="1" ht="12" hidden="1" customHeight="1">
      <c r="A15711" s="426"/>
    </row>
    <row r="15712" spans="1:1" s="427" customFormat="1" ht="12" hidden="1" customHeight="1">
      <c r="A15712" s="426"/>
    </row>
    <row r="15713" spans="1:1" s="427" customFormat="1" ht="12" hidden="1" customHeight="1">
      <c r="A15713" s="426"/>
    </row>
    <row r="15714" spans="1:1" s="427" customFormat="1" ht="12" hidden="1" customHeight="1">
      <c r="A15714" s="426"/>
    </row>
    <row r="15715" spans="1:1" s="427" customFormat="1" ht="12" hidden="1" customHeight="1">
      <c r="A15715" s="426"/>
    </row>
    <row r="15716" spans="1:1" s="427" customFormat="1" ht="12" hidden="1" customHeight="1">
      <c r="A15716" s="426"/>
    </row>
    <row r="15717" spans="1:1" s="427" customFormat="1" ht="12" hidden="1" customHeight="1">
      <c r="A15717" s="426"/>
    </row>
    <row r="15718" spans="1:1" s="427" customFormat="1" ht="12" hidden="1" customHeight="1">
      <c r="A15718" s="426"/>
    </row>
    <row r="15719" spans="1:1" s="427" customFormat="1" ht="12" hidden="1" customHeight="1">
      <c r="A15719" s="426"/>
    </row>
    <row r="15720" spans="1:1" s="427" customFormat="1" ht="12" hidden="1" customHeight="1">
      <c r="A15720" s="426"/>
    </row>
    <row r="15721" spans="1:1" s="427" customFormat="1" ht="12" hidden="1" customHeight="1">
      <c r="A15721" s="426"/>
    </row>
    <row r="15722" spans="1:1" s="427" customFormat="1" ht="12" hidden="1" customHeight="1">
      <c r="A15722" s="426"/>
    </row>
    <row r="15723" spans="1:1" s="427" customFormat="1" ht="12" hidden="1" customHeight="1">
      <c r="A15723" s="426"/>
    </row>
    <row r="15724" spans="1:1" s="427" customFormat="1" ht="12" hidden="1" customHeight="1">
      <c r="A15724" s="426"/>
    </row>
    <row r="15725" spans="1:1" s="427" customFormat="1" ht="12" hidden="1" customHeight="1">
      <c r="A15725" s="426"/>
    </row>
    <row r="15726" spans="1:1" s="427" customFormat="1" ht="12" hidden="1" customHeight="1">
      <c r="A15726" s="426"/>
    </row>
    <row r="15727" spans="1:1" s="427" customFormat="1" ht="12" hidden="1" customHeight="1">
      <c r="A15727" s="426"/>
    </row>
    <row r="15728" spans="1:1" s="427" customFormat="1" ht="12" hidden="1" customHeight="1">
      <c r="A15728" s="426"/>
    </row>
    <row r="15729" spans="1:1" s="427" customFormat="1" ht="12" hidden="1" customHeight="1">
      <c r="A15729" s="426"/>
    </row>
    <row r="15730" spans="1:1" s="427" customFormat="1" ht="12" hidden="1" customHeight="1">
      <c r="A15730" s="426"/>
    </row>
    <row r="15731" spans="1:1" s="427" customFormat="1" ht="12" hidden="1" customHeight="1">
      <c r="A15731" s="426"/>
    </row>
    <row r="15732" spans="1:1" s="427" customFormat="1" ht="12" hidden="1" customHeight="1">
      <c r="A15732" s="426"/>
    </row>
    <row r="15733" spans="1:1" s="427" customFormat="1" ht="12" hidden="1" customHeight="1">
      <c r="A15733" s="426"/>
    </row>
    <row r="15734" spans="1:1" s="427" customFormat="1" ht="12" hidden="1" customHeight="1">
      <c r="A15734" s="426"/>
    </row>
    <row r="15735" spans="1:1" s="427" customFormat="1" ht="12" hidden="1" customHeight="1">
      <c r="A15735" s="426"/>
    </row>
    <row r="15736" spans="1:1" s="427" customFormat="1" ht="12" hidden="1" customHeight="1">
      <c r="A15736" s="426"/>
    </row>
    <row r="15737" spans="1:1" s="427" customFormat="1" ht="12" hidden="1" customHeight="1">
      <c r="A15737" s="426"/>
    </row>
    <row r="15738" spans="1:1" s="427" customFormat="1" ht="12" hidden="1" customHeight="1">
      <c r="A15738" s="426"/>
    </row>
    <row r="15739" spans="1:1" s="427" customFormat="1" ht="12" hidden="1" customHeight="1">
      <c r="A15739" s="426"/>
    </row>
    <row r="15740" spans="1:1" s="427" customFormat="1" ht="12" hidden="1" customHeight="1">
      <c r="A15740" s="426"/>
    </row>
    <row r="15741" spans="1:1" s="427" customFormat="1" ht="12" hidden="1" customHeight="1">
      <c r="A15741" s="426"/>
    </row>
    <row r="15742" spans="1:1" s="427" customFormat="1" ht="12" hidden="1" customHeight="1">
      <c r="A15742" s="426"/>
    </row>
    <row r="15743" spans="1:1" s="427" customFormat="1" ht="12" hidden="1" customHeight="1">
      <c r="A15743" s="426"/>
    </row>
    <row r="15744" spans="1:1" s="427" customFormat="1" ht="12" hidden="1" customHeight="1">
      <c r="A15744" s="426"/>
    </row>
    <row r="15745" spans="1:1" s="427" customFormat="1" ht="12" hidden="1" customHeight="1">
      <c r="A15745" s="426"/>
    </row>
    <row r="15746" spans="1:1" s="427" customFormat="1" ht="12" hidden="1" customHeight="1">
      <c r="A15746" s="426"/>
    </row>
    <row r="15747" spans="1:1" s="427" customFormat="1" ht="12" hidden="1" customHeight="1">
      <c r="A15747" s="426"/>
    </row>
    <row r="15748" spans="1:1" s="427" customFormat="1" ht="12" hidden="1" customHeight="1">
      <c r="A15748" s="426"/>
    </row>
    <row r="15749" spans="1:1" s="427" customFormat="1" ht="12" hidden="1" customHeight="1">
      <c r="A15749" s="426"/>
    </row>
    <row r="15750" spans="1:1" s="427" customFormat="1" ht="12" hidden="1" customHeight="1">
      <c r="A15750" s="426"/>
    </row>
    <row r="15751" spans="1:1" s="427" customFormat="1" ht="12" hidden="1" customHeight="1">
      <c r="A15751" s="426"/>
    </row>
    <row r="15752" spans="1:1" s="427" customFormat="1" ht="12" hidden="1" customHeight="1">
      <c r="A15752" s="426"/>
    </row>
    <row r="15753" spans="1:1" s="427" customFormat="1" ht="12" hidden="1" customHeight="1">
      <c r="A15753" s="426"/>
    </row>
    <row r="15754" spans="1:1" s="427" customFormat="1" ht="12" hidden="1" customHeight="1">
      <c r="A15754" s="426"/>
    </row>
    <row r="15755" spans="1:1" s="427" customFormat="1" ht="12" hidden="1" customHeight="1">
      <c r="A15755" s="426"/>
    </row>
    <row r="15756" spans="1:1" s="427" customFormat="1" ht="12" hidden="1" customHeight="1">
      <c r="A15756" s="426"/>
    </row>
    <row r="15757" spans="1:1" s="427" customFormat="1" ht="12" hidden="1" customHeight="1">
      <c r="A15757" s="426"/>
    </row>
    <row r="15758" spans="1:1" s="427" customFormat="1" ht="12" hidden="1" customHeight="1">
      <c r="A15758" s="426"/>
    </row>
    <row r="15759" spans="1:1" s="427" customFormat="1" ht="12" hidden="1" customHeight="1">
      <c r="A15759" s="426"/>
    </row>
    <row r="15760" spans="1:1" s="427" customFormat="1" ht="12" hidden="1" customHeight="1">
      <c r="A15760" s="426"/>
    </row>
    <row r="15761" spans="1:1" s="427" customFormat="1" ht="12" hidden="1" customHeight="1">
      <c r="A15761" s="426"/>
    </row>
    <row r="15762" spans="1:1" s="427" customFormat="1" ht="12" hidden="1" customHeight="1">
      <c r="A15762" s="426"/>
    </row>
    <row r="15763" spans="1:1" s="427" customFormat="1" ht="12" hidden="1" customHeight="1">
      <c r="A15763" s="426"/>
    </row>
    <row r="15764" spans="1:1" s="427" customFormat="1" ht="12" hidden="1" customHeight="1">
      <c r="A15764" s="426"/>
    </row>
    <row r="15765" spans="1:1" s="427" customFormat="1" ht="12" hidden="1" customHeight="1">
      <c r="A15765" s="426"/>
    </row>
    <row r="15766" spans="1:1" s="427" customFormat="1" ht="12" hidden="1" customHeight="1">
      <c r="A15766" s="426"/>
    </row>
    <row r="15767" spans="1:1" s="427" customFormat="1" ht="12" hidden="1" customHeight="1">
      <c r="A15767" s="426"/>
    </row>
    <row r="15768" spans="1:1" s="427" customFormat="1" ht="12" hidden="1" customHeight="1">
      <c r="A15768" s="426"/>
    </row>
    <row r="15769" spans="1:1" s="427" customFormat="1" ht="12" hidden="1" customHeight="1">
      <c r="A15769" s="426"/>
    </row>
    <row r="15770" spans="1:1" s="427" customFormat="1" ht="12" hidden="1" customHeight="1">
      <c r="A15770" s="426"/>
    </row>
    <row r="15771" spans="1:1" s="427" customFormat="1" ht="12" hidden="1" customHeight="1">
      <c r="A15771" s="426"/>
    </row>
    <row r="15772" spans="1:1" s="427" customFormat="1" ht="12" hidden="1" customHeight="1">
      <c r="A15772" s="426"/>
    </row>
    <row r="15773" spans="1:1" s="427" customFormat="1" ht="12" hidden="1" customHeight="1">
      <c r="A15773" s="426"/>
    </row>
    <row r="15774" spans="1:1" s="427" customFormat="1" ht="12" hidden="1" customHeight="1">
      <c r="A15774" s="426"/>
    </row>
    <row r="15775" spans="1:1" s="427" customFormat="1" ht="12" hidden="1" customHeight="1">
      <c r="A15775" s="426"/>
    </row>
    <row r="15776" spans="1:1" s="427" customFormat="1" ht="12" hidden="1" customHeight="1">
      <c r="A15776" s="426"/>
    </row>
    <row r="15777" spans="1:1" s="427" customFormat="1" ht="12" hidden="1" customHeight="1">
      <c r="A15777" s="426"/>
    </row>
    <row r="15778" spans="1:1" s="427" customFormat="1" ht="12" hidden="1" customHeight="1">
      <c r="A15778" s="426"/>
    </row>
    <row r="15779" spans="1:1" s="427" customFormat="1" ht="12" hidden="1" customHeight="1">
      <c r="A15779" s="426"/>
    </row>
    <row r="15780" spans="1:1" s="427" customFormat="1" ht="12" hidden="1" customHeight="1">
      <c r="A15780" s="426"/>
    </row>
    <row r="15781" spans="1:1" s="427" customFormat="1" ht="12" hidden="1" customHeight="1">
      <c r="A15781" s="426"/>
    </row>
    <row r="15782" spans="1:1" s="427" customFormat="1" ht="12" hidden="1" customHeight="1">
      <c r="A15782" s="426"/>
    </row>
    <row r="15783" spans="1:1" s="427" customFormat="1" ht="12" hidden="1" customHeight="1">
      <c r="A15783" s="426"/>
    </row>
    <row r="15784" spans="1:1" s="427" customFormat="1" ht="12" hidden="1" customHeight="1">
      <c r="A15784" s="426"/>
    </row>
    <row r="15785" spans="1:1" s="427" customFormat="1" ht="12" hidden="1" customHeight="1">
      <c r="A15785" s="426"/>
    </row>
    <row r="15786" spans="1:1" s="427" customFormat="1" ht="12" hidden="1" customHeight="1">
      <c r="A15786" s="426"/>
    </row>
    <row r="15787" spans="1:1" s="427" customFormat="1" ht="12" hidden="1" customHeight="1">
      <c r="A15787" s="426"/>
    </row>
    <row r="15788" spans="1:1" s="427" customFormat="1" ht="12" hidden="1" customHeight="1">
      <c r="A15788" s="426"/>
    </row>
    <row r="15789" spans="1:1" s="427" customFormat="1" ht="12" hidden="1" customHeight="1">
      <c r="A15789" s="426"/>
    </row>
    <row r="15790" spans="1:1" s="427" customFormat="1" ht="12" hidden="1" customHeight="1">
      <c r="A15790" s="426"/>
    </row>
    <row r="15791" spans="1:1" s="427" customFormat="1" ht="12" hidden="1" customHeight="1">
      <c r="A15791" s="426"/>
    </row>
    <row r="15792" spans="1:1" s="427" customFormat="1" ht="12" hidden="1" customHeight="1">
      <c r="A15792" s="426"/>
    </row>
    <row r="15793" spans="1:1" s="427" customFormat="1" ht="12" hidden="1" customHeight="1">
      <c r="A15793" s="426"/>
    </row>
    <row r="15794" spans="1:1" s="427" customFormat="1" ht="12" hidden="1" customHeight="1">
      <c r="A15794" s="426"/>
    </row>
    <row r="15795" spans="1:1" s="427" customFormat="1" ht="12" hidden="1" customHeight="1">
      <c r="A15795" s="426"/>
    </row>
    <row r="15796" spans="1:1" s="427" customFormat="1" ht="12" hidden="1" customHeight="1">
      <c r="A15796" s="426"/>
    </row>
    <row r="15797" spans="1:1" s="427" customFormat="1" ht="12" hidden="1" customHeight="1">
      <c r="A15797" s="426"/>
    </row>
    <row r="15798" spans="1:1" s="427" customFormat="1" ht="12" hidden="1" customHeight="1">
      <c r="A15798" s="426"/>
    </row>
    <row r="15799" spans="1:1" s="427" customFormat="1" ht="12" hidden="1" customHeight="1">
      <c r="A15799" s="426"/>
    </row>
    <row r="15800" spans="1:1" s="427" customFormat="1" ht="12" hidden="1" customHeight="1">
      <c r="A15800" s="426"/>
    </row>
    <row r="15801" spans="1:1" s="427" customFormat="1" ht="12" hidden="1" customHeight="1">
      <c r="A15801" s="426"/>
    </row>
    <row r="15802" spans="1:1" s="427" customFormat="1" ht="12" hidden="1" customHeight="1">
      <c r="A15802" s="426"/>
    </row>
    <row r="15803" spans="1:1" s="427" customFormat="1" ht="12" hidden="1" customHeight="1">
      <c r="A15803" s="426"/>
    </row>
    <row r="15804" spans="1:1" s="427" customFormat="1" ht="12" hidden="1" customHeight="1">
      <c r="A15804" s="426"/>
    </row>
    <row r="15805" spans="1:1" s="427" customFormat="1" ht="12" hidden="1" customHeight="1">
      <c r="A15805" s="426"/>
    </row>
    <row r="15806" spans="1:1" s="427" customFormat="1" ht="12" hidden="1" customHeight="1">
      <c r="A15806" s="426"/>
    </row>
    <row r="15807" spans="1:1" s="427" customFormat="1" ht="12" hidden="1" customHeight="1">
      <c r="A15807" s="426"/>
    </row>
    <row r="15808" spans="1:1" s="427" customFormat="1" ht="12" hidden="1" customHeight="1">
      <c r="A15808" s="426"/>
    </row>
    <row r="15809" spans="1:1" s="427" customFormat="1" ht="12" hidden="1" customHeight="1">
      <c r="A15809" s="426"/>
    </row>
    <row r="15810" spans="1:1" s="427" customFormat="1" ht="12" hidden="1" customHeight="1">
      <c r="A15810" s="426"/>
    </row>
    <row r="15811" spans="1:1" s="427" customFormat="1" ht="12" hidden="1" customHeight="1">
      <c r="A15811" s="426"/>
    </row>
    <row r="15812" spans="1:1" s="427" customFormat="1" ht="12" hidden="1" customHeight="1">
      <c r="A15812" s="426"/>
    </row>
    <row r="15813" spans="1:1" s="427" customFormat="1" ht="12" hidden="1" customHeight="1">
      <c r="A15813" s="426"/>
    </row>
    <row r="15814" spans="1:1" s="427" customFormat="1" ht="12" hidden="1" customHeight="1">
      <c r="A15814" s="426"/>
    </row>
    <row r="15815" spans="1:1" s="427" customFormat="1" ht="12" hidden="1" customHeight="1">
      <c r="A15815" s="426"/>
    </row>
    <row r="15816" spans="1:1" s="427" customFormat="1" ht="12" hidden="1" customHeight="1">
      <c r="A15816" s="426"/>
    </row>
    <row r="15817" spans="1:1" s="427" customFormat="1" ht="12" hidden="1" customHeight="1">
      <c r="A15817" s="426"/>
    </row>
    <row r="15818" spans="1:1" s="427" customFormat="1" ht="12" hidden="1" customHeight="1">
      <c r="A15818" s="426"/>
    </row>
    <row r="15819" spans="1:1" s="427" customFormat="1" ht="12" hidden="1" customHeight="1">
      <c r="A15819" s="426"/>
    </row>
    <row r="15820" spans="1:1" s="427" customFormat="1" ht="12" hidden="1" customHeight="1">
      <c r="A15820" s="426"/>
    </row>
    <row r="15821" spans="1:1" s="427" customFormat="1" ht="12" hidden="1" customHeight="1">
      <c r="A15821" s="426"/>
    </row>
    <row r="15822" spans="1:1" s="427" customFormat="1" ht="12" hidden="1" customHeight="1">
      <c r="A15822" s="426"/>
    </row>
    <row r="15823" spans="1:1" s="427" customFormat="1" ht="12" hidden="1" customHeight="1">
      <c r="A15823" s="426"/>
    </row>
    <row r="15824" spans="1:1" s="427" customFormat="1" ht="12" hidden="1" customHeight="1">
      <c r="A15824" s="426"/>
    </row>
    <row r="15825" spans="1:1" s="427" customFormat="1" ht="12" hidden="1" customHeight="1">
      <c r="A15825" s="426"/>
    </row>
    <row r="15826" spans="1:1" s="427" customFormat="1" ht="12" hidden="1" customHeight="1">
      <c r="A15826" s="426"/>
    </row>
    <row r="15827" spans="1:1" s="427" customFormat="1" ht="12" hidden="1" customHeight="1">
      <c r="A15827" s="426"/>
    </row>
    <row r="15828" spans="1:1" s="427" customFormat="1" ht="12" hidden="1" customHeight="1">
      <c r="A15828" s="426"/>
    </row>
    <row r="15829" spans="1:1" s="427" customFormat="1" ht="12" hidden="1" customHeight="1">
      <c r="A15829" s="426"/>
    </row>
    <row r="15830" spans="1:1" s="427" customFormat="1" ht="12" hidden="1" customHeight="1">
      <c r="A15830" s="426"/>
    </row>
    <row r="15831" spans="1:1" s="427" customFormat="1" ht="12" hidden="1" customHeight="1">
      <c r="A15831" s="426"/>
    </row>
    <row r="15832" spans="1:1" s="427" customFormat="1" ht="12" hidden="1" customHeight="1">
      <c r="A15832" s="426"/>
    </row>
    <row r="15833" spans="1:1" s="427" customFormat="1" ht="12" hidden="1" customHeight="1">
      <c r="A15833" s="426"/>
    </row>
    <row r="15834" spans="1:1" s="427" customFormat="1" ht="12" hidden="1" customHeight="1">
      <c r="A15834" s="426"/>
    </row>
    <row r="15835" spans="1:1" s="427" customFormat="1" ht="12" hidden="1" customHeight="1">
      <c r="A15835" s="426"/>
    </row>
    <row r="15836" spans="1:1" s="427" customFormat="1" ht="12" hidden="1" customHeight="1">
      <c r="A15836" s="426"/>
    </row>
    <row r="15837" spans="1:1" s="427" customFormat="1" ht="12" hidden="1" customHeight="1">
      <c r="A15837" s="426"/>
    </row>
    <row r="15838" spans="1:1" s="427" customFormat="1" ht="12" hidden="1" customHeight="1">
      <c r="A15838" s="426"/>
    </row>
    <row r="15839" spans="1:1" s="427" customFormat="1" ht="12" hidden="1" customHeight="1">
      <c r="A15839" s="426"/>
    </row>
    <row r="15840" spans="1:1" s="427" customFormat="1" ht="12" hidden="1" customHeight="1">
      <c r="A15840" s="426"/>
    </row>
    <row r="15841" spans="1:1" s="427" customFormat="1" ht="12" hidden="1" customHeight="1">
      <c r="A15841" s="426"/>
    </row>
    <row r="15842" spans="1:1" s="427" customFormat="1" ht="12" hidden="1" customHeight="1">
      <c r="A15842" s="426"/>
    </row>
    <row r="15843" spans="1:1" s="427" customFormat="1" ht="12" hidden="1" customHeight="1">
      <c r="A15843" s="426"/>
    </row>
    <row r="15844" spans="1:1" s="427" customFormat="1" ht="12" hidden="1" customHeight="1">
      <c r="A15844" s="426"/>
    </row>
    <row r="15845" spans="1:1" s="427" customFormat="1" ht="12" hidden="1" customHeight="1">
      <c r="A15845" s="426"/>
    </row>
    <row r="15846" spans="1:1" s="427" customFormat="1" ht="12" hidden="1" customHeight="1">
      <c r="A15846" s="426"/>
    </row>
    <row r="15847" spans="1:1" s="427" customFormat="1" ht="12" hidden="1" customHeight="1">
      <c r="A15847" s="426"/>
    </row>
    <row r="15848" spans="1:1" s="427" customFormat="1" ht="12" hidden="1" customHeight="1">
      <c r="A15848" s="426"/>
    </row>
    <row r="15849" spans="1:1" s="427" customFormat="1" ht="12" hidden="1" customHeight="1">
      <c r="A15849" s="426"/>
    </row>
    <row r="15850" spans="1:1" s="427" customFormat="1" ht="12" hidden="1" customHeight="1">
      <c r="A15850" s="426"/>
    </row>
    <row r="15851" spans="1:1" s="427" customFormat="1" ht="12" hidden="1" customHeight="1">
      <c r="A15851" s="426"/>
    </row>
    <row r="15852" spans="1:1" s="427" customFormat="1" ht="12" hidden="1" customHeight="1">
      <c r="A15852" s="426"/>
    </row>
    <row r="15853" spans="1:1" s="427" customFormat="1" ht="12" hidden="1" customHeight="1">
      <c r="A15853" s="426"/>
    </row>
    <row r="15854" spans="1:1" s="427" customFormat="1" ht="12" hidden="1" customHeight="1">
      <c r="A15854" s="426"/>
    </row>
    <row r="15855" spans="1:1" s="427" customFormat="1" ht="12" hidden="1" customHeight="1">
      <c r="A15855" s="426"/>
    </row>
    <row r="15856" spans="1:1" s="427" customFormat="1" ht="12" hidden="1" customHeight="1">
      <c r="A15856" s="426"/>
    </row>
    <row r="15857" spans="1:1" s="427" customFormat="1" ht="12" hidden="1" customHeight="1">
      <c r="A15857" s="426"/>
    </row>
    <row r="15858" spans="1:1" s="427" customFormat="1" ht="12" hidden="1" customHeight="1">
      <c r="A15858" s="426"/>
    </row>
    <row r="15859" spans="1:1" s="427" customFormat="1" ht="12" hidden="1" customHeight="1">
      <c r="A15859" s="426"/>
    </row>
    <row r="15860" spans="1:1" s="427" customFormat="1" ht="12" hidden="1" customHeight="1">
      <c r="A15860" s="426"/>
    </row>
    <row r="15861" spans="1:1" s="427" customFormat="1" ht="12" hidden="1" customHeight="1">
      <c r="A15861" s="426"/>
    </row>
    <row r="15862" spans="1:1" s="427" customFormat="1" ht="12" hidden="1" customHeight="1">
      <c r="A15862" s="426"/>
    </row>
    <row r="15863" spans="1:1" s="427" customFormat="1" ht="12" hidden="1" customHeight="1">
      <c r="A15863" s="426"/>
    </row>
    <row r="15864" spans="1:1" s="427" customFormat="1" ht="12" hidden="1" customHeight="1">
      <c r="A15864" s="426"/>
    </row>
    <row r="15865" spans="1:1" s="427" customFormat="1" ht="12" hidden="1" customHeight="1">
      <c r="A15865" s="426"/>
    </row>
    <row r="15866" spans="1:1" s="427" customFormat="1" ht="12" hidden="1" customHeight="1">
      <c r="A15866" s="426"/>
    </row>
    <row r="15867" spans="1:1" s="427" customFormat="1" ht="12" hidden="1" customHeight="1">
      <c r="A15867" s="426"/>
    </row>
    <row r="15868" spans="1:1" s="427" customFormat="1" ht="12" hidden="1" customHeight="1">
      <c r="A15868" s="426"/>
    </row>
    <row r="15869" spans="1:1" s="427" customFormat="1" ht="12" hidden="1" customHeight="1">
      <c r="A15869" s="426"/>
    </row>
    <row r="15870" spans="1:1" s="427" customFormat="1" ht="12" hidden="1" customHeight="1">
      <c r="A15870" s="426"/>
    </row>
    <row r="15871" spans="1:1" s="427" customFormat="1" ht="12" hidden="1" customHeight="1">
      <c r="A15871" s="426"/>
    </row>
    <row r="15872" spans="1:1" s="427" customFormat="1" ht="12" hidden="1" customHeight="1">
      <c r="A15872" s="426"/>
    </row>
    <row r="15873" spans="1:1" s="427" customFormat="1" ht="12" hidden="1" customHeight="1">
      <c r="A15873" s="426"/>
    </row>
    <row r="15874" spans="1:1" s="427" customFormat="1" ht="12" hidden="1" customHeight="1">
      <c r="A15874" s="426"/>
    </row>
    <row r="15875" spans="1:1" s="427" customFormat="1" ht="12" hidden="1" customHeight="1">
      <c r="A15875" s="426"/>
    </row>
    <row r="15876" spans="1:1" s="427" customFormat="1" ht="12" hidden="1" customHeight="1">
      <c r="A15876" s="426"/>
    </row>
    <row r="15877" spans="1:1" s="427" customFormat="1" ht="12" hidden="1" customHeight="1">
      <c r="A15877" s="426"/>
    </row>
    <row r="15878" spans="1:1" s="427" customFormat="1" ht="12" hidden="1" customHeight="1">
      <c r="A15878" s="426"/>
    </row>
    <row r="15879" spans="1:1" s="427" customFormat="1" ht="12" hidden="1" customHeight="1">
      <c r="A15879" s="426"/>
    </row>
    <row r="15880" spans="1:1" s="427" customFormat="1" ht="12" hidden="1" customHeight="1">
      <c r="A15880" s="426"/>
    </row>
    <row r="15881" spans="1:1" s="427" customFormat="1" ht="12" hidden="1" customHeight="1">
      <c r="A15881" s="426"/>
    </row>
    <row r="15882" spans="1:1" s="427" customFormat="1" ht="12" hidden="1" customHeight="1">
      <c r="A15882" s="426"/>
    </row>
    <row r="15883" spans="1:1" s="427" customFormat="1" ht="12" hidden="1" customHeight="1">
      <c r="A15883" s="426"/>
    </row>
    <row r="15884" spans="1:1" s="427" customFormat="1" ht="12" hidden="1" customHeight="1">
      <c r="A15884" s="426"/>
    </row>
    <row r="15885" spans="1:1" s="427" customFormat="1" ht="12" hidden="1" customHeight="1">
      <c r="A15885" s="426"/>
    </row>
    <row r="15886" spans="1:1" s="427" customFormat="1" ht="12" hidden="1" customHeight="1">
      <c r="A15886" s="426"/>
    </row>
    <row r="15887" spans="1:1" s="427" customFormat="1" ht="12" hidden="1" customHeight="1">
      <c r="A15887" s="426"/>
    </row>
    <row r="15888" spans="1:1" s="427" customFormat="1" ht="12" hidden="1" customHeight="1">
      <c r="A15888" s="426"/>
    </row>
    <row r="15889" spans="1:1" s="427" customFormat="1" ht="12" hidden="1" customHeight="1">
      <c r="A15889" s="426"/>
    </row>
    <row r="15890" spans="1:1" s="427" customFormat="1" ht="12" hidden="1" customHeight="1">
      <c r="A15890" s="426"/>
    </row>
    <row r="15891" spans="1:1" s="427" customFormat="1" ht="12" hidden="1" customHeight="1">
      <c r="A15891" s="426"/>
    </row>
    <row r="15892" spans="1:1" s="427" customFormat="1" ht="12" hidden="1" customHeight="1">
      <c r="A15892" s="426"/>
    </row>
    <row r="15893" spans="1:1" s="427" customFormat="1" ht="12" hidden="1" customHeight="1">
      <c r="A15893" s="426"/>
    </row>
    <row r="15894" spans="1:1" s="427" customFormat="1" ht="12" hidden="1" customHeight="1">
      <c r="A15894" s="426"/>
    </row>
    <row r="15895" spans="1:1" s="427" customFormat="1" ht="12" hidden="1" customHeight="1">
      <c r="A15895" s="426"/>
    </row>
    <row r="15896" spans="1:1" s="427" customFormat="1" ht="12" hidden="1" customHeight="1">
      <c r="A15896" s="426"/>
    </row>
    <row r="15897" spans="1:1" s="427" customFormat="1" ht="12" hidden="1" customHeight="1">
      <c r="A15897" s="426"/>
    </row>
    <row r="15898" spans="1:1" s="427" customFormat="1" ht="12" hidden="1" customHeight="1">
      <c r="A15898" s="426"/>
    </row>
    <row r="15899" spans="1:1" s="427" customFormat="1" ht="12" hidden="1" customHeight="1">
      <c r="A15899" s="426"/>
    </row>
    <row r="15900" spans="1:1" s="427" customFormat="1" ht="12" hidden="1" customHeight="1">
      <c r="A15900" s="426"/>
    </row>
    <row r="15901" spans="1:1" s="427" customFormat="1" ht="12" hidden="1" customHeight="1">
      <c r="A15901" s="426"/>
    </row>
    <row r="15902" spans="1:1" s="427" customFormat="1" ht="12" hidden="1" customHeight="1">
      <c r="A15902" s="426"/>
    </row>
    <row r="15903" spans="1:1" s="427" customFormat="1" ht="12" hidden="1" customHeight="1">
      <c r="A15903" s="426"/>
    </row>
    <row r="15904" spans="1:1" s="427" customFormat="1" ht="12" hidden="1" customHeight="1">
      <c r="A15904" s="426"/>
    </row>
    <row r="15905" spans="1:1" s="427" customFormat="1" ht="12" hidden="1" customHeight="1">
      <c r="A15905" s="426"/>
    </row>
    <row r="15906" spans="1:1" s="427" customFormat="1" ht="12" hidden="1" customHeight="1">
      <c r="A15906" s="426"/>
    </row>
    <row r="15907" spans="1:1" s="427" customFormat="1" ht="12" hidden="1" customHeight="1">
      <c r="A15907" s="426"/>
    </row>
    <row r="15908" spans="1:1" s="427" customFormat="1" ht="12" hidden="1" customHeight="1">
      <c r="A15908" s="426"/>
    </row>
    <row r="15909" spans="1:1" s="427" customFormat="1" ht="12" hidden="1" customHeight="1">
      <c r="A15909" s="426"/>
    </row>
    <row r="15910" spans="1:1" s="427" customFormat="1" ht="12" hidden="1" customHeight="1">
      <c r="A15910" s="426"/>
    </row>
    <row r="15911" spans="1:1" s="427" customFormat="1" ht="12" hidden="1" customHeight="1">
      <c r="A15911" s="426"/>
    </row>
    <row r="15912" spans="1:1" s="427" customFormat="1" ht="12" hidden="1" customHeight="1">
      <c r="A15912" s="426"/>
    </row>
    <row r="15913" spans="1:1" s="427" customFormat="1" ht="12" hidden="1" customHeight="1">
      <c r="A15913" s="426"/>
    </row>
    <row r="15914" spans="1:1" s="427" customFormat="1" ht="12" hidden="1" customHeight="1">
      <c r="A15914" s="426"/>
    </row>
    <row r="15915" spans="1:1" s="427" customFormat="1" ht="12" hidden="1" customHeight="1">
      <c r="A15915" s="426"/>
    </row>
    <row r="15916" spans="1:1" s="427" customFormat="1" ht="12" hidden="1" customHeight="1">
      <c r="A15916" s="426"/>
    </row>
    <row r="15917" spans="1:1" s="427" customFormat="1" ht="12" hidden="1" customHeight="1">
      <c r="A15917" s="426"/>
    </row>
    <row r="15918" spans="1:1" s="427" customFormat="1" ht="12" hidden="1" customHeight="1">
      <c r="A15918" s="426"/>
    </row>
    <row r="15919" spans="1:1" s="427" customFormat="1" ht="12" hidden="1" customHeight="1">
      <c r="A15919" s="426"/>
    </row>
    <row r="15920" spans="1:1" s="427" customFormat="1" ht="12" hidden="1" customHeight="1">
      <c r="A15920" s="426"/>
    </row>
    <row r="15921" spans="1:1" s="427" customFormat="1" ht="12" hidden="1" customHeight="1">
      <c r="A15921" s="426"/>
    </row>
    <row r="15922" spans="1:1" s="427" customFormat="1" ht="12" hidden="1" customHeight="1">
      <c r="A15922" s="426"/>
    </row>
    <row r="15923" spans="1:1" s="427" customFormat="1" ht="12" hidden="1" customHeight="1">
      <c r="A15923" s="426"/>
    </row>
    <row r="15924" spans="1:1" s="427" customFormat="1" ht="12" hidden="1" customHeight="1">
      <c r="A15924" s="426"/>
    </row>
    <row r="15925" spans="1:1" s="427" customFormat="1" ht="12" hidden="1" customHeight="1">
      <c r="A15925" s="426"/>
    </row>
    <row r="15926" spans="1:1" s="427" customFormat="1" ht="12" hidden="1" customHeight="1">
      <c r="A15926" s="426"/>
    </row>
    <row r="15927" spans="1:1" s="427" customFormat="1" ht="12" hidden="1" customHeight="1">
      <c r="A15927" s="426"/>
    </row>
    <row r="15928" spans="1:1" s="427" customFormat="1" ht="12" hidden="1" customHeight="1">
      <c r="A15928" s="426"/>
    </row>
    <row r="15929" spans="1:1" s="427" customFormat="1" ht="12" hidden="1" customHeight="1">
      <c r="A15929" s="426"/>
    </row>
    <row r="15930" spans="1:1" s="427" customFormat="1" ht="12" hidden="1" customHeight="1">
      <c r="A15930" s="426"/>
    </row>
    <row r="15931" spans="1:1" s="427" customFormat="1" ht="12" hidden="1" customHeight="1">
      <c r="A15931" s="426"/>
    </row>
    <row r="15932" spans="1:1" s="427" customFormat="1" ht="12" hidden="1" customHeight="1">
      <c r="A15932" s="426"/>
    </row>
    <row r="15933" spans="1:1" s="427" customFormat="1" ht="12" hidden="1" customHeight="1">
      <c r="A15933" s="426"/>
    </row>
    <row r="15934" spans="1:1" s="427" customFormat="1" ht="12" hidden="1" customHeight="1">
      <c r="A15934" s="426"/>
    </row>
    <row r="15935" spans="1:1" s="427" customFormat="1" ht="12" hidden="1" customHeight="1">
      <c r="A15935" s="426"/>
    </row>
    <row r="15936" spans="1:1" s="427" customFormat="1" ht="12" hidden="1" customHeight="1">
      <c r="A15936" s="426"/>
    </row>
    <row r="15937" spans="1:1" s="427" customFormat="1" ht="12" hidden="1" customHeight="1">
      <c r="A15937" s="426"/>
    </row>
    <row r="15938" spans="1:1" s="427" customFormat="1" ht="12" hidden="1" customHeight="1">
      <c r="A15938" s="426"/>
    </row>
    <row r="15939" spans="1:1" s="427" customFormat="1" ht="12" hidden="1" customHeight="1">
      <c r="A15939" s="426"/>
    </row>
    <row r="15940" spans="1:1" s="427" customFormat="1" ht="12" hidden="1" customHeight="1">
      <c r="A15940" s="426"/>
    </row>
    <row r="15941" spans="1:1" s="427" customFormat="1" ht="12" hidden="1" customHeight="1">
      <c r="A15941" s="426"/>
    </row>
    <row r="15942" spans="1:1" s="427" customFormat="1" ht="12" hidden="1" customHeight="1">
      <c r="A15942" s="426"/>
    </row>
    <row r="15943" spans="1:1" s="427" customFormat="1" ht="12" hidden="1" customHeight="1">
      <c r="A15943" s="426"/>
    </row>
    <row r="15944" spans="1:1" s="427" customFormat="1" ht="12" hidden="1" customHeight="1">
      <c r="A15944" s="426"/>
    </row>
    <row r="15945" spans="1:1" s="427" customFormat="1" ht="12" hidden="1" customHeight="1">
      <c r="A15945" s="426"/>
    </row>
    <row r="15946" spans="1:1" s="427" customFormat="1" ht="12" hidden="1" customHeight="1">
      <c r="A15946" s="426"/>
    </row>
    <row r="15947" spans="1:1" s="427" customFormat="1" ht="12" hidden="1" customHeight="1">
      <c r="A15947" s="426"/>
    </row>
    <row r="15948" spans="1:1" s="427" customFormat="1" ht="12" hidden="1" customHeight="1">
      <c r="A15948" s="426"/>
    </row>
    <row r="15949" spans="1:1" s="427" customFormat="1" ht="12" hidden="1" customHeight="1">
      <c r="A15949" s="426"/>
    </row>
    <row r="15950" spans="1:1" s="427" customFormat="1" ht="12" hidden="1" customHeight="1">
      <c r="A15950" s="426"/>
    </row>
    <row r="15951" spans="1:1" s="427" customFormat="1" ht="12" hidden="1" customHeight="1">
      <c r="A15951" s="426"/>
    </row>
    <row r="15952" spans="1:1" s="427" customFormat="1" ht="12" hidden="1" customHeight="1">
      <c r="A15952" s="426"/>
    </row>
    <row r="15953" spans="1:1" s="427" customFormat="1" ht="12" hidden="1" customHeight="1">
      <c r="A15953" s="426"/>
    </row>
    <row r="15954" spans="1:1" s="427" customFormat="1" ht="12" hidden="1" customHeight="1">
      <c r="A15954" s="426"/>
    </row>
    <row r="15955" spans="1:1" s="427" customFormat="1" ht="12" hidden="1" customHeight="1">
      <c r="A15955" s="426"/>
    </row>
    <row r="15956" spans="1:1" s="427" customFormat="1" ht="12" hidden="1" customHeight="1">
      <c r="A15956" s="426"/>
    </row>
    <row r="15957" spans="1:1" s="427" customFormat="1" ht="12" hidden="1" customHeight="1">
      <c r="A15957" s="426"/>
    </row>
    <row r="15958" spans="1:1" s="427" customFormat="1" ht="12" hidden="1" customHeight="1">
      <c r="A15958" s="426"/>
    </row>
    <row r="15959" spans="1:1" s="427" customFormat="1" ht="12" hidden="1" customHeight="1">
      <c r="A15959" s="426"/>
    </row>
    <row r="15960" spans="1:1" s="427" customFormat="1" ht="12" hidden="1" customHeight="1">
      <c r="A15960" s="426"/>
    </row>
    <row r="15961" spans="1:1" s="427" customFormat="1" ht="12" hidden="1" customHeight="1">
      <c r="A15961" s="426"/>
    </row>
    <row r="15962" spans="1:1" s="427" customFormat="1" ht="12" hidden="1" customHeight="1">
      <c r="A15962" s="426"/>
    </row>
    <row r="15963" spans="1:1" s="427" customFormat="1" ht="12" hidden="1" customHeight="1">
      <c r="A15963" s="426"/>
    </row>
    <row r="15964" spans="1:1" s="427" customFormat="1" ht="12" hidden="1" customHeight="1">
      <c r="A15964" s="426"/>
    </row>
    <row r="15965" spans="1:1" s="427" customFormat="1" ht="12" hidden="1" customHeight="1">
      <c r="A15965" s="426"/>
    </row>
    <row r="15966" spans="1:1" s="427" customFormat="1" ht="12" hidden="1" customHeight="1">
      <c r="A15966" s="426"/>
    </row>
    <row r="15967" spans="1:1" s="427" customFormat="1" ht="12" hidden="1" customHeight="1">
      <c r="A15967" s="426"/>
    </row>
    <row r="15968" spans="1:1" s="427" customFormat="1" ht="12" hidden="1" customHeight="1">
      <c r="A15968" s="426"/>
    </row>
    <row r="15969" spans="1:1" s="427" customFormat="1" ht="12" hidden="1" customHeight="1">
      <c r="A15969" s="426"/>
    </row>
    <row r="15970" spans="1:1" s="427" customFormat="1" ht="12" hidden="1" customHeight="1">
      <c r="A15970" s="426"/>
    </row>
    <row r="15971" spans="1:1" s="427" customFormat="1" ht="12" hidden="1" customHeight="1">
      <c r="A15971" s="426"/>
    </row>
    <row r="15972" spans="1:1" s="427" customFormat="1" ht="12" hidden="1" customHeight="1">
      <c r="A15972" s="426"/>
    </row>
    <row r="15973" spans="1:1" s="427" customFormat="1" ht="12" hidden="1" customHeight="1">
      <c r="A15973" s="426"/>
    </row>
    <row r="15974" spans="1:1" s="427" customFormat="1" ht="12" hidden="1" customHeight="1">
      <c r="A15974" s="426"/>
    </row>
    <row r="15975" spans="1:1" s="427" customFormat="1" ht="12" hidden="1" customHeight="1">
      <c r="A15975" s="426"/>
    </row>
    <row r="15976" spans="1:1" s="427" customFormat="1" ht="12" hidden="1" customHeight="1">
      <c r="A15976" s="426"/>
    </row>
    <row r="15977" spans="1:1" s="427" customFormat="1" ht="12" hidden="1" customHeight="1">
      <c r="A15977" s="426"/>
    </row>
    <row r="15978" spans="1:1" s="427" customFormat="1" ht="12" hidden="1" customHeight="1">
      <c r="A15978" s="426"/>
    </row>
    <row r="15979" spans="1:1" s="427" customFormat="1" ht="12" hidden="1" customHeight="1">
      <c r="A15979" s="426"/>
    </row>
    <row r="15980" spans="1:1" s="427" customFormat="1" ht="12" hidden="1" customHeight="1">
      <c r="A15980" s="426"/>
    </row>
    <row r="15981" spans="1:1" s="427" customFormat="1" ht="12" hidden="1" customHeight="1">
      <c r="A15981" s="426"/>
    </row>
    <row r="15982" spans="1:1" s="427" customFormat="1" ht="12" hidden="1" customHeight="1">
      <c r="A15982" s="426"/>
    </row>
    <row r="15983" spans="1:1" s="427" customFormat="1" ht="12" hidden="1" customHeight="1">
      <c r="A15983" s="426"/>
    </row>
    <row r="15984" spans="1:1" s="427" customFormat="1" ht="12" hidden="1" customHeight="1">
      <c r="A15984" s="426"/>
    </row>
    <row r="15985" spans="1:1" s="427" customFormat="1" ht="12" hidden="1" customHeight="1">
      <c r="A15985" s="426"/>
    </row>
    <row r="15986" spans="1:1" s="427" customFormat="1" ht="12" hidden="1" customHeight="1">
      <c r="A15986" s="426"/>
    </row>
    <row r="15987" spans="1:1" s="427" customFormat="1" ht="12" hidden="1" customHeight="1">
      <c r="A15987" s="426"/>
    </row>
    <row r="15988" spans="1:1" s="427" customFormat="1" ht="12" hidden="1" customHeight="1">
      <c r="A15988" s="426"/>
    </row>
    <row r="15989" spans="1:1" s="427" customFormat="1" ht="12" hidden="1" customHeight="1">
      <c r="A15989" s="426"/>
    </row>
    <row r="15990" spans="1:1" s="427" customFormat="1" ht="12" hidden="1" customHeight="1">
      <c r="A15990" s="426"/>
    </row>
    <row r="15991" spans="1:1" s="427" customFormat="1" ht="12" hidden="1" customHeight="1">
      <c r="A15991" s="426"/>
    </row>
    <row r="15992" spans="1:1" s="427" customFormat="1" ht="12" hidden="1" customHeight="1">
      <c r="A15992" s="426"/>
    </row>
    <row r="15993" spans="1:1" s="427" customFormat="1" ht="12" hidden="1" customHeight="1">
      <c r="A15993" s="426"/>
    </row>
    <row r="15994" spans="1:1" s="427" customFormat="1" ht="12" hidden="1" customHeight="1">
      <c r="A15994" s="426"/>
    </row>
    <row r="15995" spans="1:1" s="427" customFormat="1" ht="12" hidden="1" customHeight="1">
      <c r="A15995" s="426"/>
    </row>
    <row r="15996" spans="1:1" s="427" customFormat="1" ht="12" hidden="1" customHeight="1">
      <c r="A15996" s="426"/>
    </row>
    <row r="15997" spans="1:1" s="427" customFormat="1" ht="12" hidden="1" customHeight="1">
      <c r="A15997" s="426"/>
    </row>
    <row r="15998" spans="1:1" s="427" customFormat="1" ht="12" hidden="1" customHeight="1">
      <c r="A15998" s="426"/>
    </row>
    <row r="15999" spans="1:1" s="427" customFormat="1" ht="12" hidden="1" customHeight="1">
      <c r="A15999" s="426"/>
    </row>
    <row r="16000" spans="1:1" s="427" customFormat="1" ht="12" hidden="1" customHeight="1">
      <c r="A16000" s="426"/>
    </row>
    <row r="16001" spans="1:1" s="427" customFormat="1" ht="12" hidden="1" customHeight="1">
      <c r="A16001" s="426"/>
    </row>
    <row r="16002" spans="1:1" s="427" customFormat="1" ht="12" hidden="1" customHeight="1">
      <c r="A16002" s="426"/>
    </row>
    <row r="16003" spans="1:1" s="427" customFormat="1" ht="12" hidden="1" customHeight="1">
      <c r="A16003" s="426"/>
    </row>
    <row r="16004" spans="1:1" s="427" customFormat="1" ht="12" hidden="1" customHeight="1">
      <c r="A16004" s="426"/>
    </row>
    <row r="16005" spans="1:1" s="427" customFormat="1" ht="12" hidden="1" customHeight="1">
      <c r="A16005" s="426"/>
    </row>
    <row r="16006" spans="1:1" s="427" customFormat="1" ht="12" hidden="1" customHeight="1">
      <c r="A16006" s="426"/>
    </row>
    <row r="16007" spans="1:1" s="427" customFormat="1" ht="12" hidden="1" customHeight="1">
      <c r="A16007" s="426"/>
    </row>
    <row r="16008" spans="1:1" s="427" customFormat="1" ht="12" hidden="1" customHeight="1">
      <c r="A16008" s="426"/>
    </row>
    <row r="16009" spans="1:1" s="427" customFormat="1" ht="12" hidden="1" customHeight="1">
      <c r="A16009" s="426"/>
    </row>
    <row r="16010" spans="1:1" s="427" customFormat="1" ht="12" hidden="1" customHeight="1">
      <c r="A16010" s="426"/>
    </row>
    <row r="16011" spans="1:1" s="427" customFormat="1" ht="12" hidden="1" customHeight="1">
      <c r="A16011" s="426"/>
    </row>
    <row r="16012" spans="1:1" s="427" customFormat="1" ht="12" hidden="1" customHeight="1">
      <c r="A16012" s="426"/>
    </row>
    <row r="16013" spans="1:1" s="427" customFormat="1" ht="12" hidden="1" customHeight="1">
      <c r="A16013" s="426"/>
    </row>
    <row r="16014" spans="1:1" s="427" customFormat="1" ht="12" hidden="1" customHeight="1">
      <c r="A16014" s="426"/>
    </row>
    <row r="16015" spans="1:1" s="427" customFormat="1" ht="12" hidden="1" customHeight="1">
      <c r="A16015" s="426"/>
    </row>
    <row r="16016" spans="1:1" s="427" customFormat="1" ht="12" hidden="1" customHeight="1">
      <c r="A16016" s="426"/>
    </row>
    <row r="16017" spans="1:1" s="427" customFormat="1" ht="12" hidden="1" customHeight="1">
      <c r="A16017" s="426"/>
    </row>
    <row r="16018" spans="1:1" s="427" customFormat="1" ht="12" hidden="1" customHeight="1">
      <c r="A16018" s="426"/>
    </row>
    <row r="16019" spans="1:1" s="427" customFormat="1" ht="12" hidden="1" customHeight="1">
      <c r="A16019" s="426"/>
    </row>
    <row r="16020" spans="1:1" s="427" customFormat="1" ht="12" hidden="1" customHeight="1">
      <c r="A16020" s="426"/>
    </row>
    <row r="16021" spans="1:1" s="427" customFormat="1" ht="12" hidden="1" customHeight="1">
      <c r="A16021" s="426"/>
    </row>
    <row r="16022" spans="1:1" s="427" customFormat="1" ht="12" hidden="1" customHeight="1">
      <c r="A16022" s="426"/>
    </row>
    <row r="16023" spans="1:1" s="427" customFormat="1" ht="12" hidden="1" customHeight="1">
      <c r="A16023" s="426"/>
    </row>
    <row r="16024" spans="1:1" s="427" customFormat="1" ht="12" hidden="1" customHeight="1">
      <c r="A16024" s="426"/>
    </row>
    <row r="16025" spans="1:1" s="427" customFormat="1" ht="12" hidden="1" customHeight="1">
      <c r="A16025" s="426"/>
    </row>
    <row r="16026" spans="1:1" s="427" customFormat="1" ht="12" hidden="1" customHeight="1">
      <c r="A16026" s="426"/>
    </row>
    <row r="16027" spans="1:1" s="427" customFormat="1" ht="12" hidden="1" customHeight="1">
      <c r="A16027" s="426"/>
    </row>
    <row r="16028" spans="1:1" s="427" customFormat="1" ht="12" hidden="1" customHeight="1">
      <c r="A16028" s="426"/>
    </row>
    <row r="16029" spans="1:1" s="427" customFormat="1" ht="12" hidden="1" customHeight="1">
      <c r="A16029" s="426"/>
    </row>
    <row r="16030" spans="1:1" s="427" customFormat="1" ht="12" hidden="1" customHeight="1">
      <c r="A16030" s="426"/>
    </row>
    <row r="16031" spans="1:1" s="427" customFormat="1" ht="12" hidden="1" customHeight="1">
      <c r="A16031" s="426"/>
    </row>
    <row r="16032" spans="1:1" s="427" customFormat="1" ht="12" hidden="1" customHeight="1">
      <c r="A16032" s="426"/>
    </row>
    <row r="16033" spans="1:1" s="427" customFormat="1" ht="12" hidden="1" customHeight="1">
      <c r="A16033" s="426"/>
    </row>
    <row r="16034" spans="1:1" s="427" customFormat="1" ht="12" hidden="1" customHeight="1">
      <c r="A16034" s="426"/>
    </row>
    <row r="16035" spans="1:1" s="427" customFormat="1" ht="12" hidden="1" customHeight="1">
      <c r="A16035" s="426"/>
    </row>
    <row r="16036" spans="1:1" s="427" customFormat="1" ht="12" hidden="1" customHeight="1">
      <c r="A16036" s="426"/>
    </row>
    <row r="16037" spans="1:1" s="427" customFormat="1" ht="12" hidden="1" customHeight="1">
      <c r="A16037" s="426"/>
    </row>
    <row r="16038" spans="1:1" s="427" customFormat="1" ht="12" hidden="1" customHeight="1">
      <c r="A16038" s="426"/>
    </row>
    <row r="16039" spans="1:1" s="427" customFormat="1" ht="12" hidden="1" customHeight="1">
      <c r="A16039" s="426"/>
    </row>
    <row r="16040" spans="1:1" s="427" customFormat="1" ht="12" hidden="1" customHeight="1">
      <c r="A16040" s="426"/>
    </row>
    <row r="16041" spans="1:1" s="427" customFormat="1" ht="12" hidden="1" customHeight="1">
      <c r="A16041" s="426"/>
    </row>
    <row r="16042" spans="1:1" s="427" customFormat="1" ht="12" hidden="1" customHeight="1">
      <c r="A16042" s="426"/>
    </row>
    <row r="16043" spans="1:1" s="427" customFormat="1" ht="12" hidden="1" customHeight="1">
      <c r="A16043" s="426"/>
    </row>
    <row r="16044" spans="1:1" s="427" customFormat="1" ht="12" hidden="1" customHeight="1">
      <c r="A16044" s="426"/>
    </row>
    <row r="16045" spans="1:1" s="427" customFormat="1" ht="12" hidden="1" customHeight="1">
      <c r="A16045" s="426"/>
    </row>
    <row r="16046" spans="1:1" s="427" customFormat="1" ht="12" hidden="1" customHeight="1">
      <c r="A16046" s="426"/>
    </row>
    <row r="16047" spans="1:1" s="427" customFormat="1" ht="12" hidden="1" customHeight="1">
      <c r="A16047" s="426"/>
    </row>
    <row r="16048" spans="1:1" s="427" customFormat="1" ht="12" hidden="1" customHeight="1">
      <c r="A16048" s="426"/>
    </row>
    <row r="16049" spans="1:1" s="427" customFormat="1" ht="12" hidden="1" customHeight="1">
      <c r="A16049" s="426"/>
    </row>
    <row r="16050" spans="1:1" s="427" customFormat="1" ht="12" hidden="1" customHeight="1">
      <c r="A16050" s="426"/>
    </row>
    <row r="16051" spans="1:1" s="427" customFormat="1" ht="12" hidden="1" customHeight="1">
      <c r="A16051" s="426"/>
    </row>
    <row r="16052" spans="1:1" s="427" customFormat="1" ht="12" hidden="1" customHeight="1">
      <c r="A16052" s="426"/>
    </row>
    <row r="16053" spans="1:1" s="427" customFormat="1" ht="12" hidden="1" customHeight="1">
      <c r="A16053" s="426"/>
    </row>
    <row r="16054" spans="1:1" s="427" customFormat="1" ht="12" hidden="1" customHeight="1">
      <c r="A16054" s="426"/>
    </row>
    <row r="16055" spans="1:1" s="427" customFormat="1" ht="12" hidden="1" customHeight="1">
      <c r="A16055" s="426"/>
    </row>
    <row r="16056" spans="1:1" s="427" customFormat="1" ht="12" hidden="1" customHeight="1">
      <c r="A16056" s="426"/>
    </row>
    <row r="16057" spans="1:1" s="427" customFormat="1" ht="12" hidden="1" customHeight="1">
      <c r="A16057" s="426"/>
    </row>
    <row r="16058" spans="1:1" s="427" customFormat="1" ht="12" hidden="1" customHeight="1">
      <c r="A16058" s="426"/>
    </row>
    <row r="16059" spans="1:1" s="427" customFormat="1" ht="12" hidden="1" customHeight="1">
      <c r="A16059" s="426"/>
    </row>
    <row r="16060" spans="1:1" s="427" customFormat="1" ht="12" hidden="1" customHeight="1">
      <c r="A16060" s="426"/>
    </row>
    <row r="16061" spans="1:1" s="427" customFormat="1" ht="12" hidden="1" customHeight="1">
      <c r="A16061" s="426"/>
    </row>
    <row r="16062" spans="1:1" s="427" customFormat="1" ht="12" hidden="1" customHeight="1">
      <c r="A16062" s="426"/>
    </row>
    <row r="16063" spans="1:1" s="427" customFormat="1" ht="12" hidden="1" customHeight="1">
      <c r="A16063" s="426"/>
    </row>
    <row r="16064" spans="1:1" s="427" customFormat="1" ht="12" hidden="1" customHeight="1">
      <c r="A16064" s="426"/>
    </row>
    <row r="16065" spans="1:1" s="427" customFormat="1" ht="12" hidden="1" customHeight="1">
      <c r="A16065" s="426"/>
    </row>
    <row r="16066" spans="1:1" s="427" customFormat="1" ht="12" hidden="1" customHeight="1">
      <c r="A16066" s="426"/>
    </row>
    <row r="16067" spans="1:1" s="427" customFormat="1" ht="12" hidden="1" customHeight="1">
      <c r="A16067" s="426"/>
    </row>
    <row r="16068" spans="1:1" s="427" customFormat="1" ht="12" hidden="1" customHeight="1">
      <c r="A16068" s="426"/>
    </row>
    <row r="16069" spans="1:1" s="427" customFormat="1" ht="12" hidden="1" customHeight="1">
      <c r="A16069" s="426"/>
    </row>
    <row r="16070" spans="1:1" s="427" customFormat="1" ht="12" hidden="1" customHeight="1">
      <c r="A16070" s="426"/>
    </row>
    <row r="16071" spans="1:1" s="427" customFormat="1" ht="12" hidden="1" customHeight="1">
      <c r="A16071" s="426"/>
    </row>
    <row r="16072" spans="1:1" s="427" customFormat="1" ht="12" hidden="1" customHeight="1">
      <c r="A16072" s="426"/>
    </row>
    <row r="16073" spans="1:1" s="427" customFormat="1" ht="12" hidden="1" customHeight="1">
      <c r="A16073" s="426"/>
    </row>
    <row r="16074" spans="1:1" s="427" customFormat="1" ht="12" hidden="1" customHeight="1">
      <c r="A16074" s="426"/>
    </row>
    <row r="16075" spans="1:1" s="427" customFormat="1" ht="12" hidden="1" customHeight="1">
      <c r="A16075" s="426"/>
    </row>
    <row r="16076" spans="1:1" s="427" customFormat="1" ht="12" hidden="1" customHeight="1">
      <c r="A16076" s="426"/>
    </row>
    <row r="16077" spans="1:1" s="427" customFormat="1" ht="12" hidden="1" customHeight="1">
      <c r="A16077" s="426"/>
    </row>
    <row r="16078" spans="1:1" s="427" customFormat="1" ht="12" hidden="1" customHeight="1">
      <c r="A16078" s="426"/>
    </row>
    <row r="16079" spans="1:1" s="427" customFormat="1" ht="12" hidden="1" customHeight="1">
      <c r="A16079" s="426"/>
    </row>
    <row r="16080" spans="1:1" s="427" customFormat="1" ht="12" hidden="1" customHeight="1">
      <c r="A16080" s="426"/>
    </row>
    <row r="16081" spans="1:1" s="427" customFormat="1" ht="12" hidden="1" customHeight="1">
      <c r="A16081" s="426"/>
    </row>
    <row r="16082" spans="1:1" s="427" customFormat="1" ht="12" hidden="1" customHeight="1">
      <c r="A16082" s="426"/>
    </row>
    <row r="16083" spans="1:1" s="427" customFormat="1" ht="12" hidden="1" customHeight="1">
      <c r="A16083" s="426"/>
    </row>
    <row r="16084" spans="1:1" s="427" customFormat="1" ht="12" hidden="1" customHeight="1">
      <c r="A16084" s="426"/>
    </row>
    <row r="16085" spans="1:1" s="427" customFormat="1" ht="12" hidden="1" customHeight="1">
      <c r="A16085" s="426"/>
    </row>
    <row r="16086" spans="1:1" s="427" customFormat="1" ht="12" hidden="1" customHeight="1">
      <c r="A16086" s="426"/>
    </row>
    <row r="16087" spans="1:1" s="427" customFormat="1" ht="12" hidden="1" customHeight="1">
      <c r="A16087" s="426"/>
    </row>
    <row r="16088" spans="1:1" s="427" customFormat="1" ht="12" hidden="1" customHeight="1">
      <c r="A16088" s="426"/>
    </row>
    <row r="16089" spans="1:1" s="427" customFormat="1" ht="12" hidden="1" customHeight="1">
      <c r="A16089" s="426"/>
    </row>
    <row r="16090" spans="1:1" s="427" customFormat="1" ht="12" hidden="1" customHeight="1">
      <c r="A16090" s="426"/>
    </row>
    <row r="16091" spans="1:1" s="427" customFormat="1" ht="12" hidden="1" customHeight="1">
      <c r="A16091" s="426"/>
    </row>
    <row r="16092" spans="1:1" s="427" customFormat="1" ht="12" hidden="1" customHeight="1">
      <c r="A16092" s="426"/>
    </row>
    <row r="16093" spans="1:1" s="427" customFormat="1" ht="12" hidden="1" customHeight="1">
      <c r="A16093" s="426"/>
    </row>
    <row r="16094" spans="1:1" s="427" customFormat="1" ht="12" hidden="1" customHeight="1">
      <c r="A16094" s="426"/>
    </row>
    <row r="16095" spans="1:1" s="427" customFormat="1" ht="12" hidden="1" customHeight="1">
      <c r="A16095" s="426"/>
    </row>
    <row r="16096" spans="1:1" s="427" customFormat="1" ht="12" hidden="1" customHeight="1">
      <c r="A16096" s="426"/>
    </row>
    <row r="16097" spans="1:1" s="427" customFormat="1" ht="12" hidden="1" customHeight="1">
      <c r="A16097" s="426"/>
    </row>
    <row r="16098" spans="1:1" s="427" customFormat="1" ht="12" hidden="1" customHeight="1">
      <c r="A16098" s="426"/>
    </row>
    <row r="16099" spans="1:1" s="427" customFormat="1" ht="12" hidden="1" customHeight="1">
      <c r="A16099" s="426"/>
    </row>
    <row r="16100" spans="1:1" s="427" customFormat="1" ht="12" hidden="1" customHeight="1">
      <c r="A16100" s="426"/>
    </row>
    <row r="16101" spans="1:1" s="427" customFormat="1" ht="12" hidden="1" customHeight="1">
      <c r="A16101" s="426"/>
    </row>
    <row r="16102" spans="1:1" s="427" customFormat="1" ht="12" hidden="1" customHeight="1">
      <c r="A16102" s="426"/>
    </row>
    <row r="16103" spans="1:1" s="427" customFormat="1" ht="12" hidden="1" customHeight="1">
      <c r="A16103" s="426"/>
    </row>
    <row r="16104" spans="1:1" s="427" customFormat="1" ht="12" hidden="1" customHeight="1">
      <c r="A16104" s="426"/>
    </row>
    <row r="16105" spans="1:1" s="427" customFormat="1" ht="12" hidden="1" customHeight="1">
      <c r="A16105" s="426"/>
    </row>
    <row r="16106" spans="1:1" s="427" customFormat="1" ht="12" hidden="1" customHeight="1">
      <c r="A16106" s="426"/>
    </row>
    <row r="16107" spans="1:1" s="427" customFormat="1" ht="12" hidden="1" customHeight="1">
      <c r="A16107" s="426"/>
    </row>
    <row r="16108" spans="1:1" s="427" customFormat="1" ht="12" hidden="1" customHeight="1">
      <c r="A16108" s="426"/>
    </row>
    <row r="16109" spans="1:1" s="427" customFormat="1" ht="12" hidden="1" customHeight="1">
      <c r="A16109" s="426"/>
    </row>
    <row r="16110" spans="1:1" s="427" customFormat="1" ht="12" hidden="1" customHeight="1">
      <c r="A16110" s="426"/>
    </row>
    <row r="16111" spans="1:1" s="427" customFormat="1" ht="12" hidden="1" customHeight="1">
      <c r="A16111" s="426"/>
    </row>
    <row r="16112" spans="1:1" s="427" customFormat="1" ht="12" hidden="1" customHeight="1">
      <c r="A16112" s="426"/>
    </row>
    <row r="16113" spans="1:1" s="427" customFormat="1" ht="12" hidden="1" customHeight="1">
      <c r="A16113" s="426"/>
    </row>
    <row r="16114" spans="1:1" s="427" customFormat="1" ht="12" hidden="1" customHeight="1">
      <c r="A16114" s="426"/>
    </row>
    <row r="16115" spans="1:1" s="427" customFormat="1" ht="12" hidden="1" customHeight="1">
      <c r="A16115" s="426"/>
    </row>
    <row r="16116" spans="1:1" s="427" customFormat="1" ht="12" hidden="1" customHeight="1">
      <c r="A16116" s="426"/>
    </row>
    <row r="16117" spans="1:1" s="427" customFormat="1" ht="12" hidden="1" customHeight="1">
      <c r="A16117" s="426"/>
    </row>
    <row r="16118" spans="1:1" s="427" customFormat="1" ht="12" hidden="1" customHeight="1">
      <c r="A16118" s="426"/>
    </row>
    <row r="16119" spans="1:1" s="427" customFormat="1" ht="12" hidden="1" customHeight="1">
      <c r="A16119" s="426"/>
    </row>
    <row r="16120" spans="1:1" s="427" customFormat="1" ht="12" hidden="1" customHeight="1">
      <c r="A16120" s="426"/>
    </row>
    <row r="16121" spans="1:1" s="427" customFormat="1" ht="12" hidden="1" customHeight="1">
      <c r="A16121" s="426"/>
    </row>
    <row r="16122" spans="1:1" s="427" customFormat="1" ht="12" hidden="1" customHeight="1">
      <c r="A16122" s="426"/>
    </row>
    <row r="16123" spans="1:1" s="427" customFormat="1" ht="12" hidden="1" customHeight="1">
      <c r="A16123" s="426"/>
    </row>
    <row r="16124" spans="1:1" s="427" customFormat="1" ht="12" hidden="1" customHeight="1">
      <c r="A16124" s="426"/>
    </row>
    <row r="16125" spans="1:1" s="427" customFormat="1" ht="12" hidden="1" customHeight="1">
      <c r="A16125" s="426"/>
    </row>
    <row r="16126" spans="1:1" s="427" customFormat="1" ht="12" hidden="1" customHeight="1">
      <c r="A16126" s="426"/>
    </row>
    <row r="16127" spans="1:1" s="427" customFormat="1" ht="12" hidden="1" customHeight="1">
      <c r="A16127" s="426"/>
    </row>
    <row r="16128" spans="1:1" s="427" customFormat="1" ht="12" hidden="1" customHeight="1">
      <c r="A16128" s="426"/>
    </row>
    <row r="16129" spans="1:1" s="427" customFormat="1" ht="12" hidden="1" customHeight="1">
      <c r="A16129" s="426"/>
    </row>
    <row r="16130" spans="1:1" s="427" customFormat="1" ht="12" hidden="1" customHeight="1">
      <c r="A16130" s="426"/>
    </row>
    <row r="16131" spans="1:1" s="427" customFormat="1" ht="12" hidden="1" customHeight="1">
      <c r="A16131" s="426"/>
    </row>
    <row r="16132" spans="1:1" s="427" customFormat="1" ht="12" hidden="1" customHeight="1">
      <c r="A16132" s="426"/>
    </row>
    <row r="16133" spans="1:1" s="427" customFormat="1" ht="12" hidden="1" customHeight="1">
      <c r="A16133" s="426"/>
    </row>
    <row r="16134" spans="1:1" s="427" customFormat="1" ht="12" hidden="1" customHeight="1">
      <c r="A16134" s="426"/>
    </row>
    <row r="16135" spans="1:1" s="427" customFormat="1" ht="12" hidden="1" customHeight="1">
      <c r="A16135" s="426"/>
    </row>
    <row r="16136" spans="1:1" s="427" customFormat="1" ht="12" hidden="1" customHeight="1">
      <c r="A16136" s="426"/>
    </row>
    <row r="16137" spans="1:1" s="427" customFormat="1" ht="12" hidden="1" customHeight="1">
      <c r="A16137" s="426"/>
    </row>
    <row r="16138" spans="1:1" s="427" customFormat="1" ht="12" hidden="1" customHeight="1">
      <c r="A16138" s="426"/>
    </row>
    <row r="16139" spans="1:1" s="427" customFormat="1" ht="12" hidden="1" customHeight="1">
      <c r="A16139" s="426"/>
    </row>
    <row r="16140" spans="1:1" s="427" customFormat="1" ht="12" hidden="1" customHeight="1">
      <c r="A16140" s="426"/>
    </row>
    <row r="16141" spans="1:1" s="427" customFormat="1" ht="12" hidden="1" customHeight="1">
      <c r="A16141" s="426"/>
    </row>
    <row r="16142" spans="1:1" s="427" customFormat="1" ht="12" hidden="1" customHeight="1">
      <c r="A16142" s="426"/>
    </row>
    <row r="16143" spans="1:1" s="427" customFormat="1" ht="12" hidden="1" customHeight="1">
      <c r="A16143" s="426"/>
    </row>
    <row r="16144" spans="1:1" s="427" customFormat="1" ht="12" hidden="1" customHeight="1">
      <c r="A16144" s="426"/>
    </row>
    <row r="16145" spans="1:1" s="427" customFormat="1" ht="12" hidden="1" customHeight="1">
      <c r="A16145" s="426"/>
    </row>
    <row r="16146" spans="1:1" s="427" customFormat="1" ht="12" hidden="1" customHeight="1">
      <c r="A16146" s="426"/>
    </row>
    <row r="16147" spans="1:1" s="427" customFormat="1" ht="12" hidden="1" customHeight="1">
      <c r="A16147" s="426"/>
    </row>
    <row r="16148" spans="1:1" s="427" customFormat="1" ht="12" hidden="1" customHeight="1">
      <c r="A16148" s="426"/>
    </row>
    <row r="16149" spans="1:1" s="427" customFormat="1" ht="12" hidden="1" customHeight="1">
      <c r="A16149" s="426"/>
    </row>
    <row r="16150" spans="1:1" s="427" customFormat="1" ht="12" hidden="1" customHeight="1">
      <c r="A16150" s="426"/>
    </row>
    <row r="16151" spans="1:1" s="427" customFormat="1" ht="12" hidden="1" customHeight="1">
      <c r="A16151" s="426"/>
    </row>
    <row r="16152" spans="1:1" s="427" customFormat="1" ht="12" hidden="1" customHeight="1">
      <c r="A16152" s="426"/>
    </row>
    <row r="16153" spans="1:1" s="427" customFormat="1" ht="12" hidden="1" customHeight="1">
      <c r="A16153" s="426"/>
    </row>
    <row r="16154" spans="1:1" s="427" customFormat="1" ht="12" hidden="1" customHeight="1">
      <c r="A16154" s="426"/>
    </row>
    <row r="16155" spans="1:1" s="427" customFormat="1" ht="12" hidden="1" customHeight="1">
      <c r="A16155" s="426"/>
    </row>
    <row r="16156" spans="1:1" s="427" customFormat="1" ht="12" hidden="1" customHeight="1">
      <c r="A16156" s="426"/>
    </row>
    <row r="16157" spans="1:1" s="427" customFormat="1" ht="12" hidden="1" customHeight="1">
      <c r="A16157" s="426"/>
    </row>
    <row r="16158" spans="1:1" s="427" customFormat="1" ht="12" hidden="1" customHeight="1">
      <c r="A16158" s="426"/>
    </row>
    <row r="16159" spans="1:1" s="427" customFormat="1" ht="12" hidden="1" customHeight="1">
      <c r="A16159" s="426"/>
    </row>
    <row r="16160" spans="1:1" s="427" customFormat="1" ht="12" hidden="1" customHeight="1">
      <c r="A16160" s="426"/>
    </row>
    <row r="16161" spans="1:1" s="427" customFormat="1" ht="12" hidden="1" customHeight="1">
      <c r="A16161" s="426"/>
    </row>
    <row r="16162" spans="1:1" s="427" customFormat="1" ht="12" hidden="1" customHeight="1">
      <c r="A16162" s="426"/>
    </row>
    <row r="16163" spans="1:1" s="427" customFormat="1" ht="12" hidden="1" customHeight="1">
      <c r="A16163" s="426"/>
    </row>
    <row r="16164" spans="1:1" s="427" customFormat="1" ht="12" hidden="1" customHeight="1">
      <c r="A16164" s="426"/>
    </row>
    <row r="16165" spans="1:1" s="427" customFormat="1" ht="12" hidden="1" customHeight="1">
      <c r="A16165" s="426"/>
    </row>
    <row r="16166" spans="1:1" s="427" customFormat="1" ht="12" hidden="1" customHeight="1">
      <c r="A16166" s="426"/>
    </row>
    <row r="16167" spans="1:1" s="427" customFormat="1" ht="12" hidden="1" customHeight="1">
      <c r="A16167" s="426"/>
    </row>
    <row r="16168" spans="1:1" s="427" customFormat="1" ht="12" hidden="1" customHeight="1">
      <c r="A16168" s="426"/>
    </row>
    <row r="16169" spans="1:1" s="427" customFormat="1" ht="12" hidden="1" customHeight="1">
      <c r="A16169" s="426"/>
    </row>
    <row r="16170" spans="1:1" s="427" customFormat="1" ht="12" hidden="1" customHeight="1">
      <c r="A16170" s="426"/>
    </row>
    <row r="16171" spans="1:1" s="427" customFormat="1" ht="12" hidden="1" customHeight="1">
      <c r="A16171" s="426"/>
    </row>
    <row r="16172" spans="1:1" s="427" customFormat="1" ht="12" hidden="1" customHeight="1">
      <c r="A16172" s="426"/>
    </row>
    <row r="16173" spans="1:1" s="427" customFormat="1" ht="12" hidden="1" customHeight="1">
      <c r="A16173" s="426"/>
    </row>
    <row r="16174" spans="1:1" s="427" customFormat="1" ht="12" hidden="1" customHeight="1">
      <c r="A16174" s="426"/>
    </row>
    <row r="16175" spans="1:1" s="427" customFormat="1" ht="12" hidden="1" customHeight="1">
      <c r="A16175" s="426"/>
    </row>
    <row r="16176" spans="1:1" s="427" customFormat="1" ht="12" hidden="1" customHeight="1">
      <c r="A16176" s="426"/>
    </row>
    <row r="16177" spans="1:1" s="427" customFormat="1" ht="12" hidden="1" customHeight="1">
      <c r="A16177" s="426"/>
    </row>
    <row r="16178" spans="1:1" s="427" customFormat="1" ht="12" hidden="1" customHeight="1">
      <c r="A16178" s="426"/>
    </row>
    <row r="16179" spans="1:1" s="427" customFormat="1" ht="12" hidden="1" customHeight="1">
      <c r="A16179" s="426"/>
    </row>
    <row r="16180" spans="1:1" s="427" customFormat="1" ht="12" hidden="1" customHeight="1">
      <c r="A16180" s="426"/>
    </row>
    <row r="16181" spans="1:1" s="427" customFormat="1" ht="12" hidden="1" customHeight="1">
      <c r="A16181" s="426"/>
    </row>
    <row r="16182" spans="1:1" s="427" customFormat="1" ht="12" hidden="1" customHeight="1">
      <c r="A16182" s="426"/>
    </row>
    <row r="16183" spans="1:1" s="427" customFormat="1" ht="12" hidden="1" customHeight="1">
      <c r="A16183" s="426"/>
    </row>
    <row r="16184" spans="1:1" s="427" customFormat="1" ht="12" hidden="1" customHeight="1">
      <c r="A16184" s="426"/>
    </row>
    <row r="16185" spans="1:1" s="427" customFormat="1" ht="12" hidden="1" customHeight="1">
      <c r="A16185" s="426"/>
    </row>
    <row r="16186" spans="1:1" s="427" customFormat="1" ht="12" hidden="1" customHeight="1">
      <c r="A16186" s="426"/>
    </row>
    <row r="16187" spans="1:1" s="427" customFormat="1" ht="12" hidden="1" customHeight="1">
      <c r="A16187" s="426"/>
    </row>
    <row r="16188" spans="1:1" s="427" customFormat="1" ht="12" hidden="1" customHeight="1">
      <c r="A16188" s="426"/>
    </row>
    <row r="16189" spans="1:1" s="427" customFormat="1" ht="12" hidden="1" customHeight="1">
      <c r="A16189" s="426"/>
    </row>
    <row r="16190" spans="1:1" s="427" customFormat="1" ht="12" hidden="1" customHeight="1">
      <c r="A16190" s="426"/>
    </row>
    <row r="16191" spans="1:1" s="427" customFormat="1" ht="12" hidden="1" customHeight="1">
      <c r="A16191" s="426"/>
    </row>
    <row r="16192" spans="1:1" s="427" customFormat="1" ht="12" hidden="1" customHeight="1">
      <c r="A16192" s="426"/>
    </row>
    <row r="16193" spans="1:1" s="427" customFormat="1" ht="12" hidden="1" customHeight="1">
      <c r="A16193" s="426"/>
    </row>
    <row r="16194" spans="1:1" s="427" customFormat="1" ht="12" hidden="1" customHeight="1">
      <c r="A16194" s="426"/>
    </row>
    <row r="16195" spans="1:1" s="427" customFormat="1" ht="12" hidden="1" customHeight="1">
      <c r="A16195" s="426"/>
    </row>
    <row r="16196" spans="1:1" s="427" customFormat="1" ht="12" hidden="1" customHeight="1">
      <c r="A16196" s="426"/>
    </row>
    <row r="16197" spans="1:1" s="427" customFormat="1" ht="12" hidden="1" customHeight="1">
      <c r="A16197" s="426"/>
    </row>
    <row r="16198" spans="1:1" s="427" customFormat="1" ht="12" hidden="1" customHeight="1">
      <c r="A16198" s="426"/>
    </row>
    <row r="16199" spans="1:1" s="427" customFormat="1" ht="12" hidden="1" customHeight="1">
      <c r="A16199" s="426"/>
    </row>
    <row r="16200" spans="1:1" s="427" customFormat="1" ht="12" hidden="1" customHeight="1">
      <c r="A16200" s="426"/>
    </row>
    <row r="16201" spans="1:1" s="427" customFormat="1" ht="12" hidden="1" customHeight="1">
      <c r="A16201" s="426"/>
    </row>
    <row r="16202" spans="1:1" s="427" customFormat="1" ht="12" hidden="1" customHeight="1">
      <c r="A16202" s="426"/>
    </row>
    <row r="16203" spans="1:1" s="427" customFormat="1" ht="12" hidden="1" customHeight="1">
      <c r="A16203" s="426"/>
    </row>
    <row r="16204" spans="1:1" s="427" customFormat="1" ht="12" hidden="1" customHeight="1">
      <c r="A16204" s="426"/>
    </row>
    <row r="16205" spans="1:1" s="427" customFormat="1" ht="12" hidden="1" customHeight="1">
      <c r="A16205" s="426"/>
    </row>
    <row r="16206" spans="1:1" s="427" customFormat="1" ht="12" hidden="1" customHeight="1">
      <c r="A16206" s="426"/>
    </row>
    <row r="16207" spans="1:1" s="427" customFormat="1" ht="12" hidden="1" customHeight="1">
      <c r="A16207" s="426"/>
    </row>
    <row r="16208" spans="1:1" s="427" customFormat="1" ht="12" hidden="1" customHeight="1">
      <c r="A16208" s="426"/>
    </row>
    <row r="16209" spans="1:1" s="427" customFormat="1" ht="12" hidden="1" customHeight="1">
      <c r="A16209" s="426"/>
    </row>
    <row r="16210" spans="1:1" s="427" customFormat="1" ht="12" hidden="1" customHeight="1">
      <c r="A16210" s="426"/>
    </row>
    <row r="16211" spans="1:1" s="427" customFormat="1" ht="12" hidden="1" customHeight="1">
      <c r="A16211" s="426"/>
    </row>
    <row r="16212" spans="1:1" s="427" customFormat="1" ht="12" hidden="1" customHeight="1">
      <c r="A16212" s="426"/>
    </row>
    <row r="16213" spans="1:1" s="427" customFormat="1" ht="12" hidden="1" customHeight="1">
      <c r="A16213" s="426"/>
    </row>
    <row r="16214" spans="1:1" s="427" customFormat="1" ht="12" hidden="1" customHeight="1">
      <c r="A16214" s="426"/>
    </row>
    <row r="16215" spans="1:1" s="427" customFormat="1" ht="12" hidden="1" customHeight="1">
      <c r="A16215" s="426"/>
    </row>
    <row r="16216" spans="1:1" s="427" customFormat="1" ht="12" hidden="1" customHeight="1">
      <c r="A16216" s="426"/>
    </row>
    <row r="16217" spans="1:1" s="427" customFormat="1" ht="12" hidden="1" customHeight="1">
      <c r="A16217" s="426"/>
    </row>
    <row r="16218" spans="1:1" s="427" customFormat="1" ht="12" hidden="1" customHeight="1">
      <c r="A16218" s="426"/>
    </row>
    <row r="16219" spans="1:1" s="427" customFormat="1" ht="12" hidden="1" customHeight="1">
      <c r="A16219" s="426"/>
    </row>
    <row r="16220" spans="1:1" s="427" customFormat="1" ht="12" hidden="1" customHeight="1">
      <c r="A16220" s="426"/>
    </row>
    <row r="16221" spans="1:1" s="427" customFormat="1" ht="12" hidden="1" customHeight="1">
      <c r="A16221" s="426"/>
    </row>
    <row r="16222" spans="1:1" s="427" customFormat="1" ht="12" hidden="1" customHeight="1">
      <c r="A16222" s="426"/>
    </row>
    <row r="16223" spans="1:1" s="427" customFormat="1" ht="12" hidden="1" customHeight="1">
      <c r="A16223" s="426"/>
    </row>
    <row r="16224" spans="1:1" s="427" customFormat="1" ht="12" hidden="1" customHeight="1">
      <c r="A16224" s="426"/>
    </row>
    <row r="16225" spans="1:1" s="427" customFormat="1" ht="12" hidden="1" customHeight="1">
      <c r="A16225" s="426"/>
    </row>
    <row r="16226" spans="1:1" s="427" customFormat="1" ht="12" hidden="1" customHeight="1">
      <c r="A16226" s="426"/>
    </row>
    <row r="16227" spans="1:1" s="427" customFormat="1" ht="12" hidden="1" customHeight="1">
      <c r="A16227" s="426"/>
    </row>
    <row r="16228" spans="1:1" s="427" customFormat="1" ht="12" hidden="1" customHeight="1">
      <c r="A16228" s="426"/>
    </row>
    <row r="16229" spans="1:1" s="427" customFormat="1" ht="12" hidden="1" customHeight="1">
      <c r="A16229" s="426"/>
    </row>
    <row r="16230" spans="1:1" s="427" customFormat="1" ht="12" hidden="1" customHeight="1">
      <c r="A16230" s="426"/>
    </row>
    <row r="16231" spans="1:1" s="427" customFormat="1" ht="12" hidden="1" customHeight="1">
      <c r="A16231" s="426"/>
    </row>
    <row r="16232" spans="1:1" s="427" customFormat="1" ht="12" hidden="1" customHeight="1">
      <c r="A16232" s="426"/>
    </row>
    <row r="16233" spans="1:1" s="427" customFormat="1" ht="12" hidden="1" customHeight="1">
      <c r="A16233" s="426"/>
    </row>
    <row r="16234" spans="1:1" s="427" customFormat="1" ht="12" hidden="1" customHeight="1">
      <c r="A16234" s="426"/>
    </row>
    <row r="16235" spans="1:1" s="427" customFormat="1" ht="12" hidden="1" customHeight="1">
      <c r="A16235" s="426"/>
    </row>
    <row r="16236" spans="1:1" s="427" customFormat="1" ht="12" hidden="1" customHeight="1">
      <c r="A16236" s="426"/>
    </row>
    <row r="16237" spans="1:1" s="427" customFormat="1" ht="12" hidden="1" customHeight="1">
      <c r="A16237" s="426"/>
    </row>
    <row r="16238" spans="1:1" s="427" customFormat="1" ht="12" hidden="1" customHeight="1">
      <c r="A16238" s="426"/>
    </row>
    <row r="16239" spans="1:1" s="427" customFormat="1" ht="12" hidden="1" customHeight="1">
      <c r="A16239" s="426"/>
    </row>
    <row r="16240" spans="1:1" s="427" customFormat="1" ht="12" hidden="1" customHeight="1">
      <c r="A16240" s="426"/>
    </row>
    <row r="16241" spans="1:1" s="427" customFormat="1" ht="12" hidden="1" customHeight="1">
      <c r="A16241" s="426"/>
    </row>
    <row r="16242" spans="1:1" s="427" customFormat="1" ht="12" hidden="1" customHeight="1">
      <c r="A16242" s="426"/>
    </row>
    <row r="16243" spans="1:1" s="427" customFormat="1" ht="12" hidden="1" customHeight="1">
      <c r="A16243" s="426"/>
    </row>
    <row r="16244" spans="1:1" s="427" customFormat="1" ht="12" hidden="1" customHeight="1">
      <c r="A16244" s="426"/>
    </row>
    <row r="16245" spans="1:1" s="427" customFormat="1" ht="12" hidden="1" customHeight="1">
      <c r="A16245" s="426"/>
    </row>
    <row r="16246" spans="1:1" s="427" customFormat="1" ht="12" hidden="1" customHeight="1">
      <c r="A16246" s="426"/>
    </row>
    <row r="16247" spans="1:1" s="427" customFormat="1" ht="12" hidden="1" customHeight="1">
      <c r="A16247" s="426"/>
    </row>
    <row r="16248" spans="1:1" s="427" customFormat="1" ht="12" hidden="1" customHeight="1">
      <c r="A16248" s="426"/>
    </row>
    <row r="16249" spans="1:1" s="427" customFormat="1" ht="12" hidden="1" customHeight="1">
      <c r="A16249" s="426"/>
    </row>
    <row r="16250" spans="1:1" s="427" customFormat="1" ht="12" hidden="1" customHeight="1">
      <c r="A16250" s="426"/>
    </row>
    <row r="16251" spans="1:1" s="427" customFormat="1" ht="12" hidden="1" customHeight="1">
      <c r="A16251" s="426"/>
    </row>
    <row r="16252" spans="1:1" s="427" customFormat="1" ht="12" hidden="1" customHeight="1">
      <c r="A16252" s="426"/>
    </row>
    <row r="16253" spans="1:1" s="427" customFormat="1" ht="12" hidden="1" customHeight="1">
      <c r="A16253" s="426"/>
    </row>
    <row r="16254" spans="1:1" s="427" customFormat="1" ht="12" hidden="1" customHeight="1">
      <c r="A16254" s="426"/>
    </row>
    <row r="16255" spans="1:1" s="427" customFormat="1" ht="12" hidden="1" customHeight="1">
      <c r="A16255" s="426"/>
    </row>
    <row r="16256" spans="1:1" s="427" customFormat="1" ht="12" hidden="1" customHeight="1">
      <c r="A16256" s="426"/>
    </row>
    <row r="16257" spans="1:1" s="427" customFormat="1" ht="12" hidden="1" customHeight="1">
      <c r="A16257" s="426"/>
    </row>
    <row r="16258" spans="1:1" s="427" customFormat="1" ht="12" hidden="1" customHeight="1">
      <c r="A16258" s="426"/>
    </row>
    <row r="16259" spans="1:1" s="427" customFormat="1" ht="12" hidden="1" customHeight="1">
      <c r="A16259" s="426"/>
    </row>
    <row r="16260" spans="1:1" s="427" customFormat="1" ht="12" hidden="1" customHeight="1">
      <c r="A16260" s="426"/>
    </row>
    <row r="16261" spans="1:1" s="427" customFormat="1" ht="12" hidden="1" customHeight="1">
      <c r="A16261" s="426"/>
    </row>
    <row r="16262" spans="1:1" s="427" customFormat="1" ht="12" hidden="1" customHeight="1">
      <c r="A16262" s="426"/>
    </row>
    <row r="16263" spans="1:1" s="427" customFormat="1" ht="12" hidden="1" customHeight="1">
      <c r="A16263" s="426"/>
    </row>
    <row r="16264" spans="1:1" s="427" customFormat="1" ht="12" hidden="1" customHeight="1">
      <c r="A16264" s="426"/>
    </row>
    <row r="16265" spans="1:1" s="427" customFormat="1" ht="12" hidden="1" customHeight="1">
      <c r="A16265" s="426"/>
    </row>
    <row r="16266" spans="1:1" s="427" customFormat="1" ht="12" hidden="1" customHeight="1">
      <c r="A16266" s="426"/>
    </row>
    <row r="16267" spans="1:1" s="427" customFormat="1" ht="12" hidden="1" customHeight="1">
      <c r="A16267" s="426"/>
    </row>
    <row r="16268" spans="1:1" s="427" customFormat="1" ht="12" hidden="1" customHeight="1">
      <c r="A16268" s="426"/>
    </row>
    <row r="16269" spans="1:1" s="427" customFormat="1" ht="12" hidden="1" customHeight="1">
      <c r="A16269" s="426"/>
    </row>
    <row r="16270" spans="1:1" s="427" customFormat="1" ht="12" hidden="1" customHeight="1">
      <c r="A16270" s="426"/>
    </row>
    <row r="16271" spans="1:1" s="427" customFormat="1" ht="12" hidden="1" customHeight="1">
      <c r="A16271" s="426"/>
    </row>
    <row r="16272" spans="1:1" s="427" customFormat="1" ht="12" hidden="1" customHeight="1">
      <c r="A16272" s="426"/>
    </row>
    <row r="16273" spans="1:1" s="427" customFormat="1" ht="12" hidden="1" customHeight="1">
      <c r="A16273" s="426"/>
    </row>
    <row r="16274" spans="1:1" s="427" customFormat="1" ht="12" hidden="1" customHeight="1">
      <c r="A16274" s="426"/>
    </row>
    <row r="16275" spans="1:1" s="427" customFormat="1" ht="12" hidden="1" customHeight="1">
      <c r="A16275" s="426"/>
    </row>
    <row r="16276" spans="1:1" s="427" customFormat="1" ht="12" hidden="1" customHeight="1">
      <c r="A16276" s="426"/>
    </row>
    <row r="16277" spans="1:1" s="427" customFormat="1" ht="12" hidden="1" customHeight="1">
      <c r="A16277" s="426"/>
    </row>
    <row r="16278" spans="1:1" s="427" customFormat="1" ht="12" hidden="1" customHeight="1">
      <c r="A16278" s="426"/>
    </row>
    <row r="16279" spans="1:1" s="427" customFormat="1" ht="12" hidden="1" customHeight="1">
      <c r="A16279" s="426"/>
    </row>
    <row r="16280" spans="1:1" s="427" customFormat="1" ht="12" hidden="1" customHeight="1">
      <c r="A16280" s="426"/>
    </row>
    <row r="16281" spans="1:1" s="427" customFormat="1" ht="12" hidden="1" customHeight="1">
      <c r="A16281" s="426"/>
    </row>
    <row r="16282" spans="1:1" s="427" customFormat="1" ht="12" hidden="1" customHeight="1">
      <c r="A16282" s="426"/>
    </row>
    <row r="16283" spans="1:1" s="427" customFormat="1" ht="12" hidden="1" customHeight="1">
      <c r="A16283" s="426"/>
    </row>
    <row r="16284" spans="1:1" s="427" customFormat="1" ht="12" hidden="1" customHeight="1">
      <c r="A16284" s="426"/>
    </row>
    <row r="16285" spans="1:1" s="427" customFormat="1" ht="12" hidden="1" customHeight="1">
      <c r="A16285" s="426"/>
    </row>
    <row r="16286" spans="1:1" s="427" customFormat="1" ht="12" hidden="1" customHeight="1">
      <c r="A16286" s="426"/>
    </row>
    <row r="16287" spans="1:1" s="427" customFormat="1" ht="12" hidden="1" customHeight="1">
      <c r="A16287" s="426"/>
    </row>
    <row r="16288" spans="1:1" s="427" customFormat="1" ht="12" hidden="1" customHeight="1">
      <c r="A16288" s="426"/>
    </row>
    <row r="16289" spans="1:1" s="427" customFormat="1" ht="12" hidden="1" customHeight="1">
      <c r="A16289" s="426"/>
    </row>
    <row r="16290" spans="1:1" s="427" customFormat="1" ht="12" hidden="1" customHeight="1">
      <c r="A16290" s="426"/>
    </row>
    <row r="16291" spans="1:1" s="427" customFormat="1" ht="12" hidden="1" customHeight="1">
      <c r="A16291" s="426"/>
    </row>
    <row r="16292" spans="1:1" s="427" customFormat="1" ht="12" hidden="1" customHeight="1">
      <c r="A16292" s="426"/>
    </row>
    <row r="16293" spans="1:1" s="427" customFormat="1" ht="12" hidden="1" customHeight="1">
      <c r="A16293" s="426"/>
    </row>
    <row r="16294" spans="1:1" s="427" customFormat="1" ht="12" hidden="1" customHeight="1">
      <c r="A16294" s="426"/>
    </row>
    <row r="16295" spans="1:1" s="427" customFormat="1" ht="12" hidden="1" customHeight="1">
      <c r="A16295" s="426"/>
    </row>
    <row r="16296" spans="1:1" s="427" customFormat="1" ht="12" hidden="1" customHeight="1">
      <c r="A16296" s="426"/>
    </row>
    <row r="16297" spans="1:1" s="427" customFormat="1" ht="12" hidden="1" customHeight="1">
      <c r="A16297" s="426"/>
    </row>
    <row r="16298" spans="1:1" s="427" customFormat="1" ht="12" hidden="1" customHeight="1">
      <c r="A16298" s="426"/>
    </row>
    <row r="16299" spans="1:1" s="427" customFormat="1" ht="12" hidden="1" customHeight="1">
      <c r="A16299" s="426"/>
    </row>
    <row r="16300" spans="1:1" s="427" customFormat="1" ht="12" hidden="1" customHeight="1">
      <c r="A16300" s="426"/>
    </row>
    <row r="16301" spans="1:1" s="427" customFormat="1" ht="12" hidden="1" customHeight="1">
      <c r="A16301" s="426"/>
    </row>
    <row r="16302" spans="1:1" s="427" customFormat="1" ht="12" hidden="1" customHeight="1">
      <c r="A16302" s="426"/>
    </row>
    <row r="16303" spans="1:1" s="427" customFormat="1" ht="12" hidden="1" customHeight="1">
      <c r="A16303" s="426"/>
    </row>
    <row r="16304" spans="1:1" s="427" customFormat="1" ht="12" hidden="1" customHeight="1">
      <c r="A16304" s="426"/>
    </row>
    <row r="16305" spans="1:1" s="427" customFormat="1" ht="12" hidden="1" customHeight="1">
      <c r="A16305" s="426"/>
    </row>
    <row r="16306" spans="1:1" s="427" customFormat="1" ht="12" hidden="1" customHeight="1">
      <c r="A16306" s="426"/>
    </row>
    <row r="16307" spans="1:1" s="427" customFormat="1" ht="12" hidden="1" customHeight="1">
      <c r="A16307" s="426"/>
    </row>
    <row r="16308" spans="1:1" s="427" customFormat="1" ht="12" hidden="1" customHeight="1">
      <c r="A16308" s="426"/>
    </row>
    <row r="16309" spans="1:1" s="427" customFormat="1" ht="12" hidden="1" customHeight="1">
      <c r="A16309" s="426"/>
    </row>
    <row r="16310" spans="1:1" s="427" customFormat="1" ht="12" hidden="1" customHeight="1">
      <c r="A16310" s="426"/>
    </row>
    <row r="16311" spans="1:1" s="427" customFormat="1" ht="12" hidden="1" customHeight="1">
      <c r="A16311" s="426"/>
    </row>
    <row r="16312" spans="1:1" s="427" customFormat="1" ht="12" hidden="1" customHeight="1">
      <c r="A16312" s="426"/>
    </row>
    <row r="16313" spans="1:1" s="427" customFormat="1" ht="12" hidden="1" customHeight="1">
      <c r="A16313" s="426"/>
    </row>
    <row r="16314" spans="1:1" s="427" customFormat="1" ht="12" hidden="1" customHeight="1">
      <c r="A16314" s="426"/>
    </row>
    <row r="16315" spans="1:1" s="427" customFormat="1" ht="12" hidden="1" customHeight="1">
      <c r="A16315" s="426"/>
    </row>
    <row r="16316" spans="1:1" s="427" customFormat="1" ht="12" hidden="1" customHeight="1">
      <c r="A16316" s="426"/>
    </row>
    <row r="16317" spans="1:1" s="427" customFormat="1" ht="12" hidden="1" customHeight="1">
      <c r="A16317" s="426"/>
    </row>
    <row r="16318" spans="1:1" s="427" customFormat="1" ht="12" hidden="1" customHeight="1">
      <c r="A16318" s="426"/>
    </row>
    <row r="16319" spans="1:1" s="427" customFormat="1" ht="12" hidden="1" customHeight="1">
      <c r="A16319" s="426"/>
    </row>
    <row r="16320" spans="1:1" s="427" customFormat="1" ht="12" hidden="1" customHeight="1">
      <c r="A16320" s="426"/>
    </row>
    <row r="16321" spans="1:1" s="427" customFormat="1" ht="12" hidden="1" customHeight="1">
      <c r="A16321" s="426"/>
    </row>
    <row r="16322" spans="1:1" s="427" customFormat="1" ht="12" hidden="1" customHeight="1">
      <c r="A16322" s="426"/>
    </row>
    <row r="16323" spans="1:1" s="427" customFormat="1" ht="12" hidden="1" customHeight="1">
      <c r="A16323" s="426"/>
    </row>
    <row r="16324" spans="1:1" s="427" customFormat="1" ht="12" hidden="1" customHeight="1">
      <c r="A16324" s="426"/>
    </row>
    <row r="16325" spans="1:1" s="427" customFormat="1" ht="12" hidden="1" customHeight="1">
      <c r="A16325" s="426"/>
    </row>
    <row r="16326" spans="1:1" s="427" customFormat="1" ht="12" hidden="1" customHeight="1">
      <c r="A16326" s="426"/>
    </row>
    <row r="16327" spans="1:1" s="427" customFormat="1" ht="12" hidden="1" customHeight="1">
      <c r="A16327" s="426"/>
    </row>
    <row r="16328" spans="1:1" s="427" customFormat="1" ht="12" hidden="1" customHeight="1">
      <c r="A16328" s="426"/>
    </row>
    <row r="16329" spans="1:1" s="427" customFormat="1" ht="12" hidden="1" customHeight="1">
      <c r="A16329" s="426"/>
    </row>
    <row r="16330" spans="1:1" s="427" customFormat="1" ht="12" hidden="1" customHeight="1">
      <c r="A16330" s="426"/>
    </row>
    <row r="16331" spans="1:1" s="427" customFormat="1" ht="12" hidden="1" customHeight="1">
      <c r="A16331" s="426"/>
    </row>
    <row r="16332" spans="1:1" s="427" customFormat="1" ht="12" hidden="1" customHeight="1">
      <c r="A16332" s="426"/>
    </row>
    <row r="16333" spans="1:1" s="427" customFormat="1" ht="12" hidden="1" customHeight="1">
      <c r="A16333" s="426"/>
    </row>
    <row r="16334" spans="1:1" s="427" customFormat="1" ht="12" hidden="1" customHeight="1">
      <c r="A16334" s="426"/>
    </row>
    <row r="16335" spans="1:1" s="427" customFormat="1" ht="12" hidden="1" customHeight="1">
      <c r="A16335" s="426"/>
    </row>
    <row r="16336" spans="1:1" s="427" customFormat="1" ht="12" hidden="1" customHeight="1">
      <c r="A16336" s="426"/>
    </row>
    <row r="16337" spans="1:1" s="427" customFormat="1" ht="12" hidden="1" customHeight="1">
      <c r="A16337" s="426"/>
    </row>
    <row r="16338" spans="1:1" s="427" customFormat="1" ht="12" hidden="1" customHeight="1">
      <c r="A16338" s="426"/>
    </row>
    <row r="16339" spans="1:1" s="427" customFormat="1" ht="12" hidden="1" customHeight="1">
      <c r="A16339" s="426"/>
    </row>
    <row r="16340" spans="1:1" s="427" customFormat="1" ht="12" hidden="1" customHeight="1">
      <c r="A16340" s="426"/>
    </row>
    <row r="16341" spans="1:1" s="427" customFormat="1" ht="12" hidden="1" customHeight="1">
      <c r="A16341" s="426"/>
    </row>
    <row r="16342" spans="1:1" s="427" customFormat="1" ht="12" hidden="1" customHeight="1">
      <c r="A16342" s="426"/>
    </row>
    <row r="16343" spans="1:1" s="427" customFormat="1" ht="12" hidden="1" customHeight="1">
      <c r="A16343" s="426"/>
    </row>
    <row r="16344" spans="1:1" s="427" customFormat="1" ht="12" hidden="1" customHeight="1">
      <c r="A16344" s="426"/>
    </row>
    <row r="16345" spans="1:1" s="427" customFormat="1" ht="12" hidden="1" customHeight="1">
      <c r="A16345" s="426"/>
    </row>
    <row r="16346" spans="1:1" s="427" customFormat="1" ht="12" hidden="1" customHeight="1">
      <c r="A16346" s="426"/>
    </row>
    <row r="16347" spans="1:1" s="427" customFormat="1" ht="12" hidden="1" customHeight="1">
      <c r="A16347" s="426"/>
    </row>
    <row r="16348" spans="1:1" s="427" customFormat="1" ht="12" hidden="1" customHeight="1">
      <c r="A16348" s="426"/>
    </row>
    <row r="16349" spans="1:1" s="427" customFormat="1" ht="12" hidden="1" customHeight="1">
      <c r="A16349" s="426"/>
    </row>
    <row r="16350" spans="1:1" s="427" customFormat="1" ht="12" hidden="1" customHeight="1">
      <c r="A16350" s="426"/>
    </row>
    <row r="16351" spans="1:1" s="427" customFormat="1" ht="12" hidden="1" customHeight="1">
      <c r="A16351" s="426"/>
    </row>
    <row r="16352" spans="1:1" s="427" customFormat="1" ht="12" hidden="1" customHeight="1">
      <c r="A16352" s="426"/>
    </row>
    <row r="16353" spans="1:1" s="427" customFormat="1" ht="12" hidden="1" customHeight="1">
      <c r="A16353" s="426"/>
    </row>
    <row r="16354" spans="1:1" s="427" customFormat="1" ht="12" hidden="1" customHeight="1">
      <c r="A16354" s="426"/>
    </row>
    <row r="16355" spans="1:1" s="427" customFormat="1" ht="12" hidden="1" customHeight="1">
      <c r="A16355" s="426"/>
    </row>
    <row r="16356" spans="1:1" s="427" customFormat="1" ht="12" hidden="1" customHeight="1">
      <c r="A16356" s="426"/>
    </row>
    <row r="16357" spans="1:1" s="427" customFormat="1" ht="12" hidden="1" customHeight="1">
      <c r="A16357" s="426"/>
    </row>
    <row r="16358" spans="1:1" s="427" customFormat="1" ht="12" hidden="1" customHeight="1">
      <c r="A16358" s="426"/>
    </row>
    <row r="16359" spans="1:1" s="427" customFormat="1" ht="12" hidden="1" customHeight="1">
      <c r="A16359" s="426"/>
    </row>
    <row r="16360" spans="1:1" s="427" customFormat="1" ht="12" hidden="1" customHeight="1">
      <c r="A16360" s="426"/>
    </row>
    <row r="16361" spans="1:1" s="427" customFormat="1" ht="12" hidden="1" customHeight="1">
      <c r="A16361" s="426"/>
    </row>
    <row r="16362" spans="1:1" s="427" customFormat="1" ht="12" hidden="1" customHeight="1">
      <c r="A16362" s="426"/>
    </row>
    <row r="16363" spans="1:1" s="427" customFormat="1" ht="12" hidden="1" customHeight="1">
      <c r="A16363" s="426"/>
    </row>
    <row r="16364" spans="1:1" s="427" customFormat="1" ht="12" hidden="1" customHeight="1">
      <c r="A16364" s="426"/>
    </row>
    <row r="16365" spans="1:1" s="427" customFormat="1" ht="12" hidden="1" customHeight="1">
      <c r="A16365" s="426"/>
    </row>
    <row r="16366" spans="1:1" s="427" customFormat="1" ht="12" hidden="1" customHeight="1">
      <c r="A16366" s="426"/>
    </row>
    <row r="16367" spans="1:1" s="427" customFormat="1" ht="12" hidden="1" customHeight="1">
      <c r="A16367" s="426"/>
    </row>
    <row r="16368" spans="1:1" s="427" customFormat="1" ht="12" hidden="1" customHeight="1">
      <c r="A16368" s="426"/>
    </row>
    <row r="16369" spans="1:1" s="427" customFormat="1" ht="12" hidden="1" customHeight="1">
      <c r="A16369" s="426"/>
    </row>
    <row r="16370" spans="1:1" s="427" customFormat="1" ht="12" hidden="1" customHeight="1">
      <c r="A16370" s="426"/>
    </row>
    <row r="16371" spans="1:1" s="427" customFormat="1" ht="12" hidden="1" customHeight="1">
      <c r="A16371" s="426"/>
    </row>
    <row r="16372" spans="1:1" s="427" customFormat="1" ht="12" hidden="1" customHeight="1">
      <c r="A16372" s="426"/>
    </row>
    <row r="16373" spans="1:1" s="427" customFormat="1" ht="12" hidden="1" customHeight="1">
      <c r="A16373" s="426"/>
    </row>
    <row r="16374" spans="1:1" s="427" customFormat="1" ht="12" hidden="1" customHeight="1">
      <c r="A16374" s="426"/>
    </row>
    <row r="16375" spans="1:1" s="427" customFormat="1" ht="12" hidden="1" customHeight="1">
      <c r="A16375" s="426"/>
    </row>
    <row r="16376" spans="1:1" s="427" customFormat="1" ht="12" hidden="1" customHeight="1">
      <c r="A16376" s="426"/>
    </row>
    <row r="16377" spans="1:1" s="427" customFormat="1" ht="12" hidden="1" customHeight="1">
      <c r="A16377" s="426"/>
    </row>
    <row r="16378" spans="1:1" s="427" customFormat="1" ht="12" hidden="1" customHeight="1">
      <c r="A16378" s="426"/>
    </row>
    <row r="16379" spans="1:1" s="427" customFormat="1" ht="12" hidden="1" customHeight="1">
      <c r="A16379" s="426"/>
    </row>
    <row r="16380" spans="1:1" s="427" customFormat="1" ht="12" hidden="1" customHeight="1">
      <c r="A16380" s="426"/>
    </row>
    <row r="16381" spans="1:1" s="427" customFormat="1" ht="12" hidden="1" customHeight="1">
      <c r="A16381" s="426"/>
    </row>
    <row r="16382" spans="1:1" s="427" customFormat="1" ht="12" hidden="1" customHeight="1">
      <c r="A16382" s="426"/>
    </row>
    <row r="16383" spans="1:1" s="427" customFormat="1" ht="12" hidden="1" customHeight="1">
      <c r="A16383" s="426"/>
    </row>
    <row r="16384" spans="1:1" s="427" customFormat="1" ht="12" hidden="1" customHeight="1">
      <c r="A16384" s="426"/>
    </row>
    <row r="16385" spans="1:1" s="427" customFormat="1" ht="12" hidden="1" customHeight="1">
      <c r="A16385" s="426"/>
    </row>
    <row r="16386" spans="1:1" s="427" customFormat="1" ht="12" hidden="1" customHeight="1">
      <c r="A16386" s="426"/>
    </row>
    <row r="16387" spans="1:1" s="427" customFormat="1" ht="12" hidden="1" customHeight="1">
      <c r="A16387" s="426"/>
    </row>
    <row r="16388" spans="1:1" s="427" customFormat="1" ht="12" hidden="1" customHeight="1">
      <c r="A16388" s="426"/>
    </row>
    <row r="16389" spans="1:1" s="427" customFormat="1" ht="12" hidden="1" customHeight="1">
      <c r="A16389" s="426"/>
    </row>
    <row r="16390" spans="1:1" s="427" customFormat="1" ht="12" hidden="1" customHeight="1">
      <c r="A16390" s="426"/>
    </row>
    <row r="16391" spans="1:1" s="427" customFormat="1" ht="12" hidden="1" customHeight="1">
      <c r="A16391" s="426"/>
    </row>
    <row r="16392" spans="1:1" s="427" customFormat="1" ht="12" hidden="1" customHeight="1">
      <c r="A16392" s="426"/>
    </row>
    <row r="16393" spans="1:1" s="427" customFormat="1" ht="12" hidden="1" customHeight="1">
      <c r="A16393" s="426"/>
    </row>
    <row r="16394" spans="1:1" s="427" customFormat="1" ht="12" hidden="1" customHeight="1">
      <c r="A16394" s="426"/>
    </row>
    <row r="16395" spans="1:1" s="427" customFormat="1" ht="12" hidden="1" customHeight="1">
      <c r="A16395" s="426"/>
    </row>
    <row r="16396" spans="1:1" s="427" customFormat="1" ht="12" hidden="1" customHeight="1">
      <c r="A16396" s="426"/>
    </row>
    <row r="16397" spans="1:1" s="427" customFormat="1" ht="12" hidden="1" customHeight="1">
      <c r="A16397" s="426"/>
    </row>
    <row r="16398" spans="1:1" s="427" customFormat="1" ht="12" hidden="1" customHeight="1">
      <c r="A16398" s="426"/>
    </row>
    <row r="16399" spans="1:1" s="427" customFormat="1" ht="12" hidden="1" customHeight="1">
      <c r="A16399" s="426"/>
    </row>
    <row r="16400" spans="1:1" s="427" customFormat="1" ht="12" hidden="1" customHeight="1">
      <c r="A16400" s="426"/>
    </row>
    <row r="16401" spans="1:1" s="427" customFormat="1" ht="12" hidden="1" customHeight="1">
      <c r="A16401" s="426"/>
    </row>
    <row r="16402" spans="1:1" s="427" customFormat="1" ht="12" hidden="1" customHeight="1">
      <c r="A16402" s="426"/>
    </row>
    <row r="16403" spans="1:1" s="427" customFormat="1" ht="12" hidden="1" customHeight="1">
      <c r="A16403" s="426"/>
    </row>
    <row r="16404" spans="1:1" s="427" customFormat="1" ht="12" hidden="1" customHeight="1">
      <c r="A16404" s="426"/>
    </row>
    <row r="16405" spans="1:1" s="427" customFormat="1" ht="12" hidden="1" customHeight="1">
      <c r="A16405" s="426"/>
    </row>
    <row r="16406" spans="1:1" s="427" customFormat="1" ht="12" hidden="1" customHeight="1">
      <c r="A16406" s="426"/>
    </row>
    <row r="16407" spans="1:1" s="427" customFormat="1" ht="12" hidden="1" customHeight="1">
      <c r="A16407" s="426"/>
    </row>
    <row r="16408" spans="1:1" s="427" customFormat="1" ht="12" hidden="1" customHeight="1">
      <c r="A16408" s="426"/>
    </row>
    <row r="16409" spans="1:1" s="427" customFormat="1" ht="12" hidden="1" customHeight="1">
      <c r="A16409" s="426"/>
    </row>
    <row r="16410" spans="1:1" s="427" customFormat="1" ht="12" hidden="1" customHeight="1">
      <c r="A16410" s="426"/>
    </row>
    <row r="16411" spans="1:1" s="427" customFormat="1" ht="12" hidden="1" customHeight="1">
      <c r="A16411" s="426"/>
    </row>
    <row r="16412" spans="1:1" s="427" customFormat="1" ht="12" hidden="1" customHeight="1">
      <c r="A16412" s="426"/>
    </row>
    <row r="16413" spans="1:1" s="427" customFormat="1" ht="12" hidden="1" customHeight="1">
      <c r="A16413" s="426"/>
    </row>
    <row r="16414" spans="1:1" s="427" customFormat="1" ht="12" hidden="1" customHeight="1">
      <c r="A16414" s="426"/>
    </row>
    <row r="16415" spans="1:1" s="427" customFormat="1" ht="12" hidden="1" customHeight="1">
      <c r="A16415" s="426"/>
    </row>
    <row r="16416" spans="1:1" s="427" customFormat="1" ht="12" hidden="1" customHeight="1">
      <c r="A16416" s="426"/>
    </row>
    <row r="16417" spans="1:1" s="427" customFormat="1" ht="12" hidden="1" customHeight="1">
      <c r="A16417" s="426"/>
    </row>
    <row r="16418" spans="1:1" s="427" customFormat="1" ht="12" hidden="1" customHeight="1">
      <c r="A16418" s="426"/>
    </row>
    <row r="16419" spans="1:1" s="427" customFormat="1" ht="12" hidden="1" customHeight="1">
      <c r="A16419" s="426"/>
    </row>
    <row r="16420" spans="1:1" s="427" customFormat="1" ht="12" hidden="1" customHeight="1">
      <c r="A16420" s="426"/>
    </row>
    <row r="16421" spans="1:1" s="427" customFormat="1" ht="12" hidden="1" customHeight="1">
      <c r="A16421" s="426"/>
    </row>
    <row r="16422" spans="1:1" s="427" customFormat="1" ht="12" hidden="1" customHeight="1">
      <c r="A16422" s="426"/>
    </row>
    <row r="16423" spans="1:1" s="427" customFormat="1" ht="12" hidden="1" customHeight="1">
      <c r="A16423" s="426"/>
    </row>
    <row r="16424" spans="1:1" s="427" customFormat="1" ht="12" hidden="1" customHeight="1">
      <c r="A16424" s="426"/>
    </row>
    <row r="16425" spans="1:1" s="427" customFormat="1" ht="12" hidden="1" customHeight="1">
      <c r="A16425" s="426"/>
    </row>
    <row r="16426" spans="1:1" s="427" customFormat="1" ht="12" hidden="1" customHeight="1">
      <c r="A16426" s="426"/>
    </row>
    <row r="16427" spans="1:1" s="427" customFormat="1" ht="12" hidden="1" customHeight="1">
      <c r="A16427" s="426"/>
    </row>
    <row r="16428" spans="1:1" s="427" customFormat="1" ht="12" hidden="1" customHeight="1">
      <c r="A16428" s="426"/>
    </row>
    <row r="16429" spans="1:1" s="427" customFormat="1" ht="12" hidden="1" customHeight="1">
      <c r="A16429" s="426"/>
    </row>
    <row r="16430" spans="1:1" s="427" customFormat="1" ht="12" hidden="1" customHeight="1">
      <c r="A16430" s="426"/>
    </row>
    <row r="16431" spans="1:1" s="427" customFormat="1" ht="12" hidden="1" customHeight="1">
      <c r="A16431" s="426"/>
    </row>
    <row r="16432" spans="1:1" s="427" customFormat="1" ht="12" hidden="1" customHeight="1">
      <c r="A16432" s="426"/>
    </row>
    <row r="16433" spans="1:1" s="427" customFormat="1" ht="12" hidden="1" customHeight="1">
      <c r="A16433" s="426"/>
    </row>
    <row r="16434" spans="1:1" s="427" customFormat="1" ht="12" hidden="1" customHeight="1">
      <c r="A16434" s="426"/>
    </row>
    <row r="16435" spans="1:1" s="427" customFormat="1" ht="12" hidden="1" customHeight="1">
      <c r="A16435" s="426"/>
    </row>
    <row r="16436" spans="1:1" s="427" customFormat="1" ht="12" hidden="1" customHeight="1">
      <c r="A16436" s="426"/>
    </row>
    <row r="16437" spans="1:1" s="427" customFormat="1" ht="12" hidden="1" customHeight="1">
      <c r="A16437" s="426"/>
    </row>
    <row r="16438" spans="1:1" s="427" customFormat="1" ht="12" hidden="1" customHeight="1">
      <c r="A16438" s="426"/>
    </row>
    <row r="16439" spans="1:1" s="427" customFormat="1" ht="12" hidden="1" customHeight="1">
      <c r="A16439" s="426"/>
    </row>
    <row r="16440" spans="1:1" s="427" customFormat="1" ht="12" hidden="1" customHeight="1">
      <c r="A16440" s="426"/>
    </row>
    <row r="16441" spans="1:1" s="427" customFormat="1" ht="12" hidden="1" customHeight="1">
      <c r="A16441" s="426"/>
    </row>
    <row r="16442" spans="1:1" s="427" customFormat="1" ht="12" hidden="1" customHeight="1">
      <c r="A16442" s="426"/>
    </row>
    <row r="16443" spans="1:1" s="427" customFormat="1" ht="12" hidden="1" customHeight="1">
      <c r="A16443" s="426"/>
    </row>
    <row r="16444" spans="1:1" s="427" customFormat="1" ht="12" hidden="1" customHeight="1">
      <c r="A16444" s="426"/>
    </row>
    <row r="16445" spans="1:1" s="427" customFormat="1" ht="12" hidden="1" customHeight="1">
      <c r="A16445" s="426"/>
    </row>
    <row r="16446" spans="1:1" s="427" customFormat="1" ht="12" hidden="1" customHeight="1">
      <c r="A16446" s="426"/>
    </row>
    <row r="16447" spans="1:1" s="427" customFormat="1" ht="12" hidden="1" customHeight="1">
      <c r="A16447" s="426"/>
    </row>
    <row r="16448" spans="1:1" s="427" customFormat="1" ht="12" hidden="1" customHeight="1">
      <c r="A16448" s="426"/>
    </row>
    <row r="16449" spans="1:1" s="427" customFormat="1" ht="12" hidden="1" customHeight="1">
      <c r="A16449" s="426"/>
    </row>
    <row r="16450" spans="1:1" s="427" customFormat="1" ht="12" hidden="1" customHeight="1">
      <c r="A16450" s="426"/>
    </row>
    <row r="16451" spans="1:1" s="427" customFormat="1" ht="12" hidden="1" customHeight="1">
      <c r="A16451" s="426"/>
    </row>
    <row r="16452" spans="1:1" s="427" customFormat="1" ht="12" hidden="1" customHeight="1">
      <c r="A16452" s="426"/>
    </row>
    <row r="16453" spans="1:1" s="427" customFormat="1" ht="12" hidden="1" customHeight="1">
      <c r="A16453" s="426"/>
    </row>
    <row r="16454" spans="1:1" s="427" customFormat="1" ht="12" hidden="1" customHeight="1">
      <c r="A16454" s="426"/>
    </row>
    <row r="16455" spans="1:1" s="427" customFormat="1" ht="12" hidden="1" customHeight="1">
      <c r="A16455" s="426"/>
    </row>
    <row r="16456" spans="1:1" s="427" customFormat="1" ht="12" hidden="1" customHeight="1">
      <c r="A16456" s="426"/>
    </row>
    <row r="16457" spans="1:1" s="427" customFormat="1" ht="12" hidden="1" customHeight="1">
      <c r="A16457" s="426"/>
    </row>
    <row r="16458" spans="1:1" s="427" customFormat="1" ht="12" hidden="1" customHeight="1">
      <c r="A16458" s="426"/>
    </row>
    <row r="16459" spans="1:1" s="427" customFormat="1" ht="12" hidden="1" customHeight="1">
      <c r="A16459" s="426"/>
    </row>
    <row r="16460" spans="1:1" s="427" customFormat="1" ht="12" hidden="1" customHeight="1">
      <c r="A16460" s="426"/>
    </row>
    <row r="16461" spans="1:1" s="427" customFormat="1" ht="12" hidden="1" customHeight="1">
      <c r="A16461" s="426"/>
    </row>
    <row r="16462" spans="1:1" s="427" customFormat="1" ht="12" hidden="1" customHeight="1">
      <c r="A16462" s="426"/>
    </row>
    <row r="16463" spans="1:1" s="427" customFormat="1" ht="12" hidden="1" customHeight="1">
      <c r="A16463" s="426"/>
    </row>
    <row r="16464" spans="1:1" s="427" customFormat="1" ht="12" hidden="1" customHeight="1">
      <c r="A16464" s="426"/>
    </row>
    <row r="16465" spans="1:1" s="427" customFormat="1" ht="12" hidden="1" customHeight="1">
      <c r="A16465" s="426"/>
    </row>
    <row r="16466" spans="1:1" s="427" customFormat="1" ht="12" hidden="1" customHeight="1">
      <c r="A16466" s="426"/>
    </row>
    <row r="16467" spans="1:1" s="427" customFormat="1" ht="12" hidden="1" customHeight="1">
      <c r="A16467" s="426"/>
    </row>
    <row r="16468" spans="1:1" s="427" customFormat="1" ht="12" hidden="1" customHeight="1">
      <c r="A16468" s="426"/>
    </row>
    <row r="16469" spans="1:1" s="427" customFormat="1" ht="12" hidden="1" customHeight="1">
      <c r="A16469" s="426"/>
    </row>
    <row r="16470" spans="1:1" s="427" customFormat="1" ht="12" hidden="1" customHeight="1">
      <c r="A16470" s="426"/>
    </row>
    <row r="16471" spans="1:1" s="427" customFormat="1" ht="12" hidden="1" customHeight="1">
      <c r="A16471" s="426"/>
    </row>
    <row r="16472" spans="1:1" s="427" customFormat="1" ht="12" hidden="1" customHeight="1">
      <c r="A16472" s="426"/>
    </row>
    <row r="16473" spans="1:1" s="427" customFormat="1" ht="12" hidden="1" customHeight="1">
      <c r="A16473" s="426"/>
    </row>
    <row r="16474" spans="1:1" s="427" customFormat="1" ht="12" hidden="1" customHeight="1">
      <c r="A16474" s="426"/>
    </row>
    <row r="16475" spans="1:1" s="427" customFormat="1" ht="12" hidden="1" customHeight="1">
      <c r="A16475" s="426"/>
    </row>
    <row r="16476" spans="1:1" s="427" customFormat="1" ht="12" hidden="1" customHeight="1">
      <c r="A16476" s="426"/>
    </row>
    <row r="16477" spans="1:1" s="427" customFormat="1" ht="12" hidden="1" customHeight="1">
      <c r="A16477" s="426"/>
    </row>
    <row r="16478" spans="1:1" s="427" customFormat="1" ht="12" hidden="1" customHeight="1">
      <c r="A16478" s="426"/>
    </row>
    <row r="16479" spans="1:1" s="427" customFormat="1" ht="12" hidden="1" customHeight="1">
      <c r="A16479" s="426"/>
    </row>
    <row r="16480" spans="1:1" s="427" customFormat="1" ht="12" hidden="1" customHeight="1">
      <c r="A16480" s="426"/>
    </row>
    <row r="16481" spans="1:1" s="427" customFormat="1" ht="12" hidden="1" customHeight="1">
      <c r="A16481" s="426"/>
    </row>
    <row r="16482" spans="1:1" s="427" customFormat="1" ht="12" hidden="1" customHeight="1">
      <c r="A16482" s="426"/>
    </row>
    <row r="16483" spans="1:1" s="427" customFormat="1" ht="12" hidden="1" customHeight="1">
      <c r="A16483" s="426"/>
    </row>
    <row r="16484" spans="1:1" s="427" customFormat="1" ht="12" hidden="1" customHeight="1">
      <c r="A16484" s="426"/>
    </row>
    <row r="16485" spans="1:1" s="427" customFormat="1" ht="12" hidden="1" customHeight="1">
      <c r="A16485" s="426"/>
    </row>
    <row r="16486" spans="1:1" s="427" customFormat="1" ht="12" hidden="1" customHeight="1">
      <c r="A16486" s="426"/>
    </row>
    <row r="16487" spans="1:1" s="427" customFormat="1" ht="12" hidden="1" customHeight="1">
      <c r="A16487" s="426"/>
    </row>
    <row r="16488" spans="1:1" s="427" customFormat="1" ht="12" hidden="1" customHeight="1">
      <c r="A16488" s="426"/>
    </row>
    <row r="16489" spans="1:1" s="427" customFormat="1" ht="12" hidden="1" customHeight="1">
      <c r="A16489" s="426"/>
    </row>
    <row r="16490" spans="1:1" s="427" customFormat="1" ht="12" hidden="1" customHeight="1">
      <c r="A16490" s="426"/>
    </row>
    <row r="16491" spans="1:1" s="427" customFormat="1" ht="12" hidden="1" customHeight="1">
      <c r="A16491" s="426"/>
    </row>
    <row r="16492" spans="1:1" s="427" customFormat="1" ht="12" hidden="1" customHeight="1">
      <c r="A16492" s="426"/>
    </row>
    <row r="16493" spans="1:1" s="427" customFormat="1" ht="12" hidden="1" customHeight="1">
      <c r="A16493" s="426"/>
    </row>
    <row r="16494" spans="1:1" s="427" customFormat="1" ht="12" hidden="1" customHeight="1">
      <c r="A16494" s="426"/>
    </row>
    <row r="16495" spans="1:1" s="427" customFormat="1" ht="12" hidden="1" customHeight="1">
      <c r="A16495" s="426"/>
    </row>
    <row r="16496" spans="1:1" s="427" customFormat="1" ht="12" hidden="1" customHeight="1">
      <c r="A16496" s="426"/>
    </row>
    <row r="16497" spans="1:1" s="427" customFormat="1" ht="12" hidden="1" customHeight="1">
      <c r="A16497" s="426"/>
    </row>
    <row r="16498" spans="1:1" s="427" customFormat="1" ht="12" hidden="1" customHeight="1">
      <c r="A16498" s="426"/>
    </row>
    <row r="16499" spans="1:1" s="427" customFormat="1" ht="12" hidden="1" customHeight="1">
      <c r="A16499" s="426"/>
    </row>
    <row r="16500" spans="1:1" s="427" customFormat="1" ht="12" hidden="1" customHeight="1">
      <c r="A16500" s="426"/>
    </row>
    <row r="16501" spans="1:1" s="427" customFormat="1" ht="12" hidden="1" customHeight="1">
      <c r="A16501" s="426"/>
    </row>
    <row r="16502" spans="1:1" s="427" customFormat="1" ht="12" hidden="1" customHeight="1">
      <c r="A16502" s="426"/>
    </row>
    <row r="16503" spans="1:1" s="427" customFormat="1" ht="12" hidden="1" customHeight="1">
      <c r="A16503" s="426"/>
    </row>
    <row r="16504" spans="1:1" s="427" customFormat="1" ht="12" hidden="1" customHeight="1">
      <c r="A16504" s="426"/>
    </row>
    <row r="16505" spans="1:1" s="427" customFormat="1" ht="12" hidden="1" customHeight="1">
      <c r="A16505" s="426"/>
    </row>
    <row r="16506" spans="1:1" s="427" customFormat="1" ht="12" hidden="1" customHeight="1">
      <c r="A16506" s="426"/>
    </row>
    <row r="16507" spans="1:1" s="427" customFormat="1" ht="12" hidden="1" customHeight="1">
      <c r="A16507" s="426"/>
    </row>
    <row r="16508" spans="1:1" s="427" customFormat="1" ht="12" hidden="1" customHeight="1">
      <c r="A16508" s="426"/>
    </row>
    <row r="16509" spans="1:1" s="427" customFormat="1" ht="12" hidden="1" customHeight="1">
      <c r="A16509" s="426"/>
    </row>
    <row r="16510" spans="1:1" s="427" customFormat="1" ht="12" hidden="1" customHeight="1">
      <c r="A16510" s="426"/>
    </row>
    <row r="16511" spans="1:1" s="427" customFormat="1" ht="12" hidden="1" customHeight="1">
      <c r="A16511" s="426"/>
    </row>
    <row r="16512" spans="1:1" s="427" customFormat="1" ht="12" hidden="1" customHeight="1">
      <c r="A16512" s="426"/>
    </row>
    <row r="16513" spans="1:1" s="427" customFormat="1" ht="12" hidden="1" customHeight="1">
      <c r="A16513" s="426"/>
    </row>
    <row r="16514" spans="1:1" s="427" customFormat="1" ht="12" hidden="1" customHeight="1">
      <c r="A16514" s="426"/>
    </row>
    <row r="16515" spans="1:1" s="427" customFormat="1" ht="12" hidden="1" customHeight="1">
      <c r="A16515" s="426"/>
    </row>
    <row r="16516" spans="1:1" s="427" customFormat="1" ht="12" hidden="1" customHeight="1">
      <c r="A16516" s="426"/>
    </row>
    <row r="16517" spans="1:1" s="427" customFormat="1" ht="12" hidden="1" customHeight="1">
      <c r="A16517" s="426"/>
    </row>
    <row r="16518" spans="1:1" s="427" customFormat="1" ht="12" hidden="1" customHeight="1">
      <c r="A16518" s="426"/>
    </row>
    <row r="16519" spans="1:1" s="427" customFormat="1" ht="12" hidden="1" customHeight="1">
      <c r="A16519" s="426"/>
    </row>
    <row r="16520" spans="1:1" s="427" customFormat="1" ht="12" hidden="1" customHeight="1">
      <c r="A16520" s="426"/>
    </row>
    <row r="16521" spans="1:1" s="427" customFormat="1" ht="12" hidden="1" customHeight="1">
      <c r="A16521" s="426"/>
    </row>
    <row r="16522" spans="1:1" s="427" customFormat="1" ht="12" hidden="1" customHeight="1">
      <c r="A16522" s="426"/>
    </row>
    <row r="16523" spans="1:1" s="427" customFormat="1" ht="12" hidden="1" customHeight="1">
      <c r="A16523" s="426"/>
    </row>
    <row r="16524" spans="1:1" s="427" customFormat="1" ht="12" hidden="1" customHeight="1">
      <c r="A16524" s="426"/>
    </row>
    <row r="16525" spans="1:1" s="427" customFormat="1" ht="12" hidden="1" customHeight="1">
      <c r="A16525" s="426"/>
    </row>
    <row r="16526" spans="1:1" s="427" customFormat="1" ht="12" hidden="1" customHeight="1">
      <c r="A16526" s="426"/>
    </row>
    <row r="16527" spans="1:1" s="427" customFormat="1" ht="12" hidden="1" customHeight="1">
      <c r="A16527" s="426"/>
    </row>
    <row r="16528" spans="1:1" s="427" customFormat="1" ht="12" hidden="1" customHeight="1">
      <c r="A16528" s="426"/>
    </row>
    <row r="16529" spans="1:1" s="427" customFormat="1" ht="12" hidden="1" customHeight="1">
      <c r="A16529" s="426"/>
    </row>
    <row r="16530" spans="1:1" s="427" customFormat="1" ht="12" hidden="1" customHeight="1">
      <c r="A16530" s="426"/>
    </row>
    <row r="16531" spans="1:1" s="427" customFormat="1" ht="12" hidden="1" customHeight="1">
      <c r="A16531" s="426"/>
    </row>
    <row r="16532" spans="1:1" s="427" customFormat="1" ht="12" hidden="1" customHeight="1">
      <c r="A16532" s="426"/>
    </row>
    <row r="16533" spans="1:1" s="427" customFormat="1" ht="12" hidden="1" customHeight="1">
      <c r="A16533" s="426"/>
    </row>
    <row r="16534" spans="1:1" s="427" customFormat="1" ht="12" hidden="1" customHeight="1">
      <c r="A16534" s="426"/>
    </row>
    <row r="16535" spans="1:1" s="427" customFormat="1" ht="12" hidden="1" customHeight="1">
      <c r="A16535" s="426"/>
    </row>
    <row r="16536" spans="1:1" s="427" customFormat="1" ht="12" hidden="1" customHeight="1">
      <c r="A16536" s="426"/>
    </row>
    <row r="16537" spans="1:1" s="427" customFormat="1" ht="12" hidden="1" customHeight="1">
      <c r="A16537" s="426"/>
    </row>
    <row r="16538" spans="1:1" s="427" customFormat="1" ht="12" hidden="1" customHeight="1">
      <c r="A16538" s="426"/>
    </row>
    <row r="16539" spans="1:1" s="427" customFormat="1" ht="12" hidden="1" customHeight="1">
      <c r="A16539" s="426"/>
    </row>
    <row r="16540" spans="1:1" s="427" customFormat="1" ht="12" hidden="1" customHeight="1">
      <c r="A16540" s="426"/>
    </row>
    <row r="16541" spans="1:1" s="427" customFormat="1" ht="12" hidden="1" customHeight="1">
      <c r="A16541" s="426"/>
    </row>
    <row r="16542" spans="1:1" s="427" customFormat="1" ht="12" hidden="1" customHeight="1">
      <c r="A16542" s="426"/>
    </row>
    <row r="16543" spans="1:1" s="427" customFormat="1" ht="12" hidden="1" customHeight="1">
      <c r="A16543" s="426"/>
    </row>
    <row r="16544" spans="1:1" s="427" customFormat="1" ht="12" hidden="1" customHeight="1">
      <c r="A16544" s="426"/>
    </row>
    <row r="16545" spans="1:1" s="427" customFormat="1" ht="12" hidden="1" customHeight="1">
      <c r="A16545" s="426"/>
    </row>
    <row r="16546" spans="1:1" s="427" customFormat="1" ht="12" hidden="1" customHeight="1">
      <c r="A16546" s="426"/>
    </row>
    <row r="16547" spans="1:1" s="427" customFormat="1" ht="12" hidden="1" customHeight="1">
      <c r="A16547" s="426"/>
    </row>
    <row r="16548" spans="1:1" s="427" customFormat="1" ht="12" hidden="1" customHeight="1">
      <c r="A16548" s="426"/>
    </row>
    <row r="16549" spans="1:1" s="427" customFormat="1" ht="12" hidden="1" customHeight="1">
      <c r="A16549" s="426"/>
    </row>
    <row r="16550" spans="1:1" s="427" customFormat="1" ht="12" hidden="1" customHeight="1">
      <c r="A16550" s="426"/>
    </row>
    <row r="16551" spans="1:1" s="427" customFormat="1" ht="12" hidden="1" customHeight="1">
      <c r="A16551" s="426"/>
    </row>
    <row r="16552" spans="1:1" s="427" customFormat="1" ht="12" hidden="1" customHeight="1">
      <c r="A16552" s="426"/>
    </row>
    <row r="16553" spans="1:1" s="427" customFormat="1" ht="12" hidden="1" customHeight="1">
      <c r="A16553" s="426"/>
    </row>
    <row r="16554" spans="1:1" s="427" customFormat="1" ht="12" hidden="1" customHeight="1">
      <c r="A16554" s="426"/>
    </row>
    <row r="16555" spans="1:1" s="427" customFormat="1" ht="12" hidden="1" customHeight="1">
      <c r="A16555" s="426"/>
    </row>
    <row r="16556" spans="1:1" s="427" customFormat="1" ht="12" hidden="1" customHeight="1">
      <c r="A16556" s="426"/>
    </row>
    <row r="16557" spans="1:1" s="427" customFormat="1" ht="12" hidden="1" customHeight="1">
      <c r="A16557" s="426"/>
    </row>
    <row r="16558" spans="1:1" s="427" customFormat="1" ht="12" hidden="1" customHeight="1">
      <c r="A16558" s="426"/>
    </row>
    <row r="16559" spans="1:1" s="427" customFormat="1" ht="12" hidden="1" customHeight="1">
      <c r="A16559" s="426"/>
    </row>
    <row r="16560" spans="1:1" s="427" customFormat="1" ht="12" hidden="1" customHeight="1">
      <c r="A16560" s="426"/>
    </row>
    <row r="16561" spans="1:1" s="427" customFormat="1" ht="12" hidden="1" customHeight="1">
      <c r="A16561" s="426"/>
    </row>
    <row r="16562" spans="1:1" s="427" customFormat="1" ht="12" hidden="1" customHeight="1">
      <c r="A16562" s="426"/>
    </row>
    <row r="16563" spans="1:1" s="427" customFormat="1" ht="12" hidden="1" customHeight="1">
      <c r="A16563" s="426"/>
    </row>
    <row r="16564" spans="1:1" s="427" customFormat="1" ht="12" hidden="1" customHeight="1">
      <c r="A16564" s="426"/>
    </row>
    <row r="16565" spans="1:1" s="427" customFormat="1" ht="12" hidden="1" customHeight="1">
      <c r="A16565" s="426"/>
    </row>
    <row r="16566" spans="1:1" s="427" customFormat="1" ht="12" hidden="1" customHeight="1">
      <c r="A16566" s="426"/>
    </row>
    <row r="16567" spans="1:1" s="427" customFormat="1" ht="12" hidden="1" customHeight="1">
      <c r="A16567" s="426"/>
    </row>
    <row r="16568" spans="1:1" s="427" customFormat="1" ht="12" hidden="1" customHeight="1">
      <c r="A16568" s="426"/>
    </row>
    <row r="16569" spans="1:1" s="427" customFormat="1" ht="12" hidden="1" customHeight="1">
      <c r="A16569" s="426"/>
    </row>
    <row r="16570" spans="1:1" s="427" customFormat="1" ht="12" hidden="1" customHeight="1">
      <c r="A16570" s="426"/>
    </row>
    <row r="16571" spans="1:1" s="427" customFormat="1" ht="12" hidden="1" customHeight="1">
      <c r="A16571" s="426"/>
    </row>
    <row r="16572" spans="1:1" s="427" customFormat="1" ht="12" hidden="1" customHeight="1">
      <c r="A16572" s="426"/>
    </row>
    <row r="16573" spans="1:1" s="427" customFormat="1" ht="12" hidden="1" customHeight="1">
      <c r="A16573" s="426"/>
    </row>
    <row r="16574" spans="1:1" s="427" customFormat="1" ht="12" hidden="1" customHeight="1">
      <c r="A16574" s="426"/>
    </row>
    <row r="16575" spans="1:1" s="427" customFormat="1" ht="12" hidden="1" customHeight="1">
      <c r="A16575" s="426"/>
    </row>
    <row r="16576" spans="1:1" s="427" customFormat="1" ht="12" hidden="1" customHeight="1">
      <c r="A16576" s="426"/>
    </row>
    <row r="16577" spans="1:1" s="427" customFormat="1" ht="12" hidden="1" customHeight="1">
      <c r="A16577" s="426"/>
    </row>
    <row r="16578" spans="1:1" s="427" customFormat="1" ht="12" hidden="1" customHeight="1">
      <c r="A16578" s="426"/>
    </row>
    <row r="16579" spans="1:1" s="427" customFormat="1" ht="12" hidden="1" customHeight="1">
      <c r="A16579" s="426"/>
    </row>
    <row r="16580" spans="1:1" s="427" customFormat="1" ht="12" hidden="1" customHeight="1">
      <c r="A16580" s="426"/>
    </row>
    <row r="16581" spans="1:1" s="427" customFormat="1" ht="12" hidden="1" customHeight="1">
      <c r="A16581" s="426"/>
    </row>
    <row r="16582" spans="1:1" s="427" customFormat="1" ht="12" hidden="1" customHeight="1">
      <c r="A16582" s="426"/>
    </row>
    <row r="16583" spans="1:1" s="427" customFormat="1" ht="12" hidden="1" customHeight="1">
      <c r="A16583" s="426"/>
    </row>
    <row r="16584" spans="1:1" s="427" customFormat="1" ht="12" hidden="1" customHeight="1">
      <c r="A16584" s="426"/>
    </row>
    <row r="16585" spans="1:1" s="427" customFormat="1" ht="12" hidden="1" customHeight="1">
      <c r="A16585" s="426"/>
    </row>
    <row r="16586" spans="1:1" s="427" customFormat="1" ht="12" hidden="1" customHeight="1">
      <c r="A16586" s="426"/>
    </row>
    <row r="16587" spans="1:1" s="427" customFormat="1" ht="12" hidden="1" customHeight="1">
      <c r="A16587" s="426"/>
    </row>
    <row r="16588" spans="1:1" s="427" customFormat="1" ht="12" hidden="1" customHeight="1">
      <c r="A16588" s="426"/>
    </row>
    <row r="16589" spans="1:1" s="427" customFormat="1" ht="12" hidden="1" customHeight="1">
      <c r="A16589" s="426"/>
    </row>
    <row r="16590" spans="1:1" s="427" customFormat="1" ht="12" hidden="1" customHeight="1">
      <c r="A16590" s="426"/>
    </row>
    <row r="16591" spans="1:1" s="427" customFormat="1" ht="12" hidden="1" customHeight="1">
      <c r="A16591" s="426"/>
    </row>
    <row r="16592" spans="1:1" s="427" customFormat="1" ht="12" hidden="1" customHeight="1">
      <c r="A16592" s="426"/>
    </row>
    <row r="16593" spans="1:1" s="427" customFormat="1" ht="12" hidden="1" customHeight="1">
      <c r="A16593" s="426"/>
    </row>
    <row r="16594" spans="1:1" s="427" customFormat="1" ht="12" hidden="1" customHeight="1">
      <c r="A16594" s="426"/>
    </row>
    <row r="16595" spans="1:1" s="427" customFormat="1" ht="12" hidden="1" customHeight="1">
      <c r="A16595" s="426"/>
    </row>
    <row r="16596" spans="1:1" s="427" customFormat="1" ht="12" hidden="1" customHeight="1">
      <c r="A16596" s="426"/>
    </row>
    <row r="16597" spans="1:1" s="427" customFormat="1" ht="12" hidden="1" customHeight="1">
      <c r="A16597" s="426"/>
    </row>
    <row r="16598" spans="1:1" s="427" customFormat="1" ht="12" hidden="1" customHeight="1">
      <c r="A16598" s="426"/>
    </row>
    <row r="16599" spans="1:1" s="427" customFormat="1" ht="12" hidden="1" customHeight="1">
      <c r="A16599" s="426"/>
    </row>
    <row r="16600" spans="1:1" s="427" customFormat="1" ht="12" hidden="1" customHeight="1">
      <c r="A16600" s="426"/>
    </row>
    <row r="16601" spans="1:1" s="427" customFormat="1" ht="12" hidden="1" customHeight="1">
      <c r="A16601" s="426"/>
    </row>
    <row r="16602" spans="1:1" s="427" customFormat="1" ht="12" hidden="1" customHeight="1">
      <c r="A16602" s="426"/>
    </row>
    <row r="16603" spans="1:1" s="427" customFormat="1" ht="12" hidden="1" customHeight="1">
      <c r="A16603" s="426"/>
    </row>
    <row r="16604" spans="1:1" s="427" customFormat="1" ht="12" hidden="1" customHeight="1">
      <c r="A16604" s="426"/>
    </row>
    <row r="16605" spans="1:1" s="427" customFormat="1" ht="12" hidden="1" customHeight="1">
      <c r="A16605" s="426"/>
    </row>
    <row r="16606" spans="1:1" s="427" customFormat="1" ht="12" hidden="1" customHeight="1">
      <c r="A16606" s="426"/>
    </row>
    <row r="16607" spans="1:1" s="427" customFormat="1" ht="12" hidden="1" customHeight="1">
      <c r="A16607" s="426"/>
    </row>
    <row r="16608" spans="1:1" s="427" customFormat="1" ht="12" hidden="1" customHeight="1">
      <c r="A16608" s="426"/>
    </row>
    <row r="16609" spans="1:1" s="427" customFormat="1" ht="12" hidden="1" customHeight="1">
      <c r="A16609" s="426"/>
    </row>
    <row r="16610" spans="1:1" s="427" customFormat="1" ht="12" hidden="1" customHeight="1">
      <c r="A16610" s="426"/>
    </row>
    <row r="16611" spans="1:1" s="427" customFormat="1" ht="12" hidden="1" customHeight="1">
      <c r="A16611" s="426"/>
    </row>
    <row r="16612" spans="1:1" s="427" customFormat="1" ht="12" hidden="1" customHeight="1">
      <c r="A16612" s="426"/>
    </row>
    <row r="16613" spans="1:1" s="427" customFormat="1" ht="12" hidden="1" customHeight="1">
      <c r="A16613" s="426"/>
    </row>
    <row r="16614" spans="1:1" s="427" customFormat="1" ht="12" hidden="1" customHeight="1">
      <c r="A16614" s="426"/>
    </row>
    <row r="16615" spans="1:1" s="427" customFormat="1" ht="12" hidden="1" customHeight="1">
      <c r="A16615" s="426"/>
    </row>
    <row r="16616" spans="1:1" s="427" customFormat="1" ht="12" hidden="1" customHeight="1">
      <c r="A16616" s="426"/>
    </row>
    <row r="16617" spans="1:1" s="427" customFormat="1" ht="12" hidden="1" customHeight="1">
      <c r="A16617" s="426"/>
    </row>
    <row r="16618" spans="1:1" s="427" customFormat="1" ht="12" hidden="1" customHeight="1">
      <c r="A16618" s="426"/>
    </row>
    <row r="16619" spans="1:1" s="427" customFormat="1" ht="12" hidden="1" customHeight="1">
      <c r="A16619" s="426"/>
    </row>
    <row r="16620" spans="1:1" s="427" customFormat="1" ht="12" hidden="1" customHeight="1">
      <c r="A16620" s="426"/>
    </row>
    <row r="16621" spans="1:1" s="427" customFormat="1" ht="12" hidden="1" customHeight="1">
      <c r="A16621" s="426"/>
    </row>
    <row r="16622" spans="1:1" s="427" customFormat="1" ht="12" hidden="1" customHeight="1">
      <c r="A16622" s="426"/>
    </row>
    <row r="16623" spans="1:1" s="427" customFormat="1" ht="12" hidden="1" customHeight="1">
      <c r="A16623" s="426"/>
    </row>
    <row r="16624" spans="1:1" s="427" customFormat="1" ht="12" hidden="1" customHeight="1">
      <c r="A16624" s="426"/>
    </row>
    <row r="16625" spans="1:1" s="427" customFormat="1" ht="12" hidden="1" customHeight="1">
      <c r="A16625" s="426"/>
    </row>
    <row r="16626" spans="1:1" s="427" customFormat="1" ht="12" hidden="1" customHeight="1">
      <c r="A16626" s="426"/>
    </row>
    <row r="16627" spans="1:1" s="427" customFormat="1" ht="12" hidden="1" customHeight="1">
      <c r="A16627" s="426"/>
    </row>
    <row r="16628" spans="1:1" s="427" customFormat="1" ht="12" hidden="1" customHeight="1">
      <c r="A16628" s="426"/>
    </row>
    <row r="16629" spans="1:1" s="427" customFormat="1" ht="12" hidden="1" customHeight="1">
      <c r="A16629" s="426"/>
    </row>
    <row r="16630" spans="1:1" s="427" customFormat="1" ht="12" hidden="1" customHeight="1">
      <c r="A16630" s="426"/>
    </row>
    <row r="16631" spans="1:1" s="427" customFormat="1" ht="12" hidden="1" customHeight="1">
      <c r="A16631" s="426"/>
    </row>
    <row r="16632" spans="1:1" s="427" customFormat="1" ht="12" hidden="1" customHeight="1">
      <c r="A16632" s="426"/>
    </row>
    <row r="16633" spans="1:1" s="427" customFormat="1" ht="12" hidden="1" customHeight="1">
      <c r="A16633" s="426"/>
    </row>
    <row r="16634" spans="1:1" s="427" customFormat="1" ht="12" hidden="1" customHeight="1">
      <c r="A16634" s="426"/>
    </row>
    <row r="16635" spans="1:1" s="427" customFormat="1" ht="12" hidden="1" customHeight="1">
      <c r="A16635" s="426"/>
    </row>
    <row r="16636" spans="1:1" s="427" customFormat="1" ht="12" hidden="1" customHeight="1">
      <c r="A16636" s="426"/>
    </row>
    <row r="16637" spans="1:1" s="427" customFormat="1" ht="12" hidden="1" customHeight="1">
      <c r="A16637" s="426"/>
    </row>
    <row r="16638" spans="1:1" s="427" customFormat="1" ht="12" hidden="1" customHeight="1">
      <c r="A16638" s="426"/>
    </row>
    <row r="16639" spans="1:1" s="427" customFormat="1" ht="12" hidden="1" customHeight="1">
      <c r="A16639" s="426"/>
    </row>
    <row r="16640" spans="1:1" s="427" customFormat="1" ht="12" hidden="1" customHeight="1">
      <c r="A16640" s="426"/>
    </row>
    <row r="16641" spans="1:1" s="427" customFormat="1" ht="12" hidden="1" customHeight="1">
      <c r="A16641" s="426"/>
    </row>
    <row r="16642" spans="1:1" s="427" customFormat="1" ht="12" hidden="1" customHeight="1">
      <c r="A16642" s="426"/>
    </row>
    <row r="16643" spans="1:1" s="427" customFormat="1" ht="12" hidden="1" customHeight="1">
      <c r="A16643" s="426"/>
    </row>
    <row r="16644" spans="1:1" s="427" customFormat="1" ht="12" hidden="1" customHeight="1">
      <c r="A16644" s="426"/>
    </row>
    <row r="16645" spans="1:1" s="427" customFormat="1" ht="12" hidden="1" customHeight="1">
      <c r="A16645" s="426"/>
    </row>
    <row r="16646" spans="1:1" s="427" customFormat="1" ht="12" hidden="1" customHeight="1">
      <c r="A16646" s="426"/>
    </row>
    <row r="16647" spans="1:1" s="427" customFormat="1" ht="12" hidden="1" customHeight="1">
      <c r="A16647" s="426"/>
    </row>
    <row r="16648" spans="1:1" s="427" customFormat="1" ht="12" hidden="1" customHeight="1">
      <c r="A16648" s="426"/>
    </row>
    <row r="16649" spans="1:1" s="427" customFormat="1" ht="12" hidden="1" customHeight="1">
      <c r="A16649" s="426"/>
    </row>
    <row r="16650" spans="1:1" s="427" customFormat="1" ht="12" hidden="1" customHeight="1">
      <c r="A16650" s="426"/>
    </row>
    <row r="16651" spans="1:1" s="427" customFormat="1" ht="12" hidden="1" customHeight="1">
      <c r="A16651" s="426"/>
    </row>
    <row r="16652" spans="1:1" s="427" customFormat="1" ht="12" hidden="1" customHeight="1">
      <c r="A16652" s="426"/>
    </row>
    <row r="16653" spans="1:1" s="427" customFormat="1" ht="12" hidden="1" customHeight="1">
      <c r="A16653" s="426"/>
    </row>
    <row r="16654" spans="1:1" s="427" customFormat="1" ht="12" hidden="1" customHeight="1">
      <c r="A16654" s="426"/>
    </row>
    <row r="16655" spans="1:1" s="427" customFormat="1" ht="12" hidden="1" customHeight="1">
      <c r="A16655" s="426"/>
    </row>
    <row r="16656" spans="1:1" s="427" customFormat="1" ht="12" hidden="1" customHeight="1">
      <c r="A16656" s="426"/>
    </row>
    <row r="16657" spans="1:1" s="427" customFormat="1" ht="12" hidden="1" customHeight="1">
      <c r="A16657" s="426"/>
    </row>
    <row r="16658" spans="1:1" s="427" customFormat="1" ht="12" hidden="1" customHeight="1">
      <c r="A16658" s="426"/>
    </row>
    <row r="16659" spans="1:1" s="427" customFormat="1" ht="12" hidden="1" customHeight="1">
      <c r="A16659" s="426"/>
    </row>
    <row r="16660" spans="1:1" s="427" customFormat="1" ht="12" hidden="1" customHeight="1">
      <c r="A16660" s="426"/>
    </row>
    <row r="16661" spans="1:1" s="427" customFormat="1" ht="12" hidden="1" customHeight="1">
      <c r="A16661" s="426"/>
    </row>
    <row r="16662" spans="1:1" s="427" customFormat="1" ht="12" hidden="1" customHeight="1">
      <c r="A16662" s="426"/>
    </row>
    <row r="16663" spans="1:1" s="427" customFormat="1" ht="12" hidden="1" customHeight="1">
      <c r="A16663" s="426"/>
    </row>
    <row r="16664" spans="1:1" s="427" customFormat="1" ht="12" hidden="1" customHeight="1">
      <c r="A16664" s="426"/>
    </row>
    <row r="16665" spans="1:1" s="427" customFormat="1" ht="12" hidden="1" customHeight="1">
      <c r="A16665" s="426"/>
    </row>
    <row r="16666" spans="1:1" s="427" customFormat="1" ht="12" hidden="1" customHeight="1">
      <c r="A16666" s="426"/>
    </row>
    <row r="16667" spans="1:1" s="427" customFormat="1" ht="12" hidden="1" customHeight="1">
      <c r="A16667" s="426"/>
    </row>
    <row r="16668" spans="1:1" s="427" customFormat="1" ht="12" hidden="1" customHeight="1">
      <c r="A16668" s="426"/>
    </row>
    <row r="16669" spans="1:1" s="427" customFormat="1" ht="12" hidden="1" customHeight="1">
      <c r="A16669" s="426"/>
    </row>
    <row r="16670" spans="1:1" s="427" customFormat="1" ht="12" hidden="1" customHeight="1">
      <c r="A16670" s="426"/>
    </row>
    <row r="16671" spans="1:1" s="427" customFormat="1" ht="12" hidden="1" customHeight="1">
      <c r="A16671" s="426"/>
    </row>
    <row r="16672" spans="1:1" s="427" customFormat="1" ht="12" hidden="1" customHeight="1">
      <c r="A16672" s="426"/>
    </row>
    <row r="16673" spans="1:1" s="427" customFormat="1" ht="12" hidden="1" customHeight="1">
      <c r="A16673" s="426"/>
    </row>
    <row r="16674" spans="1:1" s="427" customFormat="1" ht="12" hidden="1" customHeight="1">
      <c r="A16674" s="426"/>
    </row>
    <row r="16675" spans="1:1" s="427" customFormat="1" ht="12" hidden="1" customHeight="1">
      <c r="A16675" s="426"/>
    </row>
    <row r="16676" spans="1:1" s="427" customFormat="1" ht="12" hidden="1" customHeight="1">
      <c r="A16676" s="426"/>
    </row>
    <row r="16677" spans="1:1" s="427" customFormat="1" ht="12" hidden="1" customHeight="1">
      <c r="A16677" s="426"/>
    </row>
    <row r="16678" spans="1:1" s="427" customFormat="1" ht="12" hidden="1" customHeight="1">
      <c r="A16678" s="426"/>
    </row>
    <row r="16679" spans="1:1" s="427" customFormat="1" ht="12" hidden="1" customHeight="1">
      <c r="A16679" s="426"/>
    </row>
    <row r="16680" spans="1:1" s="427" customFormat="1" ht="12" hidden="1" customHeight="1">
      <c r="A16680" s="426"/>
    </row>
    <row r="16681" spans="1:1" s="427" customFormat="1" ht="12" hidden="1" customHeight="1">
      <c r="A16681" s="426"/>
    </row>
    <row r="16682" spans="1:1" s="427" customFormat="1" ht="12" hidden="1" customHeight="1">
      <c r="A16682" s="426"/>
    </row>
    <row r="16683" spans="1:1" s="427" customFormat="1" ht="12" hidden="1" customHeight="1">
      <c r="A16683" s="426"/>
    </row>
    <row r="16684" spans="1:1" s="427" customFormat="1" ht="12" hidden="1" customHeight="1">
      <c r="A16684" s="426"/>
    </row>
    <row r="16685" spans="1:1" s="427" customFormat="1" ht="12" hidden="1" customHeight="1">
      <c r="A16685" s="426"/>
    </row>
    <row r="16686" spans="1:1" s="427" customFormat="1" ht="12" hidden="1" customHeight="1">
      <c r="A16686" s="426"/>
    </row>
    <row r="16687" spans="1:1" s="427" customFormat="1" ht="12" hidden="1" customHeight="1">
      <c r="A16687" s="426"/>
    </row>
    <row r="16688" spans="1:1" s="427" customFormat="1" ht="12" hidden="1" customHeight="1">
      <c r="A16688" s="426"/>
    </row>
    <row r="16689" spans="1:1" s="427" customFormat="1" ht="12" hidden="1" customHeight="1">
      <c r="A16689" s="426"/>
    </row>
    <row r="16690" spans="1:1" s="427" customFormat="1" ht="12" hidden="1" customHeight="1">
      <c r="A16690" s="426"/>
    </row>
    <row r="16691" spans="1:1" s="427" customFormat="1" ht="12" hidden="1" customHeight="1">
      <c r="A16691" s="426"/>
    </row>
    <row r="16692" spans="1:1" s="427" customFormat="1" ht="12" hidden="1" customHeight="1">
      <c r="A16692" s="426"/>
    </row>
    <row r="16693" spans="1:1" s="427" customFormat="1" ht="12" hidden="1" customHeight="1">
      <c r="A16693" s="426"/>
    </row>
    <row r="16694" spans="1:1" s="427" customFormat="1" ht="12" hidden="1" customHeight="1">
      <c r="A16694" s="426"/>
    </row>
    <row r="16695" spans="1:1" s="427" customFormat="1" ht="12" hidden="1" customHeight="1">
      <c r="A16695" s="426"/>
    </row>
    <row r="16696" spans="1:1" s="427" customFormat="1" ht="12" hidden="1" customHeight="1">
      <c r="A16696" s="426"/>
    </row>
    <row r="16697" spans="1:1" s="427" customFormat="1" ht="12" hidden="1" customHeight="1">
      <c r="A16697" s="426"/>
    </row>
    <row r="16698" spans="1:1" s="427" customFormat="1" ht="12" hidden="1" customHeight="1">
      <c r="A16698" s="426"/>
    </row>
    <row r="16699" spans="1:1" s="427" customFormat="1" ht="12" hidden="1" customHeight="1">
      <c r="A16699" s="426"/>
    </row>
    <row r="16700" spans="1:1" s="427" customFormat="1" ht="12" hidden="1" customHeight="1">
      <c r="A16700" s="426"/>
    </row>
    <row r="16701" spans="1:1" s="427" customFormat="1" ht="12" hidden="1" customHeight="1">
      <c r="A16701" s="426"/>
    </row>
    <row r="16702" spans="1:1" s="427" customFormat="1" ht="12" hidden="1" customHeight="1">
      <c r="A16702" s="426"/>
    </row>
    <row r="16703" spans="1:1" s="427" customFormat="1" ht="12" hidden="1" customHeight="1">
      <c r="A16703" s="426"/>
    </row>
    <row r="16704" spans="1:1" s="427" customFormat="1" ht="12" hidden="1" customHeight="1">
      <c r="A16704" s="426"/>
    </row>
    <row r="16705" spans="1:1" s="427" customFormat="1" ht="12" hidden="1" customHeight="1">
      <c r="A16705" s="426"/>
    </row>
    <row r="16706" spans="1:1" s="427" customFormat="1" ht="12" hidden="1" customHeight="1">
      <c r="A16706" s="426"/>
    </row>
    <row r="16707" spans="1:1" s="427" customFormat="1" ht="12" hidden="1" customHeight="1">
      <c r="A16707" s="426"/>
    </row>
    <row r="16708" spans="1:1" s="427" customFormat="1" ht="12" hidden="1" customHeight="1">
      <c r="A16708" s="426"/>
    </row>
    <row r="16709" spans="1:1" s="427" customFormat="1" ht="12" hidden="1" customHeight="1">
      <c r="A16709" s="426"/>
    </row>
    <row r="16710" spans="1:1" s="427" customFormat="1" ht="12" hidden="1" customHeight="1">
      <c r="A16710" s="426"/>
    </row>
    <row r="16711" spans="1:1" s="427" customFormat="1" ht="12" hidden="1" customHeight="1">
      <c r="A16711" s="426"/>
    </row>
    <row r="16712" spans="1:1" s="427" customFormat="1" ht="12" hidden="1" customHeight="1">
      <c r="A16712" s="426"/>
    </row>
    <row r="16713" spans="1:1" s="427" customFormat="1" ht="12" hidden="1" customHeight="1">
      <c r="A16713" s="426"/>
    </row>
    <row r="16714" spans="1:1" s="427" customFormat="1" ht="12" hidden="1" customHeight="1">
      <c r="A16714" s="426"/>
    </row>
    <row r="16715" spans="1:1" s="427" customFormat="1" ht="12" hidden="1" customHeight="1">
      <c r="A16715" s="426"/>
    </row>
    <row r="16716" spans="1:1" s="427" customFormat="1" ht="12" hidden="1" customHeight="1">
      <c r="A16716" s="426"/>
    </row>
    <row r="16717" spans="1:1" s="427" customFormat="1" ht="12" hidden="1" customHeight="1">
      <c r="A16717" s="426"/>
    </row>
    <row r="16718" spans="1:1" s="427" customFormat="1" ht="12" hidden="1" customHeight="1">
      <c r="A16718" s="426"/>
    </row>
    <row r="16719" spans="1:1" s="427" customFormat="1" ht="12" hidden="1" customHeight="1">
      <c r="A16719" s="426"/>
    </row>
    <row r="16720" spans="1:1" s="427" customFormat="1" ht="12" hidden="1" customHeight="1">
      <c r="A16720" s="426"/>
    </row>
    <row r="16721" spans="1:1" s="427" customFormat="1" ht="12" hidden="1" customHeight="1">
      <c r="A16721" s="426"/>
    </row>
    <row r="16722" spans="1:1" s="427" customFormat="1" ht="12" hidden="1" customHeight="1">
      <c r="A16722" s="426"/>
    </row>
    <row r="16723" spans="1:1" s="427" customFormat="1" ht="12" hidden="1" customHeight="1">
      <c r="A16723" s="426"/>
    </row>
    <row r="16724" spans="1:1" s="427" customFormat="1" ht="12" hidden="1" customHeight="1">
      <c r="A16724" s="426"/>
    </row>
    <row r="16725" spans="1:1" s="427" customFormat="1" ht="12" hidden="1" customHeight="1">
      <c r="A16725" s="426"/>
    </row>
    <row r="16726" spans="1:1" s="427" customFormat="1" ht="12" hidden="1" customHeight="1">
      <c r="A16726" s="426"/>
    </row>
    <row r="16727" spans="1:1" s="427" customFormat="1" ht="12" hidden="1" customHeight="1">
      <c r="A16727" s="426"/>
    </row>
    <row r="16728" spans="1:1" s="427" customFormat="1" ht="12" hidden="1" customHeight="1">
      <c r="A16728" s="426"/>
    </row>
    <row r="16729" spans="1:1" s="427" customFormat="1" ht="12" hidden="1" customHeight="1">
      <c r="A16729" s="426"/>
    </row>
    <row r="16730" spans="1:1" s="427" customFormat="1" ht="12" hidden="1" customHeight="1">
      <c r="A16730" s="426"/>
    </row>
    <row r="16731" spans="1:1" s="427" customFormat="1" ht="12" hidden="1" customHeight="1">
      <c r="A16731" s="426"/>
    </row>
    <row r="16732" spans="1:1" s="427" customFormat="1" ht="12" hidden="1" customHeight="1">
      <c r="A16732" s="426"/>
    </row>
    <row r="16733" spans="1:1" s="427" customFormat="1" ht="12" hidden="1" customHeight="1">
      <c r="A16733" s="426"/>
    </row>
    <row r="16734" spans="1:1" s="427" customFormat="1" ht="12" hidden="1" customHeight="1">
      <c r="A16734" s="426"/>
    </row>
    <row r="16735" spans="1:1" s="427" customFormat="1" ht="12" hidden="1" customHeight="1">
      <c r="A16735" s="426"/>
    </row>
    <row r="16736" spans="1:1" s="427" customFormat="1" ht="12" hidden="1" customHeight="1">
      <c r="A16736" s="426"/>
    </row>
    <row r="16737" spans="1:1" s="427" customFormat="1" ht="12" hidden="1" customHeight="1">
      <c r="A16737" s="426"/>
    </row>
    <row r="16738" spans="1:1" s="427" customFormat="1" ht="12" hidden="1" customHeight="1">
      <c r="A16738" s="426"/>
    </row>
    <row r="16739" spans="1:1" s="427" customFormat="1" ht="12" hidden="1" customHeight="1">
      <c r="A16739" s="426"/>
    </row>
    <row r="16740" spans="1:1" s="427" customFormat="1" ht="12" hidden="1" customHeight="1">
      <c r="A16740" s="426"/>
    </row>
    <row r="16741" spans="1:1" s="427" customFormat="1" ht="12" hidden="1" customHeight="1">
      <c r="A16741" s="426"/>
    </row>
    <row r="16742" spans="1:1" s="427" customFormat="1" ht="12" hidden="1" customHeight="1">
      <c r="A16742" s="426"/>
    </row>
    <row r="16743" spans="1:1" s="427" customFormat="1" ht="12" hidden="1" customHeight="1">
      <c r="A16743" s="426"/>
    </row>
    <row r="16744" spans="1:1" s="427" customFormat="1" ht="12" hidden="1" customHeight="1">
      <c r="A16744" s="426"/>
    </row>
    <row r="16745" spans="1:1" s="427" customFormat="1" ht="12" hidden="1" customHeight="1">
      <c r="A16745" s="426"/>
    </row>
    <row r="16746" spans="1:1" s="427" customFormat="1" ht="12" hidden="1" customHeight="1">
      <c r="A16746" s="426"/>
    </row>
    <row r="16747" spans="1:1" s="427" customFormat="1" ht="12" hidden="1" customHeight="1">
      <c r="A16747" s="426"/>
    </row>
    <row r="16748" spans="1:1" s="427" customFormat="1" ht="12" hidden="1" customHeight="1">
      <c r="A16748" s="426"/>
    </row>
    <row r="16749" spans="1:1" s="427" customFormat="1" ht="12" hidden="1" customHeight="1">
      <c r="A16749" s="426"/>
    </row>
    <row r="16750" spans="1:1" s="427" customFormat="1" ht="12" hidden="1" customHeight="1">
      <c r="A16750" s="426"/>
    </row>
    <row r="16751" spans="1:1" s="427" customFormat="1" ht="12" hidden="1" customHeight="1">
      <c r="A16751" s="426"/>
    </row>
    <row r="16752" spans="1:1" s="427" customFormat="1" ht="12" hidden="1" customHeight="1">
      <c r="A16752" s="426"/>
    </row>
    <row r="16753" spans="1:1" s="427" customFormat="1" ht="12" hidden="1" customHeight="1">
      <c r="A16753" s="426"/>
    </row>
    <row r="16754" spans="1:1" s="427" customFormat="1" ht="12" hidden="1" customHeight="1">
      <c r="A16754" s="426"/>
    </row>
    <row r="16755" spans="1:1" s="427" customFormat="1" ht="12" hidden="1" customHeight="1">
      <c r="A16755" s="426"/>
    </row>
    <row r="16756" spans="1:1" s="427" customFormat="1" ht="12" hidden="1" customHeight="1">
      <c r="A16756" s="426"/>
    </row>
    <row r="16757" spans="1:1" s="427" customFormat="1" ht="12" hidden="1" customHeight="1">
      <c r="A16757" s="426"/>
    </row>
    <row r="16758" spans="1:1" s="427" customFormat="1" ht="12" hidden="1" customHeight="1">
      <c r="A16758" s="426"/>
    </row>
    <row r="16759" spans="1:1" s="427" customFormat="1" ht="12" hidden="1" customHeight="1">
      <c r="A16759" s="426"/>
    </row>
    <row r="16760" spans="1:1" s="427" customFormat="1" ht="12" hidden="1" customHeight="1">
      <c r="A16760" s="426"/>
    </row>
    <row r="16761" spans="1:1" s="427" customFormat="1" ht="12" hidden="1" customHeight="1">
      <c r="A16761" s="426"/>
    </row>
    <row r="16762" spans="1:1" s="427" customFormat="1" ht="12" hidden="1" customHeight="1">
      <c r="A16762" s="426"/>
    </row>
    <row r="16763" spans="1:1" s="427" customFormat="1" ht="12" hidden="1" customHeight="1">
      <c r="A16763" s="426"/>
    </row>
    <row r="16764" spans="1:1" s="427" customFormat="1" ht="12" hidden="1" customHeight="1">
      <c r="A16764" s="426"/>
    </row>
    <row r="16765" spans="1:1" s="427" customFormat="1" ht="12" hidden="1" customHeight="1">
      <c r="A16765" s="426"/>
    </row>
    <row r="16766" spans="1:1" s="427" customFormat="1" ht="12" hidden="1" customHeight="1">
      <c r="A16766" s="426"/>
    </row>
    <row r="16767" spans="1:1" s="427" customFormat="1" ht="12" hidden="1" customHeight="1">
      <c r="A16767" s="426"/>
    </row>
    <row r="16768" spans="1:1" s="427" customFormat="1" ht="12" hidden="1" customHeight="1">
      <c r="A16768" s="426"/>
    </row>
    <row r="16769" spans="1:1" s="427" customFormat="1" ht="12" hidden="1" customHeight="1">
      <c r="A16769" s="426"/>
    </row>
    <row r="16770" spans="1:1" s="427" customFormat="1" ht="12" hidden="1" customHeight="1">
      <c r="A16770" s="426"/>
    </row>
    <row r="16771" spans="1:1" s="427" customFormat="1" ht="12" hidden="1" customHeight="1">
      <c r="A16771" s="426"/>
    </row>
    <row r="16772" spans="1:1" s="427" customFormat="1" ht="12" hidden="1" customHeight="1">
      <c r="A16772" s="426"/>
    </row>
    <row r="16773" spans="1:1" s="427" customFormat="1" ht="12" hidden="1" customHeight="1">
      <c r="A16773" s="426"/>
    </row>
    <row r="16774" spans="1:1" s="427" customFormat="1" ht="12" hidden="1" customHeight="1">
      <c r="A16774" s="426"/>
    </row>
    <row r="16775" spans="1:1" s="427" customFormat="1" ht="12" hidden="1" customHeight="1">
      <c r="A16775" s="426"/>
    </row>
    <row r="16776" spans="1:1" s="427" customFormat="1" ht="12" hidden="1" customHeight="1">
      <c r="A16776" s="426"/>
    </row>
    <row r="16777" spans="1:1" s="427" customFormat="1" ht="12" hidden="1" customHeight="1">
      <c r="A16777" s="426"/>
    </row>
    <row r="16778" spans="1:1" s="427" customFormat="1" ht="12" hidden="1" customHeight="1">
      <c r="A16778" s="426"/>
    </row>
    <row r="16779" spans="1:1" s="427" customFormat="1" ht="12" hidden="1" customHeight="1">
      <c r="A16779" s="426"/>
    </row>
    <row r="16780" spans="1:1" s="427" customFormat="1" ht="12" hidden="1" customHeight="1">
      <c r="A16780" s="426"/>
    </row>
    <row r="16781" spans="1:1" s="427" customFormat="1" ht="12" hidden="1" customHeight="1">
      <c r="A16781" s="426"/>
    </row>
    <row r="16782" spans="1:1" s="427" customFormat="1" ht="12" hidden="1" customHeight="1">
      <c r="A16782" s="426"/>
    </row>
    <row r="16783" spans="1:1" s="427" customFormat="1" ht="12" hidden="1" customHeight="1">
      <c r="A16783" s="426"/>
    </row>
    <row r="16784" spans="1:1" s="427" customFormat="1" ht="12" hidden="1" customHeight="1">
      <c r="A16784" s="426"/>
    </row>
    <row r="16785" spans="1:1" s="427" customFormat="1" ht="12" hidden="1" customHeight="1">
      <c r="A16785" s="426"/>
    </row>
    <row r="16786" spans="1:1" s="427" customFormat="1" ht="12" hidden="1" customHeight="1">
      <c r="A16786" s="426"/>
    </row>
    <row r="16787" spans="1:1" s="427" customFormat="1" ht="12" hidden="1" customHeight="1">
      <c r="A16787" s="426"/>
    </row>
    <row r="16788" spans="1:1" s="427" customFormat="1" ht="12" hidden="1" customHeight="1">
      <c r="A16788" s="426"/>
    </row>
    <row r="16789" spans="1:1" s="427" customFormat="1" ht="12" hidden="1" customHeight="1">
      <c r="A16789" s="426"/>
    </row>
    <row r="16790" spans="1:1" s="427" customFormat="1" ht="12" hidden="1" customHeight="1">
      <c r="A16790" s="426"/>
    </row>
    <row r="16791" spans="1:1" s="427" customFormat="1" ht="12" hidden="1" customHeight="1">
      <c r="A16791" s="426"/>
    </row>
    <row r="16792" spans="1:1" s="427" customFormat="1" ht="12" hidden="1" customHeight="1">
      <c r="A16792" s="426"/>
    </row>
    <row r="16793" spans="1:1" s="427" customFormat="1" ht="12" hidden="1" customHeight="1">
      <c r="A16793" s="426"/>
    </row>
    <row r="16794" spans="1:1" s="427" customFormat="1" ht="12" hidden="1" customHeight="1">
      <c r="A16794" s="426"/>
    </row>
    <row r="16795" spans="1:1" s="427" customFormat="1" ht="12" hidden="1" customHeight="1">
      <c r="A16795" s="426"/>
    </row>
    <row r="16796" spans="1:1" s="427" customFormat="1" ht="12" hidden="1" customHeight="1">
      <c r="A16796" s="426"/>
    </row>
    <row r="16797" spans="1:1" s="427" customFormat="1" ht="12" hidden="1" customHeight="1">
      <c r="A16797" s="426"/>
    </row>
    <row r="16798" spans="1:1" s="427" customFormat="1" ht="12" hidden="1" customHeight="1">
      <c r="A16798" s="426"/>
    </row>
    <row r="16799" spans="1:1" s="427" customFormat="1" ht="12" hidden="1" customHeight="1">
      <c r="A16799" s="426"/>
    </row>
    <row r="16800" spans="1:1" s="427" customFormat="1" ht="12" hidden="1" customHeight="1">
      <c r="A16800" s="426"/>
    </row>
    <row r="16801" spans="1:1" s="427" customFormat="1" ht="12" hidden="1" customHeight="1">
      <c r="A16801" s="426"/>
    </row>
    <row r="16802" spans="1:1" s="427" customFormat="1" ht="12" hidden="1" customHeight="1">
      <c r="A16802" s="426"/>
    </row>
    <row r="16803" spans="1:1" s="427" customFormat="1" ht="12" hidden="1" customHeight="1">
      <c r="A16803" s="426"/>
    </row>
    <row r="16804" spans="1:1" s="427" customFormat="1" ht="12" hidden="1" customHeight="1">
      <c r="A16804" s="426"/>
    </row>
    <row r="16805" spans="1:1" s="427" customFormat="1" ht="12" hidden="1" customHeight="1">
      <c r="A16805" s="426"/>
    </row>
    <row r="16806" spans="1:1" s="427" customFormat="1" ht="12" hidden="1" customHeight="1">
      <c r="A16806" s="426"/>
    </row>
    <row r="16807" spans="1:1" s="427" customFormat="1" ht="12" hidden="1" customHeight="1">
      <c r="A16807" s="426"/>
    </row>
    <row r="16808" spans="1:1" s="427" customFormat="1" ht="12" hidden="1" customHeight="1">
      <c r="A16808" s="426"/>
    </row>
    <row r="16809" spans="1:1" s="427" customFormat="1" ht="12" hidden="1" customHeight="1">
      <c r="A16809" s="426"/>
    </row>
    <row r="16810" spans="1:1" s="427" customFormat="1" ht="12" hidden="1" customHeight="1">
      <c r="A16810" s="426"/>
    </row>
    <row r="16811" spans="1:1" s="427" customFormat="1" ht="12" hidden="1" customHeight="1">
      <c r="A16811" s="426"/>
    </row>
    <row r="16812" spans="1:1" s="427" customFormat="1" ht="12" hidden="1" customHeight="1">
      <c r="A16812" s="426"/>
    </row>
    <row r="16813" spans="1:1" s="427" customFormat="1" ht="12" hidden="1" customHeight="1">
      <c r="A16813" s="426"/>
    </row>
    <row r="16814" spans="1:1" s="427" customFormat="1" ht="12" hidden="1" customHeight="1">
      <c r="A16814" s="426"/>
    </row>
    <row r="16815" spans="1:1" s="427" customFormat="1" ht="12" hidden="1" customHeight="1">
      <c r="A16815" s="426"/>
    </row>
    <row r="16816" spans="1:1" s="427" customFormat="1" ht="12" hidden="1" customHeight="1">
      <c r="A16816" s="426"/>
    </row>
    <row r="16817" spans="1:1" s="427" customFormat="1" ht="12" hidden="1" customHeight="1">
      <c r="A16817" s="426"/>
    </row>
    <row r="16818" spans="1:1" s="427" customFormat="1" ht="12" hidden="1" customHeight="1">
      <c r="A16818" s="426"/>
    </row>
    <row r="16819" spans="1:1" s="427" customFormat="1" ht="12" hidden="1" customHeight="1">
      <c r="A16819" s="426"/>
    </row>
    <row r="16820" spans="1:1" s="427" customFormat="1" ht="12" hidden="1" customHeight="1">
      <c r="A16820" s="426"/>
    </row>
    <row r="16821" spans="1:1" s="427" customFormat="1" ht="12" hidden="1" customHeight="1">
      <c r="A16821" s="426"/>
    </row>
    <row r="16822" spans="1:1" s="427" customFormat="1" ht="12" hidden="1" customHeight="1">
      <c r="A16822" s="426"/>
    </row>
    <row r="16823" spans="1:1" s="427" customFormat="1" ht="12" hidden="1" customHeight="1">
      <c r="A16823" s="426"/>
    </row>
    <row r="16824" spans="1:1" s="427" customFormat="1" ht="12" hidden="1" customHeight="1">
      <c r="A16824" s="426"/>
    </row>
    <row r="16825" spans="1:1" s="427" customFormat="1" ht="12" hidden="1" customHeight="1">
      <c r="A16825" s="426"/>
    </row>
    <row r="16826" spans="1:1" s="427" customFormat="1" ht="12" hidden="1" customHeight="1">
      <c r="A16826" s="426"/>
    </row>
    <row r="16827" spans="1:1" s="427" customFormat="1" ht="12" hidden="1" customHeight="1">
      <c r="A16827" s="426"/>
    </row>
    <row r="16828" spans="1:1" s="427" customFormat="1" ht="12" hidden="1" customHeight="1">
      <c r="A16828" s="426"/>
    </row>
    <row r="16829" spans="1:1" s="427" customFormat="1" ht="12" hidden="1" customHeight="1">
      <c r="A16829" s="426"/>
    </row>
    <row r="16830" spans="1:1" s="427" customFormat="1" ht="12" hidden="1" customHeight="1">
      <c r="A16830" s="426"/>
    </row>
    <row r="16831" spans="1:1" s="427" customFormat="1" ht="12" hidden="1" customHeight="1">
      <c r="A16831" s="426"/>
    </row>
    <row r="16832" spans="1:1" s="427" customFormat="1" ht="12" hidden="1" customHeight="1">
      <c r="A16832" s="426"/>
    </row>
    <row r="16833" spans="1:1" s="427" customFormat="1" ht="12" hidden="1" customHeight="1">
      <c r="A16833" s="426"/>
    </row>
    <row r="16834" spans="1:1" s="427" customFormat="1" ht="12" hidden="1" customHeight="1">
      <c r="A16834" s="426"/>
    </row>
    <row r="16835" spans="1:1" s="427" customFormat="1" ht="12" hidden="1" customHeight="1">
      <c r="A16835" s="426"/>
    </row>
    <row r="16836" spans="1:1" s="427" customFormat="1" ht="12" hidden="1" customHeight="1">
      <c r="A16836" s="426"/>
    </row>
    <row r="16837" spans="1:1" s="427" customFormat="1" ht="12" hidden="1" customHeight="1">
      <c r="A16837" s="426"/>
    </row>
    <row r="16838" spans="1:1" s="427" customFormat="1" ht="12" hidden="1" customHeight="1">
      <c r="A16838" s="426"/>
    </row>
    <row r="16839" spans="1:1" s="427" customFormat="1" ht="12" hidden="1" customHeight="1">
      <c r="A16839" s="426"/>
    </row>
    <row r="16840" spans="1:1" s="427" customFormat="1" ht="12" hidden="1" customHeight="1">
      <c r="A16840" s="426"/>
    </row>
    <row r="16841" spans="1:1" s="427" customFormat="1" ht="12" hidden="1" customHeight="1">
      <c r="A16841" s="426"/>
    </row>
    <row r="16842" spans="1:1" s="427" customFormat="1" ht="12" hidden="1" customHeight="1">
      <c r="A16842" s="426"/>
    </row>
    <row r="16843" spans="1:1" s="427" customFormat="1" ht="12" hidden="1" customHeight="1">
      <c r="A16843" s="426"/>
    </row>
    <row r="16844" spans="1:1" s="427" customFormat="1" ht="12" hidden="1" customHeight="1">
      <c r="A16844" s="426"/>
    </row>
    <row r="16845" spans="1:1" s="427" customFormat="1" ht="12" hidden="1" customHeight="1">
      <c r="A16845" s="426"/>
    </row>
    <row r="16846" spans="1:1" s="427" customFormat="1" ht="12" hidden="1" customHeight="1">
      <c r="A16846" s="426"/>
    </row>
    <row r="16847" spans="1:1" s="427" customFormat="1" ht="12" hidden="1" customHeight="1">
      <c r="A16847" s="426"/>
    </row>
    <row r="16848" spans="1:1" s="427" customFormat="1" ht="12" hidden="1" customHeight="1">
      <c r="A16848" s="426"/>
    </row>
    <row r="16849" spans="1:1" s="427" customFormat="1" ht="12" hidden="1" customHeight="1">
      <c r="A16849" s="426"/>
    </row>
    <row r="16850" spans="1:1" s="427" customFormat="1" ht="12" hidden="1" customHeight="1">
      <c r="A16850" s="426"/>
    </row>
    <row r="16851" spans="1:1" s="427" customFormat="1" ht="12" hidden="1" customHeight="1">
      <c r="A16851" s="426"/>
    </row>
    <row r="16852" spans="1:1" s="427" customFormat="1" ht="12" hidden="1" customHeight="1">
      <c r="A16852" s="426"/>
    </row>
    <row r="16853" spans="1:1" s="427" customFormat="1" ht="12" hidden="1" customHeight="1">
      <c r="A16853" s="426"/>
    </row>
    <row r="16854" spans="1:1" s="427" customFormat="1" ht="12" hidden="1" customHeight="1">
      <c r="A16854" s="426"/>
    </row>
    <row r="16855" spans="1:1" s="427" customFormat="1" ht="12" hidden="1" customHeight="1">
      <c r="A16855" s="426"/>
    </row>
    <row r="16856" spans="1:1" s="427" customFormat="1" ht="12" hidden="1" customHeight="1">
      <c r="A16856" s="426"/>
    </row>
    <row r="16857" spans="1:1" s="427" customFormat="1" ht="12" hidden="1" customHeight="1">
      <c r="A16857" s="426"/>
    </row>
    <row r="16858" spans="1:1" s="427" customFormat="1" ht="12" hidden="1" customHeight="1">
      <c r="A16858" s="426"/>
    </row>
    <row r="16859" spans="1:1" s="427" customFormat="1" ht="12" hidden="1" customHeight="1">
      <c r="A16859" s="426"/>
    </row>
    <row r="16860" spans="1:1" s="427" customFormat="1" ht="12" hidden="1" customHeight="1">
      <c r="A16860" s="426"/>
    </row>
    <row r="16861" spans="1:1" s="427" customFormat="1" ht="12" hidden="1" customHeight="1">
      <c r="A16861" s="426"/>
    </row>
    <row r="16862" spans="1:1" s="427" customFormat="1" ht="12" hidden="1" customHeight="1">
      <c r="A16862" s="426"/>
    </row>
    <row r="16863" spans="1:1" s="427" customFormat="1" ht="12" hidden="1" customHeight="1">
      <c r="A16863" s="426"/>
    </row>
    <row r="16864" spans="1:1" s="427" customFormat="1" ht="12" hidden="1" customHeight="1">
      <c r="A16864" s="426"/>
    </row>
    <row r="16865" spans="1:1" s="427" customFormat="1" ht="12" hidden="1" customHeight="1">
      <c r="A16865" s="426"/>
    </row>
    <row r="16866" spans="1:1" s="427" customFormat="1" ht="12" hidden="1" customHeight="1">
      <c r="A16866" s="426"/>
    </row>
    <row r="16867" spans="1:1" s="427" customFormat="1" ht="12" hidden="1" customHeight="1">
      <c r="A16867" s="426"/>
    </row>
    <row r="16868" spans="1:1" s="427" customFormat="1" ht="12" hidden="1" customHeight="1">
      <c r="A16868" s="426"/>
    </row>
    <row r="16869" spans="1:1" s="427" customFormat="1" ht="12" hidden="1" customHeight="1">
      <c r="A16869" s="426"/>
    </row>
    <row r="16870" spans="1:1" s="427" customFormat="1" ht="12" hidden="1" customHeight="1">
      <c r="A16870" s="426"/>
    </row>
    <row r="16871" spans="1:1" s="427" customFormat="1" ht="12" hidden="1" customHeight="1">
      <c r="A16871" s="426"/>
    </row>
    <row r="16872" spans="1:1" s="427" customFormat="1" ht="12" hidden="1" customHeight="1">
      <c r="A16872" s="426"/>
    </row>
    <row r="16873" spans="1:1" s="427" customFormat="1" ht="12" hidden="1" customHeight="1">
      <c r="A16873" s="426"/>
    </row>
    <row r="16874" spans="1:1" s="427" customFormat="1" ht="12" hidden="1" customHeight="1">
      <c r="A16874" s="426"/>
    </row>
    <row r="16875" spans="1:1" s="427" customFormat="1" ht="12" hidden="1" customHeight="1">
      <c r="A16875" s="426"/>
    </row>
    <row r="16876" spans="1:1" s="427" customFormat="1" ht="12" hidden="1" customHeight="1">
      <c r="A16876" s="426"/>
    </row>
    <row r="16877" spans="1:1" s="427" customFormat="1" ht="12" hidden="1" customHeight="1">
      <c r="A16877" s="426"/>
    </row>
    <row r="16878" spans="1:1" s="427" customFormat="1" ht="12" hidden="1" customHeight="1">
      <c r="A16878" s="426"/>
    </row>
    <row r="16879" spans="1:1" s="427" customFormat="1" ht="12" hidden="1" customHeight="1">
      <c r="A16879" s="426"/>
    </row>
    <row r="16880" spans="1:1" s="427" customFormat="1" ht="12" hidden="1" customHeight="1">
      <c r="A16880" s="426"/>
    </row>
    <row r="16881" spans="1:1" s="427" customFormat="1" ht="12" hidden="1" customHeight="1">
      <c r="A16881" s="426"/>
    </row>
    <row r="16882" spans="1:1" s="427" customFormat="1" ht="12" hidden="1" customHeight="1">
      <c r="A16882" s="426"/>
    </row>
    <row r="16883" spans="1:1" s="427" customFormat="1" ht="12" hidden="1" customHeight="1">
      <c r="A16883" s="426"/>
    </row>
    <row r="16884" spans="1:1" s="427" customFormat="1" ht="12" hidden="1" customHeight="1">
      <c r="A16884" s="426"/>
    </row>
    <row r="16885" spans="1:1" s="427" customFormat="1" ht="12" hidden="1" customHeight="1">
      <c r="A16885" s="426"/>
    </row>
    <row r="16886" spans="1:1" s="427" customFormat="1" ht="12" hidden="1" customHeight="1">
      <c r="A16886" s="426"/>
    </row>
    <row r="16887" spans="1:1" s="427" customFormat="1" ht="12" hidden="1" customHeight="1">
      <c r="A16887" s="426"/>
    </row>
    <row r="16888" spans="1:1" s="427" customFormat="1" ht="12" hidden="1" customHeight="1">
      <c r="A16888" s="426"/>
    </row>
    <row r="16889" spans="1:1" s="427" customFormat="1" ht="12" hidden="1" customHeight="1">
      <c r="A16889" s="426"/>
    </row>
    <row r="16890" spans="1:1" s="427" customFormat="1" ht="12" hidden="1" customHeight="1">
      <c r="A16890" s="426"/>
    </row>
    <row r="16891" spans="1:1" s="427" customFormat="1" ht="12" hidden="1" customHeight="1">
      <c r="A16891" s="426"/>
    </row>
    <row r="16892" spans="1:1" s="427" customFormat="1" ht="12" hidden="1" customHeight="1">
      <c r="A16892" s="426"/>
    </row>
    <row r="16893" spans="1:1" s="427" customFormat="1" ht="12" hidden="1" customHeight="1">
      <c r="A16893" s="426"/>
    </row>
    <row r="16894" spans="1:1" s="427" customFormat="1" ht="12" hidden="1" customHeight="1">
      <c r="A16894" s="426"/>
    </row>
    <row r="16895" spans="1:1" s="427" customFormat="1" ht="12" hidden="1" customHeight="1">
      <c r="A16895" s="426"/>
    </row>
    <row r="16896" spans="1:1" s="427" customFormat="1" ht="12" hidden="1" customHeight="1">
      <c r="A16896" s="426"/>
    </row>
    <row r="16897" spans="1:1" s="427" customFormat="1" ht="12" hidden="1" customHeight="1">
      <c r="A16897" s="426"/>
    </row>
    <row r="16898" spans="1:1" s="427" customFormat="1" ht="12" hidden="1" customHeight="1">
      <c r="A16898" s="426"/>
    </row>
    <row r="16899" spans="1:1" s="427" customFormat="1" ht="12" hidden="1" customHeight="1">
      <c r="A16899" s="426"/>
    </row>
    <row r="16900" spans="1:1" s="427" customFormat="1" ht="12" hidden="1" customHeight="1">
      <c r="A16900" s="426"/>
    </row>
    <row r="16901" spans="1:1" s="427" customFormat="1" ht="12" hidden="1" customHeight="1">
      <c r="A16901" s="426"/>
    </row>
    <row r="16902" spans="1:1" s="427" customFormat="1" ht="12" hidden="1" customHeight="1">
      <c r="A16902" s="426"/>
    </row>
    <row r="16903" spans="1:1" s="427" customFormat="1" ht="12" hidden="1" customHeight="1">
      <c r="A16903" s="426"/>
    </row>
    <row r="16904" spans="1:1" s="427" customFormat="1" ht="12" hidden="1" customHeight="1">
      <c r="A16904" s="426"/>
    </row>
    <row r="16905" spans="1:1" s="427" customFormat="1" ht="12" hidden="1" customHeight="1">
      <c r="A16905" s="426"/>
    </row>
    <row r="16906" spans="1:1" s="427" customFormat="1" ht="12" hidden="1" customHeight="1">
      <c r="A16906" s="426"/>
    </row>
    <row r="16907" spans="1:1" s="427" customFormat="1" ht="12" hidden="1" customHeight="1">
      <c r="A16907" s="426"/>
    </row>
    <row r="16908" spans="1:1" s="427" customFormat="1" ht="12" hidden="1" customHeight="1">
      <c r="A16908" s="426"/>
    </row>
    <row r="16909" spans="1:1" s="427" customFormat="1" ht="12" hidden="1" customHeight="1">
      <c r="A16909" s="426"/>
    </row>
    <row r="16910" spans="1:1" s="427" customFormat="1" ht="12" hidden="1" customHeight="1">
      <c r="A16910" s="426"/>
    </row>
    <row r="16911" spans="1:1" s="427" customFormat="1" ht="12" hidden="1" customHeight="1">
      <c r="A16911" s="426"/>
    </row>
    <row r="16912" spans="1:1" s="427" customFormat="1" ht="12" hidden="1" customHeight="1">
      <c r="A16912" s="426"/>
    </row>
    <row r="16913" spans="1:1" s="427" customFormat="1" ht="12" hidden="1" customHeight="1">
      <c r="A16913" s="426"/>
    </row>
    <row r="16914" spans="1:1" s="427" customFormat="1" ht="12" hidden="1" customHeight="1">
      <c r="A16914" s="426"/>
    </row>
    <row r="16915" spans="1:1" s="427" customFormat="1" ht="12" hidden="1" customHeight="1">
      <c r="A16915" s="426"/>
    </row>
    <row r="16916" spans="1:1" s="427" customFormat="1" ht="12" hidden="1" customHeight="1">
      <c r="A16916" s="426"/>
    </row>
    <row r="16917" spans="1:1" s="427" customFormat="1" ht="12" hidden="1" customHeight="1">
      <c r="A16917" s="426"/>
    </row>
    <row r="16918" spans="1:1" s="427" customFormat="1" ht="12" hidden="1" customHeight="1">
      <c r="A16918" s="426"/>
    </row>
    <row r="16919" spans="1:1" s="427" customFormat="1" ht="12" hidden="1" customHeight="1">
      <c r="A16919" s="426"/>
    </row>
    <row r="16920" spans="1:1" s="427" customFormat="1" ht="12" hidden="1" customHeight="1">
      <c r="A16920" s="426"/>
    </row>
    <row r="16921" spans="1:1" s="427" customFormat="1" ht="12" hidden="1" customHeight="1">
      <c r="A16921" s="426"/>
    </row>
    <row r="16922" spans="1:1" s="427" customFormat="1" ht="12" hidden="1" customHeight="1">
      <c r="A16922" s="426"/>
    </row>
    <row r="16923" spans="1:1" s="427" customFormat="1" ht="12" hidden="1" customHeight="1">
      <c r="A16923" s="426"/>
    </row>
    <row r="16924" spans="1:1" s="427" customFormat="1" ht="12" hidden="1" customHeight="1">
      <c r="A16924" s="426"/>
    </row>
    <row r="16925" spans="1:1" s="427" customFormat="1" ht="12" hidden="1" customHeight="1">
      <c r="A16925" s="426"/>
    </row>
    <row r="16926" spans="1:1" s="427" customFormat="1" ht="12" hidden="1" customHeight="1">
      <c r="A16926" s="426"/>
    </row>
    <row r="16927" spans="1:1" s="427" customFormat="1" ht="12" hidden="1" customHeight="1">
      <c r="A16927" s="426"/>
    </row>
    <row r="16928" spans="1:1" s="427" customFormat="1" ht="12" hidden="1" customHeight="1">
      <c r="A16928" s="426"/>
    </row>
    <row r="16929" spans="1:1" s="427" customFormat="1" ht="12" hidden="1" customHeight="1">
      <c r="A16929" s="426"/>
    </row>
    <row r="16930" spans="1:1" s="427" customFormat="1" ht="12" hidden="1" customHeight="1">
      <c r="A16930" s="426"/>
    </row>
    <row r="16931" spans="1:1" s="427" customFormat="1" ht="12" hidden="1" customHeight="1">
      <c r="A16931" s="426"/>
    </row>
    <row r="16932" spans="1:1" s="427" customFormat="1" ht="12" hidden="1" customHeight="1">
      <c r="A16932" s="426"/>
    </row>
    <row r="16933" spans="1:1" s="427" customFormat="1" ht="12" hidden="1" customHeight="1">
      <c r="A16933" s="426"/>
    </row>
    <row r="16934" spans="1:1" s="427" customFormat="1" ht="12" hidden="1" customHeight="1">
      <c r="A16934" s="426"/>
    </row>
    <row r="16935" spans="1:1" s="427" customFormat="1" ht="12" hidden="1" customHeight="1">
      <c r="A16935" s="426"/>
    </row>
    <row r="16936" spans="1:1" s="427" customFormat="1" ht="12" hidden="1" customHeight="1">
      <c r="A16936" s="426"/>
    </row>
    <row r="16937" spans="1:1" s="427" customFormat="1" ht="12" hidden="1" customHeight="1">
      <c r="A16937" s="426"/>
    </row>
    <row r="16938" spans="1:1" s="427" customFormat="1" ht="12" hidden="1" customHeight="1">
      <c r="A16938" s="426"/>
    </row>
    <row r="16939" spans="1:1" s="427" customFormat="1" ht="12" hidden="1" customHeight="1">
      <c r="A16939" s="426"/>
    </row>
    <row r="16940" spans="1:1" s="427" customFormat="1" ht="12" hidden="1" customHeight="1">
      <c r="A16940" s="426"/>
    </row>
    <row r="16941" spans="1:1" s="427" customFormat="1" ht="12" hidden="1" customHeight="1">
      <c r="A16941" s="426"/>
    </row>
    <row r="16942" spans="1:1" s="427" customFormat="1" ht="12" hidden="1" customHeight="1">
      <c r="A16942" s="426"/>
    </row>
    <row r="16943" spans="1:1" s="427" customFormat="1" ht="12" hidden="1" customHeight="1">
      <c r="A16943" s="426"/>
    </row>
    <row r="16944" spans="1:1" s="427" customFormat="1" ht="12" hidden="1" customHeight="1">
      <c r="A16944" s="426"/>
    </row>
    <row r="16945" spans="1:1" s="427" customFormat="1" ht="12" hidden="1" customHeight="1">
      <c r="A16945" s="426"/>
    </row>
    <row r="16946" spans="1:1" s="427" customFormat="1" ht="12" hidden="1" customHeight="1">
      <c r="A16946" s="426"/>
    </row>
    <row r="16947" spans="1:1" s="427" customFormat="1" ht="12" hidden="1" customHeight="1">
      <c r="A16947" s="426"/>
    </row>
    <row r="16948" spans="1:1" s="427" customFormat="1" ht="12" hidden="1" customHeight="1">
      <c r="A16948" s="426"/>
    </row>
    <row r="16949" spans="1:1" s="427" customFormat="1" ht="12" hidden="1" customHeight="1">
      <c r="A16949" s="426"/>
    </row>
    <row r="16950" spans="1:1" s="427" customFormat="1" ht="12" hidden="1" customHeight="1">
      <c r="A16950" s="426"/>
    </row>
    <row r="16951" spans="1:1" s="427" customFormat="1" ht="12" hidden="1" customHeight="1">
      <c r="A16951" s="426"/>
    </row>
    <row r="16952" spans="1:1" s="427" customFormat="1" ht="12" hidden="1" customHeight="1">
      <c r="A16952" s="426"/>
    </row>
    <row r="16953" spans="1:1" s="427" customFormat="1" ht="12" hidden="1" customHeight="1">
      <c r="A16953" s="426"/>
    </row>
    <row r="16954" spans="1:1" s="427" customFormat="1" ht="12" hidden="1" customHeight="1">
      <c r="A16954" s="426"/>
    </row>
    <row r="16955" spans="1:1" s="427" customFormat="1" ht="12" hidden="1" customHeight="1">
      <c r="A16955" s="426"/>
    </row>
    <row r="16956" spans="1:1" s="427" customFormat="1" ht="12" hidden="1" customHeight="1">
      <c r="A16956" s="426"/>
    </row>
    <row r="16957" spans="1:1" s="427" customFormat="1" ht="12" hidden="1" customHeight="1">
      <c r="A16957" s="426"/>
    </row>
    <row r="16958" spans="1:1" s="427" customFormat="1" ht="12" hidden="1" customHeight="1">
      <c r="A16958" s="426"/>
    </row>
    <row r="16959" spans="1:1" s="427" customFormat="1" ht="12" hidden="1" customHeight="1">
      <c r="A16959" s="426"/>
    </row>
    <row r="16960" spans="1:1" s="427" customFormat="1" ht="12" hidden="1" customHeight="1">
      <c r="A16960" s="426"/>
    </row>
    <row r="16961" spans="1:1" s="427" customFormat="1" ht="12" hidden="1" customHeight="1">
      <c r="A16961" s="426"/>
    </row>
    <row r="16962" spans="1:1" s="427" customFormat="1" ht="12" hidden="1" customHeight="1">
      <c r="A16962" s="426"/>
    </row>
    <row r="16963" spans="1:1" s="427" customFormat="1" ht="12" hidden="1" customHeight="1">
      <c r="A16963" s="426"/>
    </row>
    <row r="16964" spans="1:1" s="427" customFormat="1" ht="12" hidden="1" customHeight="1">
      <c r="A16964" s="426"/>
    </row>
    <row r="16965" spans="1:1" s="427" customFormat="1" ht="12" hidden="1" customHeight="1">
      <c r="A16965" s="426"/>
    </row>
    <row r="16966" spans="1:1" s="427" customFormat="1" ht="12" hidden="1" customHeight="1">
      <c r="A16966" s="426"/>
    </row>
    <row r="16967" spans="1:1" s="427" customFormat="1" ht="12" hidden="1" customHeight="1">
      <c r="A16967" s="426"/>
    </row>
    <row r="16968" spans="1:1" s="427" customFormat="1" ht="12" hidden="1" customHeight="1">
      <c r="A16968" s="426"/>
    </row>
    <row r="16969" spans="1:1" s="427" customFormat="1" ht="12" hidden="1" customHeight="1">
      <c r="A16969" s="426"/>
    </row>
    <row r="16970" spans="1:1" s="427" customFormat="1" ht="12" hidden="1" customHeight="1">
      <c r="A16970" s="426"/>
    </row>
    <row r="16971" spans="1:1" s="427" customFormat="1" ht="12" hidden="1" customHeight="1">
      <c r="A16971" s="426"/>
    </row>
    <row r="16972" spans="1:1" s="427" customFormat="1" ht="12" hidden="1" customHeight="1">
      <c r="A16972" s="426"/>
    </row>
    <row r="16973" spans="1:1" s="427" customFormat="1" ht="12" hidden="1" customHeight="1">
      <c r="A16973" s="426"/>
    </row>
    <row r="16974" spans="1:1" s="427" customFormat="1" ht="12" hidden="1" customHeight="1">
      <c r="A16974" s="426"/>
    </row>
    <row r="16975" spans="1:1" s="427" customFormat="1" ht="12" hidden="1" customHeight="1">
      <c r="A16975" s="426"/>
    </row>
    <row r="16976" spans="1:1" s="427" customFormat="1" ht="12" hidden="1" customHeight="1">
      <c r="A16976" s="426"/>
    </row>
    <row r="16977" spans="1:1" s="427" customFormat="1" ht="12" hidden="1" customHeight="1">
      <c r="A16977" s="426"/>
    </row>
    <row r="16978" spans="1:1" s="427" customFormat="1" ht="12" hidden="1" customHeight="1">
      <c r="A16978" s="426"/>
    </row>
    <row r="16979" spans="1:1" s="427" customFormat="1" ht="12" hidden="1" customHeight="1">
      <c r="A16979" s="426"/>
    </row>
    <row r="16980" spans="1:1" s="427" customFormat="1" ht="12" hidden="1" customHeight="1">
      <c r="A16980" s="426"/>
    </row>
    <row r="16981" spans="1:1" s="427" customFormat="1" ht="12" hidden="1" customHeight="1">
      <c r="A16981" s="426"/>
    </row>
    <row r="16982" spans="1:1" s="427" customFormat="1" ht="12" hidden="1" customHeight="1">
      <c r="A16982" s="426"/>
    </row>
    <row r="16983" spans="1:1" s="427" customFormat="1" ht="12" hidden="1" customHeight="1">
      <c r="A16983" s="426"/>
    </row>
    <row r="16984" spans="1:1" s="427" customFormat="1" ht="12" hidden="1" customHeight="1">
      <c r="A16984" s="426"/>
    </row>
    <row r="16985" spans="1:1" s="427" customFormat="1" ht="12" hidden="1" customHeight="1">
      <c r="A16985" s="426"/>
    </row>
    <row r="16986" spans="1:1" s="427" customFormat="1" ht="12" hidden="1" customHeight="1">
      <c r="A16986" s="426"/>
    </row>
    <row r="16987" spans="1:1" s="427" customFormat="1" ht="12" hidden="1" customHeight="1">
      <c r="A16987" s="426"/>
    </row>
    <row r="16988" spans="1:1" s="427" customFormat="1" ht="12" hidden="1" customHeight="1">
      <c r="A16988" s="426"/>
    </row>
    <row r="16989" spans="1:1" s="427" customFormat="1" ht="12" hidden="1" customHeight="1">
      <c r="A16989" s="426"/>
    </row>
    <row r="16990" spans="1:1" s="427" customFormat="1" ht="12" hidden="1" customHeight="1">
      <c r="A16990" s="426"/>
    </row>
    <row r="16991" spans="1:1" s="427" customFormat="1" ht="12" hidden="1" customHeight="1">
      <c r="A16991" s="426"/>
    </row>
    <row r="16992" spans="1:1" s="427" customFormat="1" ht="12" hidden="1" customHeight="1">
      <c r="A16992" s="426"/>
    </row>
    <row r="16993" spans="1:1" s="427" customFormat="1" ht="12" hidden="1" customHeight="1">
      <c r="A16993" s="426"/>
    </row>
    <row r="16994" spans="1:1" s="427" customFormat="1" ht="12" hidden="1" customHeight="1">
      <c r="A16994" s="426"/>
    </row>
    <row r="16995" spans="1:1" s="427" customFormat="1" ht="12" hidden="1" customHeight="1">
      <c r="A16995" s="426"/>
    </row>
    <row r="16996" spans="1:1" s="427" customFormat="1" ht="12" hidden="1" customHeight="1">
      <c r="A16996" s="426"/>
    </row>
    <row r="16997" spans="1:1" s="427" customFormat="1" ht="12" hidden="1" customHeight="1">
      <c r="A16997" s="426"/>
    </row>
    <row r="16998" spans="1:1" s="427" customFormat="1" ht="12" hidden="1" customHeight="1">
      <c r="A16998" s="426"/>
    </row>
    <row r="16999" spans="1:1" s="427" customFormat="1" ht="12" hidden="1" customHeight="1">
      <c r="A16999" s="426"/>
    </row>
    <row r="17000" spans="1:1" s="427" customFormat="1" ht="12" hidden="1" customHeight="1">
      <c r="A17000" s="426"/>
    </row>
    <row r="17001" spans="1:1" s="427" customFormat="1" ht="12" hidden="1" customHeight="1">
      <c r="A17001" s="426"/>
    </row>
    <row r="17002" spans="1:1" s="427" customFormat="1" ht="12" hidden="1" customHeight="1">
      <c r="A17002" s="426"/>
    </row>
    <row r="17003" spans="1:1" s="427" customFormat="1" ht="12" hidden="1" customHeight="1">
      <c r="A17003" s="426"/>
    </row>
    <row r="17004" spans="1:1" s="427" customFormat="1" ht="12" hidden="1" customHeight="1">
      <c r="A17004" s="426"/>
    </row>
    <row r="17005" spans="1:1" s="427" customFormat="1" ht="12" hidden="1" customHeight="1">
      <c r="A17005" s="426"/>
    </row>
    <row r="17006" spans="1:1" s="427" customFormat="1" ht="12" hidden="1" customHeight="1">
      <c r="A17006" s="426"/>
    </row>
    <row r="17007" spans="1:1" s="427" customFormat="1" ht="12" hidden="1" customHeight="1">
      <c r="A17007" s="426"/>
    </row>
    <row r="17008" spans="1:1" s="427" customFormat="1" ht="12" hidden="1" customHeight="1">
      <c r="A17008" s="426"/>
    </row>
    <row r="17009" spans="1:1" s="427" customFormat="1" ht="12" hidden="1" customHeight="1">
      <c r="A17009" s="426"/>
    </row>
    <row r="17010" spans="1:1" s="427" customFormat="1" ht="12" hidden="1" customHeight="1">
      <c r="A17010" s="426"/>
    </row>
    <row r="17011" spans="1:1" s="427" customFormat="1" ht="12" hidden="1" customHeight="1">
      <c r="A17011" s="426"/>
    </row>
    <row r="17012" spans="1:1" s="427" customFormat="1" ht="12" hidden="1" customHeight="1">
      <c r="A17012" s="426"/>
    </row>
    <row r="17013" spans="1:1" s="427" customFormat="1" ht="12" hidden="1" customHeight="1">
      <c r="A17013" s="426"/>
    </row>
    <row r="17014" spans="1:1" s="427" customFormat="1" ht="12" hidden="1" customHeight="1">
      <c r="A17014" s="426"/>
    </row>
    <row r="17015" spans="1:1" s="427" customFormat="1" ht="12" hidden="1" customHeight="1">
      <c r="A17015" s="426"/>
    </row>
    <row r="17016" spans="1:1" s="427" customFormat="1" ht="12" hidden="1" customHeight="1">
      <c r="A17016" s="426"/>
    </row>
    <row r="17017" spans="1:1" s="427" customFormat="1" ht="12" hidden="1" customHeight="1">
      <c r="A17017" s="426"/>
    </row>
    <row r="17018" spans="1:1" s="427" customFormat="1" ht="12" hidden="1" customHeight="1">
      <c r="A17018" s="426"/>
    </row>
    <row r="17019" spans="1:1" s="427" customFormat="1" ht="12" hidden="1" customHeight="1">
      <c r="A17019" s="426"/>
    </row>
    <row r="17020" spans="1:1" s="427" customFormat="1" ht="12" hidden="1" customHeight="1">
      <c r="A17020" s="426"/>
    </row>
    <row r="17021" spans="1:1" s="427" customFormat="1" ht="12" hidden="1" customHeight="1">
      <c r="A17021" s="426"/>
    </row>
    <row r="17022" spans="1:1" s="427" customFormat="1" ht="12" hidden="1" customHeight="1">
      <c r="A17022" s="426"/>
    </row>
    <row r="17023" spans="1:1" s="427" customFormat="1" ht="12" hidden="1" customHeight="1">
      <c r="A17023" s="426"/>
    </row>
    <row r="17024" spans="1:1" s="427" customFormat="1" ht="12" hidden="1" customHeight="1">
      <c r="A17024" s="426"/>
    </row>
    <row r="17025" spans="1:1" s="427" customFormat="1" ht="12" hidden="1" customHeight="1">
      <c r="A17025" s="426"/>
    </row>
    <row r="17026" spans="1:1" s="427" customFormat="1" ht="12" hidden="1" customHeight="1">
      <c r="A17026" s="426"/>
    </row>
    <row r="17027" spans="1:1" s="427" customFormat="1" ht="12" hidden="1" customHeight="1">
      <c r="A17027" s="426"/>
    </row>
    <row r="17028" spans="1:1" s="427" customFormat="1" ht="12" hidden="1" customHeight="1">
      <c r="A17028" s="426"/>
    </row>
    <row r="17029" spans="1:1" s="427" customFormat="1" ht="12" hidden="1" customHeight="1">
      <c r="A17029" s="426"/>
    </row>
    <row r="17030" spans="1:1" s="427" customFormat="1" ht="12" hidden="1" customHeight="1">
      <c r="A17030" s="426"/>
    </row>
    <row r="17031" spans="1:1" s="427" customFormat="1" ht="12" hidden="1" customHeight="1">
      <c r="A17031" s="426"/>
    </row>
    <row r="17032" spans="1:1" s="427" customFormat="1" ht="12" hidden="1" customHeight="1">
      <c r="A17032" s="426"/>
    </row>
    <row r="17033" spans="1:1" s="427" customFormat="1" ht="12" hidden="1" customHeight="1">
      <c r="A17033" s="426"/>
    </row>
    <row r="17034" spans="1:1" s="427" customFormat="1" ht="12" hidden="1" customHeight="1">
      <c r="A17034" s="426"/>
    </row>
    <row r="17035" spans="1:1" s="427" customFormat="1" ht="12" hidden="1" customHeight="1">
      <c r="A17035" s="426"/>
    </row>
    <row r="17036" spans="1:1" s="427" customFormat="1" ht="12" hidden="1" customHeight="1">
      <c r="A17036" s="426"/>
    </row>
    <row r="17037" spans="1:1" s="427" customFormat="1" ht="12" hidden="1" customHeight="1">
      <c r="A17037" s="426"/>
    </row>
    <row r="17038" spans="1:1" s="427" customFormat="1" ht="12" hidden="1" customHeight="1">
      <c r="A17038" s="426"/>
    </row>
    <row r="17039" spans="1:1" s="427" customFormat="1" ht="12" hidden="1" customHeight="1">
      <c r="A17039" s="426"/>
    </row>
    <row r="17040" spans="1:1" s="427" customFormat="1" ht="12" hidden="1" customHeight="1">
      <c r="A17040" s="426"/>
    </row>
    <row r="17041" spans="1:1" s="427" customFormat="1" ht="12" hidden="1" customHeight="1">
      <c r="A17041" s="426"/>
    </row>
    <row r="17042" spans="1:1" s="427" customFormat="1" ht="12" hidden="1" customHeight="1">
      <c r="A17042" s="426"/>
    </row>
    <row r="17043" spans="1:1" s="427" customFormat="1" ht="12" hidden="1" customHeight="1">
      <c r="A17043" s="426"/>
    </row>
    <row r="17044" spans="1:1" s="427" customFormat="1" ht="12" hidden="1" customHeight="1">
      <c r="A17044" s="426"/>
    </row>
    <row r="17045" spans="1:1" s="427" customFormat="1" ht="12" hidden="1" customHeight="1">
      <c r="A17045" s="426"/>
    </row>
    <row r="17046" spans="1:1" s="427" customFormat="1" ht="12" hidden="1" customHeight="1">
      <c r="A17046" s="426"/>
    </row>
    <row r="17047" spans="1:1" s="427" customFormat="1" ht="12" hidden="1" customHeight="1">
      <c r="A17047" s="426"/>
    </row>
    <row r="17048" spans="1:1" s="427" customFormat="1" ht="12" hidden="1" customHeight="1">
      <c r="A17048" s="426"/>
    </row>
    <row r="17049" spans="1:1" s="427" customFormat="1" ht="12" hidden="1" customHeight="1">
      <c r="A17049" s="426"/>
    </row>
    <row r="17050" spans="1:1" s="427" customFormat="1" ht="12" hidden="1" customHeight="1">
      <c r="A17050" s="426"/>
    </row>
    <row r="17051" spans="1:1" s="427" customFormat="1" ht="12" hidden="1" customHeight="1">
      <c r="A17051" s="426"/>
    </row>
    <row r="17052" spans="1:1" s="427" customFormat="1" ht="12" hidden="1" customHeight="1">
      <c r="A17052" s="426"/>
    </row>
    <row r="17053" spans="1:1" s="427" customFormat="1" ht="12" hidden="1" customHeight="1">
      <c r="A17053" s="426"/>
    </row>
    <row r="17054" spans="1:1" s="427" customFormat="1" ht="12" hidden="1" customHeight="1">
      <c r="A17054" s="426"/>
    </row>
    <row r="17055" spans="1:1" s="427" customFormat="1" ht="12" hidden="1" customHeight="1">
      <c r="A17055" s="426"/>
    </row>
    <row r="17056" spans="1:1" s="427" customFormat="1" ht="12" hidden="1" customHeight="1">
      <c r="A17056" s="426"/>
    </row>
    <row r="17057" spans="1:1" s="427" customFormat="1" ht="12" hidden="1" customHeight="1">
      <c r="A17057" s="426"/>
    </row>
    <row r="17058" spans="1:1" s="427" customFormat="1" ht="12" hidden="1" customHeight="1">
      <c r="A17058" s="426"/>
    </row>
    <row r="17059" spans="1:1" s="427" customFormat="1" ht="12" hidden="1" customHeight="1">
      <c r="A17059" s="426"/>
    </row>
    <row r="17060" spans="1:1" s="427" customFormat="1" ht="12" hidden="1" customHeight="1">
      <c r="A17060" s="426"/>
    </row>
    <row r="17061" spans="1:1" s="427" customFormat="1" ht="12" hidden="1" customHeight="1">
      <c r="A17061" s="426"/>
    </row>
    <row r="17062" spans="1:1" s="427" customFormat="1" ht="12" hidden="1" customHeight="1">
      <c r="A17062" s="426"/>
    </row>
    <row r="17063" spans="1:1" s="427" customFormat="1" ht="12" hidden="1" customHeight="1">
      <c r="A17063" s="426"/>
    </row>
    <row r="17064" spans="1:1" s="427" customFormat="1" ht="12" hidden="1" customHeight="1">
      <c r="A17064" s="426"/>
    </row>
    <row r="17065" spans="1:1" s="427" customFormat="1" ht="12" hidden="1" customHeight="1">
      <c r="A17065" s="426"/>
    </row>
    <row r="17066" spans="1:1" s="427" customFormat="1" ht="12" hidden="1" customHeight="1">
      <c r="A17066" s="426"/>
    </row>
    <row r="17067" spans="1:1" s="427" customFormat="1" ht="12" hidden="1" customHeight="1">
      <c r="A17067" s="426"/>
    </row>
    <row r="17068" spans="1:1" s="427" customFormat="1" ht="12" hidden="1" customHeight="1">
      <c r="A17068" s="426"/>
    </row>
    <row r="17069" spans="1:1" s="427" customFormat="1" ht="12" hidden="1" customHeight="1">
      <c r="A17069" s="426"/>
    </row>
    <row r="17070" spans="1:1" s="427" customFormat="1" ht="12" hidden="1" customHeight="1">
      <c r="A17070" s="426"/>
    </row>
    <row r="17071" spans="1:1" s="427" customFormat="1" ht="12" hidden="1" customHeight="1">
      <c r="A17071" s="426"/>
    </row>
    <row r="17072" spans="1:1" s="427" customFormat="1" ht="12" hidden="1" customHeight="1">
      <c r="A17072" s="426"/>
    </row>
    <row r="17073" spans="1:1" s="427" customFormat="1" ht="12" hidden="1" customHeight="1">
      <c r="A17073" s="426"/>
    </row>
    <row r="17074" spans="1:1" s="427" customFormat="1" ht="12" hidden="1" customHeight="1">
      <c r="A17074" s="426"/>
    </row>
    <row r="17075" spans="1:1" s="427" customFormat="1" ht="12" hidden="1" customHeight="1">
      <c r="A17075" s="426"/>
    </row>
    <row r="17076" spans="1:1" s="427" customFormat="1" ht="12" hidden="1" customHeight="1">
      <c r="A17076" s="426"/>
    </row>
    <row r="17077" spans="1:1" s="427" customFormat="1" ht="12" hidden="1" customHeight="1">
      <c r="A17077" s="426"/>
    </row>
    <row r="17078" spans="1:1" s="427" customFormat="1" ht="12" hidden="1" customHeight="1">
      <c r="A17078" s="426"/>
    </row>
    <row r="17079" spans="1:1" s="427" customFormat="1" ht="12" hidden="1" customHeight="1">
      <c r="A17079" s="426"/>
    </row>
    <row r="17080" spans="1:1" s="427" customFormat="1" ht="12" hidden="1" customHeight="1">
      <c r="A17080" s="426"/>
    </row>
    <row r="17081" spans="1:1" s="427" customFormat="1" ht="12" hidden="1" customHeight="1">
      <c r="A17081" s="426"/>
    </row>
    <row r="17082" spans="1:1" s="427" customFormat="1" ht="12" hidden="1" customHeight="1">
      <c r="A17082" s="426"/>
    </row>
    <row r="17083" spans="1:1" s="427" customFormat="1" ht="12" hidden="1" customHeight="1">
      <c r="A17083" s="426"/>
    </row>
    <row r="17084" spans="1:1" s="427" customFormat="1" ht="12" hidden="1" customHeight="1">
      <c r="A17084" s="426"/>
    </row>
    <row r="17085" spans="1:1" s="427" customFormat="1" ht="12" hidden="1" customHeight="1">
      <c r="A17085" s="426"/>
    </row>
    <row r="17086" spans="1:1" s="427" customFormat="1" ht="12" hidden="1" customHeight="1">
      <c r="A17086" s="426"/>
    </row>
    <row r="17087" spans="1:1" s="427" customFormat="1" ht="12" hidden="1" customHeight="1">
      <c r="A17087" s="426"/>
    </row>
    <row r="17088" spans="1:1" s="427" customFormat="1" ht="12" hidden="1" customHeight="1">
      <c r="A17088" s="426"/>
    </row>
    <row r="17089" spans="1:1" s="427" customFormat="1" ht="12" hidden="1" customHeight="1">
      <c r="A17089" s="426"/>
    </row>
    <row r="17090" spans="1:1" s="427" customFormat="1" ht="12" hidden="1" customHeight="1">
      <c r="A17090" s="426"/>
    </row>
    <row r="17091" spans="1:1" s="427" customFormat="1" ht="12" hidden="1" customHeight="1">
      <c r="A17091" s="426"/>
    </row>
    <row r="17092" spans="1:1" s="427" customFormat="1" ht="12" hidden="1" customHeight="1">
      <c r="A17092" s="426"/>
    </row>
    <row r="17093" spans="1:1" s="427" customFormat="1" ht="12" hidden="1" customHeight="1">
      <c r="A17093" s="426"/>
    </row>
    <row r="17094" spans="1:1" s="427" customFormat="1" ht="12" hidden="1" customHeight="1">
      <c r="A17094" s="426"/>
    </row>
    <row r="17095" spans="1:1" s="427" customFormat="1" ht="12" hidden="1" customHeight="1">
      <c r="A17095" s="426"/>
    </row>
    <row r="17096" spans="1:1" s="427" customFormat="1" ht="12" hidden="1" customHeight="1">
      <c r="A17096" s="426"/>
    </row>
    <row r="17097" spans="1:1" s="427" customFormat="1" ht="12" hidden="1" customHeight="1">
      <c r="A17097" s="426"/>
    </row>
    <row r="17098" spans="1:1" s="427" customFormat="1" ht="12" hidden="1" customHeight="1">
      <c r="A17098" s="426"/>
    </row>
    <row r="17099" spans="1:1" s="427" customFormat="1" ht="12" hidden="1" customHeight="1">
      <c r="A17099" s="426"/>
    </row>
    <row r="17100" spans="1:1" s="427" customFormat="1" ht="12" hidden="1" customHeight="1">
      <c r="A17100" s="426"/>
    </row>
    <row r="17101" spans="1:1" s="427" customFormat="1" ht="12" hidden="1" customHeight="1">
      <c r="A17101" s="426"/>
    </row>
    <row r="17102" spans="1:1" s="427" customFormat="1" ht="12" hidden="1" customHeight="1">
      <c r="A17102" s="426"/>
    </row>
    <row r="17103" spans="1:1" s="427" customFormat="1" ht="12" hidden="1" customHeight="1">
      <c r="A17103" s="426"/>
    </row>
    <row r="17104" spans="1:1" s="427" customFormat="1" ht="12" hidden="1" customHeight="1">
      <c r="A17104" s="426"/>
    </row>
    <row r="17105" spans="1:1" s="427" customFormat="1" ht="12" hidden="1" customHeight="1">
      <c r="A17105" s="426"/>
    </row>
    <row r="17106" spans="1:1" s="427" customFormat="1" ht="12" hidden="1" customHeight="1">
      <c r="A17106" s="426"/>
    </row>
    <row r="17107" spans="1:1" s="427" customFormat="1" ht="12" hidden="1" customHeight="1">
      <c r="A17107" s="426"/>
    </row>
    <row r="17108" spans="1:1" s="427" customFormat="1" ht="12" hidden="1" customHeight="1">
      <c r="A17108" s="426"/>
    </row>
    <row r="17109" spans="1:1" s="427" customFormat="1" ht="12" hidden="1" customHeight="1">
      <c r="A17109" s="426"/>
    </row>
    <row r="17110" spans="1:1" s="427" customFormat="1" ht="12" hidden="1" customHeight="1">
      <c r="A17110" s="426"/>
    </row>
    <row r="17111" spans="1:1" s="427" customFormat="1" ht="12" hidden="1" customHeight="1">
      <c r="A17111" s="426"/>
    </row>
    <row r="17112" spans="1:1" s="427" customFormat="1" ht="12" hidden="1" customHeight="1">
      <c r="A17112" s="426"/>
    </row>
    <row r="17113" spans="1:1" s="427" customFormat="1" ht="12" hidden="1" customHeight="1">
      <c r="A17113" s="426"/>
    </row>
    <row r="17114" spans="1:1" s="427" customFormat="1" ht="12" hidden="1" customHeight="1">
      <c r="A17114" s="426"/>
    </row>
    <row r="17115" spans="1:1" s="427" customFormat="1" ht="12" hidden="1" customHeight="1">
      <c r="A17115" s="426"/>
    </row>
    <row r="17116" spans="1:1" s="427" customFormat="1" ht="12" hidden="1" customHeight="1">
      <c r="A17116" s="426"/>
    </row>
    <row r="17117" spans="1:1" s="427" customFormat="1" ht="12" hidden="1" customHeight="1">
      <c r="A17117" s="426"/>
    </row>
    <row r="17118" spans="1:1" s="427" customFormat="1" ht="12" hidden="1" customHeight="1">
      <c r="A17118" s="426"/>
    </row>
    <row r="17119" spans="1:1" s="427" customFormat="1" ht="12" hidden="1" customHeight="1">
      <c r="A17119" s="426"/>
    </row>
    <row r="17120" spans="1:1" s="427" customFormat="1" ht="12" hidden="1" customHeight="1">
      <c r="A17120" s="426"/>
    </row>
    <row r="17121" spans="1:1" s="427" customFormat="1" ht="12" hidden="1" customHeight="1">
      <c r="A17121" s="426"/>
    </row>
    <row r="17122" spans="1:1" s="427" customFormat="1" ht="12" hidden="1" customHeight="1">
      <c r="A17122" s="426"/>
    </row>
    <row r="17123" spans="1:1" s="427" customFormat="1" ht="12" hidden="1" customHeight="1">
      <c r="A17123" s="426"/>
    </row>
    <row r="17124" spans="1:1" s="427" customFormat="1" ht="12" hidden="1" customHeight="1">
      <c r="A17124" s="426"/>
    </row>
    <row r="17125" spans="1:1" s="427" customFormat="1" ht="12" hidden="1" customHeight="1">
      <c r="A17125" s="426"/>
    </row>
    <row r="17126" spans="1:1" s="427" customFormat="1" ht="12" hidden="1" customHeight="1">
      <c r="A17126" s="426"/>
    </row>
    <row r="17127" spans="1:1" s="427" customFormat="1" ht="12" hidden="1" customHeight="1">
      <c r="A17127" s="426"/>
    </row>
    <row r="17128" spans="1:1" s="427" customFormat="1" ht="12" hidden="1" customHeight="1">
      <c r="A17128" s="426"/>
    </row>
    <row r="17129" spans="1:1" s="427" customFormat="1" ht="12" hidden="1" customHeight="1">
      <c r="A17129" s="426"/>
    </row>
    <row r="17130" spans="1:1" s="427" customFormat="1" ht="12" hidden="1" customHeight="1">
      <c r="A17130" s="426"/>
    </row>
    <row r="17131" spans="1:1" s="427" customFormat="1" ht="12" hidden="1" customHeight="1">
      <c r="A17131" s="426"/>
    </row>
    <row r="17132" spans="1:1" s="427" customFormat="1" ht="12" hidden="1" customHeight="1">
      <c r="A17132" s="426"/>
    </row>
    <row r="17133" spans="1:1" s="427" customFormat="1" ht="12" hidden="1" customHeight="1">
      <c r="A17133" s="426"/>
    </row>
    <row r="17134" spans="1:1" s="427" customFormat="1" ht="12" hidden="1" customHeight="1">
      <c r="A17134" s="426"/>
    </row>
    <row r="17135" spans="1:1" s="427" customFormat="1" ht="12" hidden="1" customHeight="1">
      <c r="A17135" s="426"/>
    </row>
    <row r="17136" spans="1:1" s="427" customFormat="1" ht="12" hidden="1" customHeight="1">
      <c r="A17136" s="426"/>
    </row>
    <row r="17137" spans="1:1" s="427" customFormat="1" ht="12" hidden="1" customHeight="1">
      <c r="A17137" s="426"/>
    </row>
    <row r="17138" spans="1:1" s="427" customFormat="1" ht="12" hidden="1" customHeight="1">
      <c r="A17138" s="426"/>
    </row>
    <row r="17139" spans="1:1" s="427" customFormat="1" ht="12" hidden="1" customHeight="1">
      <c r="A17139" s="426"/>
    </row>
    <row r="17140" spans="1:1" s="427" customFormat="1" ht="12" hidden="1" customHeight="1">
      <c r="A17140" s="426"/>
    </row>
    <row r="17141" spans="1:1" s="427" customFormat="1" ht="12" hidden="1" customHeight="1">
      <c r="A17141" s="426"/>
    </row>
    <row r="17142" spans="1:1" s="427" customFormat="1" ht="12" hidden="1" customHeight="1">
      <c r="A17142" s="426"/>
    </row>
    <row r="17143" spans="1:1" s="427" customFormat="1" ht="12" hidden="1" customHeight="1">
      <c r="A17143" s="426"/>
    </row>
    <row r="17144" spans="1:1" s="427" customFormat="1" ht="12" hidden="1" customHeight="1">
      <c r="A17144" s="426"/>
    </row>
    <row r="17145" spans="1:1" s="427" customFormat="1" ht="12" hidden="1" customHeight="1">
      <c r="A17145" s="426"/>
    </row>
    <row r="17146" spans="1:1" s="427" customFormat="1" ht="12" hidden="1" customHeight="1">
      <c r="A17146" s="426"/>
    </row>
    <row r="17147" spans="1:1" s="427" customFormat="1" ht="12" hidden="1" customHeight="1">
      <c r="A17147" s="426"/>
    </row>
    <row r="17148" spans="1:1" s="427" customFormat="1" ht="12" hidden="1" customHeight="1">
      <c r="A17148" s="426"/>
    </row>
    <row r="17149" spans="1:1" s="427" customFormat="1" ht="12" hidden="1" customHeight="1">
      <c r="A17149" s="426"/>
    </row>
    <row r="17150" spans="1:1" s="427" customFormat="1" ht="12" hidden="1" customHeight="1">
      <c r="A17150" s="426"/>
    </row>
    <row r="17151" spans="1:1" s="427" customFormat="1" ht="12" hidden="1" customHeight="1">
      <c r="A17151" s="426"/>
    </row>
    <row r="17152" spans="1:1" s="427" customFormat="1" ht="12" hidden="1" customHeight="1">
      <c r="A17152" s="426"/>
    </row>
    <row r="17153" spans="1:1" s="427" customFormat="1" ht="12" hidden="1" customHeight="1">
      <c r="A17153" s="426"/>
    </row>
    <row r="17154" spans="1:1" s="427" customFormat="1" ht="12" hidden="1" customHeight="1">
      <c r="A17154" s="426"/>
    </row>
    <row r="17155" spans="1:1" s="427" customFormat="1" ht="12" hidden="1" customHeight="1">
      <c r="A17155" s="426"/>
    </row>
    <row r="17156" spans="1:1" s="427" customFormat="1" ht="12" hidden="1" customHeight="1">
      <c r="A17156" s="426"/>
    </row>
    <row r="17157" spans="1:1" s="427" customFormat="1" ht="12" hidden="1" customHeight="1">
      <c r="A17157" s="426"/>
    </row>
    <row r="17158" spans="1:1" s="427" customFormat="1" ht="12" hidden="1" customHeight="1">
      <c r="A17158" s="426"/>
    </row>
    <row r="17159" spans="1:1" s="427" customFormat="1" ht="12" hidden="1" customHeight="1">
      <c r="A17159" s="426"/>
    </row>
    <row r="17160" spans="1:1" s="427" customFormat="1" ht="12" hidden="1" customHeight="1">
      <c r="A17160" s="426"/>
    </row>
    <row r="17161" spans="1:1" s="427" customFormat="1" ht="12" hidden="1" customHeight="1">
      <c r="A17161" s="426"/>
    </row>
    <row r="17162" spans="1:1" s="427" customFormat="1" ht="12" hidden="1" customHeight="1">
      <c r="A17162" s="426"/>
    </row>
    <row r="17163" spans="1:1" s="427" customFormat="1" ht="12" hidden="1" customHeight="1">
      <c r="A17163" s="426"/>
    </row>
    <row r="17164" spans="1:1" s="427" customFormat="1" ht="12" hidden="1" customHeight="1">
      <c r="A17164" s="426"/>
    </row>
    <row r="17165" spans="1:1" s="427" customFormat="1" ht="12" hidden="1" customHeight="1">
      <c r="A17165" s="426"/>
    </row>
    <row r="17166" spans="1:1" s="427" customFormat="1" ht="12" hidden="1" customHeight="1">
      <c r="A17166" s="426"/>
    </row>
    <row r="17167" spans="1:1" s="427" customFormat="1" ht="12" hidden="1" customHeight="1">
      <c r="A17167" s="426"/>
    </row>
    <row r="17168" spans="1:1" s="427" customFormat="1" ht="12" hidden="1" customHeight="1">
      <c r="A17168" s="426"/>
    </row>
    <row r="17169" spans="1:1" s="427" customFormat="1" ht="12" hidden="1" customHeight="1">
      <c r="A17169" s="426"/>
    </row>
    <row r="17170" spans="1:1" s="427" customFormat="1" ht="12" hidden="1" customHeight="1">
      <c r="A17170" s="426"/>
    </row>
    <row r="17171" spans="1:1" s="427" customFormat="1" ht="12" hidden="1" customHeight="1">
      <c r="A17171" s="426"/>
    </row>
    <row r="17172" spans="1:1" s="427" customFormat="1" ht="12" hidden="1" customHeight="1">
      <c r="A17172" s="426"/>
    </row>
    <row r="17173" spans="1:1" s="427" customFormat="1" ht="12" hidden="1" customHeight="1">
      <c r="A17173" s="426"/>
    </row>
    <row r="17174" spans="1:1" s="427" customFormat="1" ht="12" hidden="1" customHeight="1">
      <c r="A17174" s="426"/>
    </row>
    <row r="17175" spans="1:1" s="427" customFormat="1" ht="12" hidden="1" customHeight="1">
      <c r="A17175" s="426"/>
    </row>
    <row r="17176" spans="1:1" s="427" customFormat="1" ht="12" hidden="1" customHeight="1">
      <c r="A17176" s="426"/>
    </row>
    <row r="17177" spans="1:1" s="427" customFormat="1" ht="12" hidden="1" customHeight="1">
      <c r="A17177" s="426"/>
    </row>
    <row r="17178" spans="1:1" s="427" customFormat="1" ht="12" hidden="1" customHeight="1">
      <c r="A17178" s="426"/>
    </row>
    <row r="17179" spans="1:1" s="427" customFormat="1" ht="12" hidden="1" customHeight="1">
      <c r="A17179" s="426"/>
    </row>
    <row r="17180" spans="1:1" s="427" customFormat="1" ht="12" hidden="1" customHeight="1">
      <c r="A17180" s="426"/>
    </row>
    <row r="17181" spans="1:1" s="427" customFormat="1" ht="12" hidden="1" customHeight="1">
      <c r="A17181" s="426"/>
    </row>
    <row r="17182" spans="1:1" s="427" customFormat="1" ht="12" hidden="1" customHeight="1">
      <c r="A17182" s="426"/>
    </row>
    <row r="17183" spans="1:1" s="427" customFormat="1" ht="12" hidden="1" customHeight="1">
      <c r="A17183" s="426"/>
    </row>
    <row r="17184" spans="1:1" s="427" customFormat="1" ht="12" hidden="1" customHeight="1">
      <c r="A17184" s="426"/>
    </row>
    <row r="17185" spans="1:1" s="427" customFormat="1" ht="12" hidden="1" customHeight="1">
      <c r="A17185" s="426"/>
    </row>
    <row r="17186" spans="1:1" s="427" customFormat="1" ht="12" hidden="1" customHeight="1">
      <c r="A17186" s="426"/>
    </row>
    <row r="17187" spans="1:1" s="427" customFormat="1" ht="12" hidden="1" customHeight="1">
      <c r="A17187" s="426"/>
    </row>
    <row r="17188" spans="1:1" s="427" customFormat="1" ht="12" hidden="1" customHeight="1">
      <c r="A17188" s="426"/>
    </row>
    <row r="17189" spans="1:1" s="427" customFormat="1" ht="12" hidden="1" customHeight="1">
      <c r="A17189" s="426"/>
    </row>
    <row r="17190" spans="1:1" s="427" customFormat="1" ht="12" hidden="1" customHeight="1">
      <c r="A17190" s="426"/>
    </row>
    <row r="17191" spans="1:1" s="427" customFormat="1" ht="12" hidden="1" customHeight="1">
      <c r="A17191" s="426"/>
    </row>
    <row r="17192" spans="1:1" s="427" customFormat="1" ht="12" hidden="1" customHeight="1">
      <c r="A17192" s="426"/>
    </row>
    <row r="17193" spans="1:1" s="427" customFormat="1" ht="12" hidden="1" customHeight="1">
      <c r="A17193" s="426"/>
    </row>
    <row r="17194" spans="1:1" s="427" customFormat="1" ht="12" hidden="1" customHeight="1">
      <c r="A17194" s="426"/>
    </row>
    <row r="17195" spans="1:1" s="427" customFormat="1" ht="12" hidden="1" customHeight="1">
      <c r="A17195" s="426"/>
    </row>
    <row r="17196" spans="1:1" s="427" customFormat="1" ht="12" hidden="1" customHeight="1">
      <c r="A17196" s="426"/>
    </row>
    <row r="17197" spans="1:1" s="427" customFormat="1" ht="12" hidden="1" customHeight="1">
      <c r="A17197" s="426"/>
    </row>
    <row r="17198" spans="1:1" s="427" customFormat="1" ht="12" hidden="1" customHeight="1">
      <c r="A17198" s="426"/>
    </row>
    <row r="17199" spans="1:1" s="427" customFormat="1" ht="12" hidden="1" customHeight="1">
      <c r="A17199" s="426"/>
    </row>
    <row r="17200" spans="1:1" s="427" customFormat="1" ht="12" hidden="1" customHeight="1">
      <c r="A17200" s="426"/>
    </row>
    <row r="17201" spans="1:1" s="427" customFormat="1" ht="12" hidden="1" customHeight="1">
      <c r="A17201" s="426"/>
    </row>
    <row r="17202" spans="1:1" s="427" customFormat="1" ht="12" hidden="1" customHeight="1">
      <c r="A17202" s="426"/>
    </row>
    <row r="17203" spans="1:1" s="427" customFormat="1" ht="12" hidden="1" customHeight="1">
      <c r="A17203" s="426"/>
    </row>
    <row r="17204" spans="1:1" s="427" customFormat="1" ht="12" hidden="1" customHeight="1">
      <c r="A17204" s="426"/>
    </row>
    <row r="17205" spans="1:1" s="427" customFormat="1" ht="12" hidden="1" customHeight="1">
      <c r="A17205" s="426"/>
    </row>
    <row r="17206" spans="1:1" s="427" customFormat="1" ht="12" hidden="1" customHeight="1">
      <c r="A17206" s="426"/>
    </row>
    <row r="17207" spans="1:1" s="427" customFormat="1" ht="12" hidden="1" customHeight="1">
      <c r="A17207" s="426"/>
    </row>
    <row r="17208" spans="1:1" s="427" customFormat="1" ht="12" hidden="1" customHeight="1">
      <c r="A17208" s="426"/>
    </row>
    <row r="17209" spans="1:1" s="427" customFormat="1" ht="12" hidden="1" customHeight="1">
      <c r="A17209" s="426"/>
    </row>
    <row r="17210" spans="1:1" s="427" customFormat="1" ht="12" hidden="1" customHeight="1">
      <c r="A17210" s="426"/>
    </row>
    <row r="17211" spans="1:1" s="427" customFormat="1" ht="12" hidden="1" customHeight="1">
      <c r="A17211" s="426"/>
    </row>
    <row r="17212" spans="1:1" s="427" customFormat="1" ht="12" hidden="1" customHeight="1">
      <c r="A17212" s="426"/>
    </row>
    <row r="17213" spans="1:1" s="427" customFormat="1" ht="12" hidden="1" customHeight="1">
      <c r="A17213" s="426"/>
    </row>
    <row r="17214" spans="1:1" s="427" customFormat="1" ht="12" hidden="1" customHeight="1">
      <c r="A17214" s="426"/>
    </row>
    <row r="17215" spans="1:1" s="427" customFormat="1" ht="12" hidden="1" customHeight="1">
      <c r="A17215" s="426"/>
    </row>
    <row r="17216" spans="1:1" s="427" customFormat="1" ht="12" hidden="1" customHeight="1">
      <c r="A17216" s="426"/>
    </row>
    <row r="17217" spans="1:1" s="427" customFormat="1" ht="12" hidden="1" customHeight="1">
      <c r="A17217" s="426"/>
    </row>
    <row r="17218" spans="1:1" s="427" customFormat="1" ht="12" hidden="1" customHeight="1">
      <c r="A17218" s="426"/>
    </row>
    <row r="17219" spans="1:1" s="427" customFormat="1" ht="12" hidden="1" customHeight="1">
      <c r="A17219" s="426"/>
    </row>
    <row r="17220" spans="1:1" s="427" customFormat="1" ht="12" hidden="1" customHeight="1">
      <c r="A17220" s="426"/>
    </row>
    <row r="17221" spans="1:1" s="427" customFormat="1" ht="12" hidden="1" customHeight="1">
      <c r="A17221" s="426"/>
    </row>
    <row r="17222" spans="1:1" s="427" customFormat="1" ht="12" hidden="1" customHeight="1">
      <c r="A17222" s="426"/>
    </row>
    <row r="17223" spans="1:1" s="427" customFormat="1" ht="12" hidden="1" customHeight="1">
      <c r="A17223" s="426"/>
    </row>
    <row r="17224" spans="1:1" s="427" customFormat="1" ht="12" hidden="1" customHeight="1">
      <c r="A17224" s="426"/>
    </row>
    <row r="17225" spans="1:1" s="427" customFormat="1" ht="12" hidden="1" customHeight="1">
      <c r="A17225" s="426"/>
    </row>
    <row r="17226" spans="1:1" s="427" customFormat="1" ht="12" hidden="1" customHeight="1">
      <c r="A17226" s="426"/>
    </row>
    <row r="17227" spans="1:1" s="427" customFormat="1" ht="12" hidden="1" customHeight="1">
      <c r="A17227" s="426"/>
    </row>
    <row r="17228" spans="1:1" s="427" customFormat="1" ht="12" hidden="1" customHeight="1">
      <c r="A17228" s="426"/>
    </row>
    <row r="17229" spans="1:1" s="427" customFormat="1" ht="12" hidden="1" customHeight="1">
      <c r="A17229" s="426"/>
    </row>
    <row r="17230" spans="1:1" s="427" customFormat="1" ht="12" hidden="1" customHeight="1">
      <c r="A17230" s="426"/>
    </row>
    <row r="17231" spans="1:1" s="427" customFormat="1" ht="12" hidden="1" customHeight="1">
      <c r="A17231" s="426"/>
    </row>
    <row r="17232" spans="1:1" s="427" customFormat="1" ht="12" hidden="1" customHeight="1">
      <c r="A17232" s="426"/>
    </row>
    <row r="17233" spans="1:1" s="427" customFormat="1" ht="12" hidden="1" customHeight="1">
      <c r="A17233" s="426"/>
    </row>
    <row r="17234" spans="1:1" s="427" customFormat="1" ht="12" hidden="1" customHeight="1">
      <c r="A17234" s="426"/>
    </row>
    <row r="17235" spans="1:1" s="427" customFormat="1" ht="12" hidden="1" customHeight="1">
      <c r="A17235" s="426"/>
    </row>
    <row r="17236" spans="1:1" s="427" customFormat="1" ht="12" hidden="1" customHeight="1">
      <c r="A17236" s="426"/>
    </row>
    <row r="17237" spans="1:1" s="427" customFormat="1" ht="12" hidden="1" customHeight="1">
      <c r="A17237" s="426"/>
    </row>
    <row r="17238" spans="1:1" s="427" customFormat="1" ht="12" hidden="1" customHeight="1">
      <c r="A17238" s="426"/>
    </row>
    <row r="17239" spans="1:1" s="427" customFormat="1" ht="12" hidden="1" customHeight="1">
      <c r="A17239" s="426"/>
    </row>
    <row r="17240" spans="1:1" s="427" customFormat="1" ht="12" hidden="1" customHeight="1">
      <c r="A17240" s="426"/>
    </row>
    <row r="17241" spans="1:1" s="427" customFormat="1" ht="12" hidden="1" customHeight="1">
      <c r="A17241" s="426"/>
    </row>
    <row r="17242" spans="1:1" s="427" customFormat="1" ht="12" hidden="1" customHeight="1">
      <c r="A17242" s="426"/>
    </row>
    <row r="17243" spans="1:1" s="427" customFormat="1" ht="12" hidden="1" customHeight="1">
      <c r="A17243" s="426"/>
    </row>
    <row r="17244" spans="1:1" s="427" customFormat="1" ht="12" hidden="1" customHeight="1">
      <c r="A17244" s="426"/>
    </row>
    <row r="17245" spans="1:1" s="427" customFormat="1" ht="12" hidden="1" customHeight="1">
      <c r="A17245" s="426"/>
    </row>
    <row r="17246" spans="1:1" s="427" customFormat="1" ht="12" hidden="1" customHeight="1">
      <c r="A17246" s="426"/>
    </row>
    <row r="17247" spans="1:1" s="427" customFormat="1" ht="12" hidden="1" customHeight="1">
      <c r="A17247" s="426"/>
    </row>
    <row r="17248" spans="1:1" s="427" customFormat="1" ht="12" hidden="1" customHeight="1">
      <c r="A17248" s="426"/>
    </row>
    <row r="17249" spans="1:1" s="427" customFormat="1" ht="12" hidden="1" customHeight="1">
      <c r="A17249" s="426"/>
    </row>
    <row r="17250" spans="1:1" s="427" customFormat="1" ht="12" hidden="1" customHeight="1">
      <c r="A17250" s="426"/>
    </row>
    <row r="17251" spans="1:1" s="427" customFormat="1" ht="12" hidden="1" customHeight="1">
      <c r="A17251" s="426"/>
    </row>
    <row r="17252" spans="1:1" s="427" customFormat="1" ht="12" hidden="1" customHeight="1">
      <c r="A17252" s="426"/>
    </row>
    <row r="17253" spans="1:1" s="427" customFormat="1" ht="12" hidden="1" customHeight="1">
      <c r="A17253" s="426"/>
    </row>
    <row r="17254" spans="1:1" s="427" customFormat="1" ht="12" hidden="1" customHeight="1">
      <c r="A17254" s="426"/>
    </row>
    <row r="17255" spans="1:1" s="427" customFormat="1" ht="12" hidden="1" customHeight="1">
      <c r="A17255" s="426"/>
    </row>
    <row r="17256" spans="1:1" s="427" customFormat="1" ht="12" hidden="1" customHeight="1">
      <c r="A17256" s="426"/>
    </row>
    <row r="17257" spans="1:1" s="427" customFormat="1" ht="12" hidden="1" customHeight="1">
      <c r="A17257" s="426"/>
    </row>
    <row r="17258" spans="1:1" s="427" customFormat="1" ht="12" hidden="1" customHeight="1">
      <c r="A17258" s="426"/>
    </row>
    <row r="17259" spans="1:1" s="427" customFormat="1" ht="12" hidden="1" customHeight="1">
      <c r="A17259" s="426"/>
    </row>
    <row r="17260" spans="1:1" s="427" customFormat="1" ht="12" hidden="1" customHeight="1">
      <c r="A17260" s="426"/>
    </row>
    <row r="17261" spans="1:1" s="427" customFormat="1" ht="12" hidden="1" customHeight="1">
      <c r="A17261" s="426"/>
    </row>
    <row r="17262" spans="1:1" s="427" customFormat="1" ht="12" hidden="1" customHeight="1">
      <c r="A17262" s="426"/>
    </row>
    <row r="17263" spans="1:1" s="427" customFormat="1" ht="12" hidden="1" customHeight="1">
      <c r="A17263" s="426"/>
    </row>
    <row r="17264" spans="1:1" s="427" customFormat="1" ht="12" hidden="1" customHeight="1">
      <c r="A17264" s="426"/>
    </row>
    <row r="17265" spans="1:1" s="427" customFormat="1" ht="12" hidden="1" customHeight="1">
      <c r="A17265" s="426"/>
    </row>
    <row r="17266" spans="1:1" s="427" customFormat="1" ht="12" hidden="1" customHeight="1">
      <c r="A17266" s="426"/>
    </row>
    <row r="17267" spans="1:1" s="427" customFormat="1" ht="12" hidden="1" customHeight="1">
      <c r="A17267" s="426"/>
    </row>
    <row r="17268" spans="1:1" s="427" customFormat="1" ht="12" hidden="1" customHeight="1">
      <c r="A17268" s="426"/>
    </row>
    <row r="17269" spans="1:1" s="427" customFormat="1" ht="12" hidden="1" customHeight="1">
      <c r="A17269" s="426"/>
    </row>
    <row r="17270" spans="1:1" s="427" customFormat="1" ht="12" hidden="1" customHeight="1">
      <c r="A17270" s="426"/>
    </row>
    <row r="17271" spans="1:1" s="427" customFormat="1" ht="12" hidden="1" customHeight="1">
      <c r="A17271" s="426"/>
    </row>
    <row r="17272" spans="1:1" s="427" customFormat="1" ht="12" hidden="1" customHeight="1">
      <c r="A17272" s="426"/>
    </row>
    <row r="17273" spans="1:1" s="427" customFormat="1" ht="12" hidden="1" customHeight="1">
      <c r="A17273" s="426"/>
    </row>
    <row r="17274" spans="1:1" s="427" customFormat="1" ht="12" hidden="1" customHeight="1">
      <c r="A17274" s="426"/>
    </row>
    <row r="17275" spans="1:1" s="427" customFormat="1" ht="12" hidden="1" customHeight="1">
      <c r="A17275" s="426"/>
    </row>
    <row r="17276" spans="1:1" s="427" customFormat="1" ht="12" hidden="1" customHeight="1">
      <c r="A17276" s="426"/>
    </row>
    <row r="17277" spans="1:1" s="427" customFormat="1" ht="12" hidden="1" customHeight="1">
      <c r="A17277" s="426"/>
    </row>
    <row r="17278" spans="1:1" s="427" customFormat="1" ht="12" hidden="1" customHeight="1">
      <c r="A17278" s="426"/>
    </row>
    <row r="17279" spans="1:1" s="427" customFormat="1" ht="12" hidden="1" customHeight="1">
      <c r="A17279" s="426"/>
    </row>
    <row r="17280" spans="1:1" s="427" customFormat="1" ht="12" hidden="1" customHeight="1">
      <c r="A17280" s="426"/>
    </row>
    <row r="17281" spans="1:1" s="427" customFormat="1" ht="12" hidden="1" customHeight="1">
      <c r="A17281" s="426"/>
    </row>
    <row r="17282" spans="1:1" s="427" customFormat="1" ht="12" hidden="1" customHeight="1">
      <c r="A17282" s="426"/>
    </row>
    <row r="17283" spans="1:1" s="427" customFormat="1" ht="12" hidden="1" customHeight="1">
      <c r="A17283" s="426"/>
    </row>
    <row r="17284" spans="1:1" s="427" customFormat="1" ht="12" hidden="1" customHeight="1">
      <c r="A17284" s="426"/>
    </row>
    <row r="17285" spans="1:1" s="427" customFormat="1" ht="12" hidden="1" customHeight="1">
      <c r="A17285" s="426"/>
    </row>
    <row r="17286" spans="1:1" s="427" customFormat="1" ht="12" hidden="1" customHeight="1">
      <c r="A17286" s="426"/>
    </row>
    <row r="17287" spans="1:1" s="427" customFormat="1" ht="12" hidden="1" customHeight="1">
      <c r="A17287" s="426"/>
    </row>
    <row r="17288" spans="1:1" s="427" customFormat="1" ht="12" hidden="1" customHeight="1">
      <c r="A17288" s="426"/>
    </row>
    <row r="17289" spans="1:1" s="427" customFormat="1" ht="12" hidden="1" customHeight="1">
      <c r="A17289" s="426"/>
    </row>
    <row r="17290" spans="1:1" s="427" customFormat="1" ht="12" hidden="1" customHeight="1">
      <c r="A17290" s="426"/>
    </row>
    <row r="17291" spans="1:1" s="427" customFormat="1" ht="12" hidden="1" customHeight="1">
      <c r="A17291" s="426"/>
    </row>
    <row r="17292" spans="1:1" s="427" customFormat="1" ht="12" hidden="1" customHeight="1">
      <c r="A17292" s="426"/>
    </row>
    <row r="17293" spans="1:1" s="427" customFormat="1" ht="12" hidden="1" customHeight="1">
      <c r="A17293" s="426"/>
    </row>
    <row r="17294" spans="1:1" s="427" customFormat="1" ht="12" hidden="1" customHeight="1">
      <c r="A17294" s="426"/>
    </row>
    <row r="17295" spans="1:1" s="427" customFormat="1" ht="12" hidden="1" customHeight="1">
      <c r="A17295" s="426"/>
    </row>
    <row r="17296" spans="1:1" s="427" customFormat="1" ht="12" hidden="1" customHeight="1">
      <c r="A17296" s="426"/>
    </row>
    <row r="17297" spans="1:1" s="427" customFormat="1" ht="12" hidden="1" customHeight="1">
      <c r="A17297" s="426"/>
    </row>
    <row r="17298" spans="1:1" s="427" customFormat="1" ht="12" hidden="1" customHeight="1">
      <c r="A17298" s="426"/>
    </row>
    <row r="17299" spans="1:1" s="427" customFormat="1" ht="12" hidden="1" customHeight="1">
      <c r="A17299" s="426"/>
    </row>
    <row r="17300" spans="1:1" s="427" customFormat="1" ht="12" hidden="1" customHeight="1">
      <c r="A17300" s="426"/>
    </row>
    <row r="17301" spans="1:1" s="427" customFormat="1" ht="12" hidden="1" customHeight="1">
      <c r="A17301" s="426"/>
    </row>
    <row r="17302" spans="1:1" s="427" customFormat="1" ht="12" hidden="1" customHeight="1">
      <c r="A17302" s="426"/>
    </row>
    <row r="17303" spans="1:1" s="427" customFormat="1" ht="12" hidden="1" customHeight="1">
      <c r="A17303" s="426"/>
    </row>
    <row r="17304" spans="1:1" s="427" customFormat="1" ht="12" hidden="1" customHeight="1">
      <c r="A17304" s="426"/>
    </row>
    <row r="17305" spans="1:1" s="427" customFormat="1" ht="12" hidden="1" customHeight="1">
      <c r="A17305" s="426"/>
    </row>
    <row r="17306" spans="1:1" s="427" customFormat="1" ht="12" hidden="1" customHeight="1">
      <c r="A17306" s="426"/>
    </row>
    <row r="17307" spans="1:1" s="427" customFormat="1" ht="12" hidden="1" customHeight="1">
      <c r="A17307" s="426"/>
    </row>
    <row r="17308" spans="1:1" s="427" customFormat="1" ht="12" hidden="1" customHeight="1">
      <c r="A17308" s="426"/>
    </row>
    <row r="17309" spans="1:1" s="427" customFormat="1" ht="12" hidden="1" customHeight="1">
      <c r="A17309" s="426"/>
    </row>
    <row r="17310" spans="1:1" s="427" customFormat="1" ht="12" hidden="1" customHeight="1">
      <c r="A17310" s="426"/>
    </row>
    <row r="17311" spans="1:1" s="427" customFormat="1" ht="12" hidden="1" customHeight="1">
      <c r="A17311" s="426"/>
    </row>
    <row r="17312" spans="1:1" s="427" customFormat="1" ht="12" hidden="1" customHeight="1">
      <c r="A17312" s="426"/>
    </row>
    <row r="17313" spans="1:1" s="427" customFormat="1" ht="12" hidden="1" customHeight="1">
      <c r="A17313" s="426"/>
    </row>
    <row r="17314" spans="1:1" s="427" customFormat="1" ht="12" hidden="1" customHeight="1">
      <c r="A17314" s="426"/>
    </row>
    <row r="17315" spans="1:1" s="427" customFormat="1" ht="12" hidden="1" customHeight="1">
      <c r="A17315" s="426"/>
    </row>
    <row r="17316" spans="1:1" s="427" customFormat="1" ht="12" hidden="1" customHeight="1">
      <c r="A17316" s="426"/>
    </row>
    <row r="17317" spans="1:1" s="427" customFormat="1" ht="12" hidden="1" customHeight="1">
      <c r="A17317" s="426"/>
    </row>
    <row r="17318" spans="1:1" s="427" customFormat="1" ht="12" hidden="1" customHeight="1">
      <c r="A17318" s="426"/>
    </row>
    <row r="17319" spans="1:1" s="427" customFormat="1" ht="12" hidden="1" customHeight="1">
      <c r="A17319" s="426"/>
    </row>
    <row r="17320" spans="1:1" s="427" customFormat="1" ht="12" hidden="1" customHeight="1">
      <c r="A17320" s="426"/>
    </row>
    <row r="17321" spans="1:1" s="427" customFormat="1" ht="12" hidden="1" customHeight="1">
      <c r="A17321" s="426"/>
    </row>
    <row r="17322" spans="1:1" s="427" customFormat="1" ht="12" hidden="1" customHeight="1">
      <c r="A17322" s="426"/>
    </row>
    <row r="17323" spans="1:1" s="427" customFormat="1" ht="12" hidden="1" customHeight="1">
      <c r="A17323" s="426"/>
    </row>
    <row r="17324" spans="1:1" s="427" customFormat="1" ht="12" hidden="1" customHeight="1">
      <c r="A17324" s="426"/>
    </row>
    <row r="17325" spans="1:1" s="427" customFormat="1" ht="12" hidden="1" customHeight="1">
      <c r="A17325" s="426"/>
    </row>
    <row r="17326" spans="1:1" s="427" customFormat="1" ht="12" hidden="1" customHeight="1">
      <c r="A17326" s="426"/>
    </row>
    <row r="17327" spans="1:1" s="427" customFormat="1" ht="12" hidden="1" customHeight="1">
      <c r="A17327" s="426"/>
    </row>
    <row r="17328" spans="1:1" s="427" customFormat="1" ht="12" hidden="1" customHeight="1">
      <c r="A17328" s="426"/>
    </row>
    <row r="17329" spans="1:1" s="427" customFormat="1" ht="12" hidden="1" customHeight="1">
      <c r="A17329" s="426"/>
    </row>
    <row r="17330" spans="1:1" s="427" customFormat="1" ht="12" hidden="1" customHeight="1">
      <c r="A17330" s="426"/>
    </row>
    <row r="17331" spans="1:1" s="427" customFormat="1" ht="12" hidden="1" customHeight="1">
      <c r="A17331" s="426"/>
    </row>
    <row r="17332" spans="1:1" s="427" customFormat="1" ht="12" hidden="1" customHeight="1">
      <c r="A17332" s="426"/>
    </row>
    <row r="17333" spans="1:1" s="427" customFormat="1" ht="12" hidden="1" customHeight="1">
      <c r="A17333" s="426"/>
    </row>
    <row r="17334" spans="1:1" s="427" customFormat="1" ht="12" hidden="1" customHeight="1">
      <c r="A17334" s="426"/>
    </row>
    <row r="17335" spans="1:1" s="427" customFormat="1" ht="12" hidden="1" customHeight="1">
      <c r="A17335" s="426"/>
    </row>
    <row r="17336" spans="1:1" s="427" customFormat="1" ht="12" hidden="1" customHeight="1">
      <c r="A17336" s="426"/>
    </row>
    <row r="17337" spans="1:1" s="427" customFormat="1" ht="12" hidden="1" customHeight="1">
      <c r="A17337" s="426"/>
    </row>
    <row r="17338" spans="1:1" s="427" customFormat="1" ht="12" hidden="1" customHeight="1">
      <c r="A17338" s="426"/>
    </row>
    <row r="17339" spans="1:1" s="427" customFormat="1" ht="12" hidden="1" customHeight="1">
      <c r="A17339" s="426"/>
    </row>
    <row r="17340" spans="1:1" s="427" customFormat="1" ht="12" hidden="1" customHeight="1">
      <c r="A17340" s="426"/>
    </row>
    <row r="17341" spans="1:1" s="427" customFormat="1" ht="12" hidden="1" customHeight="1">
      <c r="A17341" s="426"/>
    </row>
    <row r="17342" spans="1:1" s="427" customFormat="1" ht="12" hidden="1" customHeight="1">
      <c r="A17342" s="426"/>
    </row>
    <row r="17343" spans="1:1" s="427" customFormat="1" ht="12" hidden="1" customHeight="1">
      <c r="A17343" s="426"/>
    </row>
    <row r="17344" spans="1:1" s="427" customFormat="1" ht="12" hidden="1" customHeight="1">
      <c r="A17344" s="426"/>
    </row>
    <row r="17345" spans="1:1" s="427" customFormat="1" ht="12" hidden="1" customHeight="1">
      <c r="A17345" s="426"/>
    </row>
    <row r="17346" spans="1:1" s="427" customFormat="1" ht="12" hidden="1" customHeight="1">
      <c r="A17346" s="426"/>
    </row>
    <row r="17347" spans="1:1" s="427" customFormat="1" ht="12" hidden="1" customHeight="1">
      <c r="A17347" s="426"/>
    </row>
    <row r="17348" spans="1:1" s="427" customFormat="1" ht="12" hidden="1" customHeight="1">
      <c r="A17348" s="426"/>
    </row>
    <row r="17349" spans="1:1" s="427" customFormat="1" ht="12" hidden="1" customHeight="1">
      <c r="A17349" s="426"/>
    </row>
    <row r="17350" spans="1:1" s="427" customFormat="1" ht="12" hidden="1" customHeight="1">
      <c r="A17350" s="426"/>
    </row>
    <row r="17351" spans="1:1" s="427" customFormat="1" ht="12" hidden="1" customHeight="1">
      <c r="A17351" s="426"/>
    </row>
    <row r="17352" spans="1:1" s="427" customFormat="1" ht="12" hidden="1" customHeight="1">
      <c r="A17352" s="426"/>
    </row>
    <row r="17353" spans="1:1" s="427" customFormat="1" ht="12" hidden="1" customHeight="1">
      <c r="A17353" s="426"/>
    </row>
    <row r="17354" spans="1:1" s="427" customFormat="1" ht="12" hidden="1" customHeight="1">
      <c r="A17354" s="426"/>
    </row>
    <row r="17355" spans="1:1" s="427" customFormat="1" ht="12" hidden="1" customHeight="1">
      <c r="A17355" s="426"/>
    </row>
    <row r="17356" spans="1:1" s="427" customFormat="1" ht="12" hidden="1" customHeight="1">
      <c r="A17356" s="426"/>
    </row>
    <row r="17357" spans="1:1" s="427" customFormat="1" ht="12" hidden="1" customHeight="1">
      <c r="A17357" s="426"/>
    </row>
    <row r="17358" spans="1:1" s="427" customFormat="1" ht="12" hidden="1" customHeight="1">
      <c r="A17358" s="426"/>
    </row>
    <row r="17359" spans="1:1" s="427" customFormat="1" ht="12" hidden="1" customHeight="1">
      <c r="A17359" s="426"/>
    </row>
    <row r="17360" spans="1:1" s="427" customFormat="1" ht="12" hidden="1" customHeight="1">
      <c r="A17360" s="426"/>
    </row>
    <row r="17361" spans="1:1" s="427" customFormat="1" ht="12" hidden="1" customHeight="1">
      <c r="A17361" s="426"/>
    </row>
    <row r="17362" spans="1:1" s="427" customFormat="1" ht="12" hidden="1" customHeight="1">
      <c r="A17362" s="426"/>
    </row>
    <row r="17363" spans="1:1" s="427" customFormat="1" ht="12" hidden="1" customHeight="1">
      <c r="A17363" s="426"/>
    </row>
    <row r="17364" spans="1:1" s="427" customFormat="1" ht="12" hidden="1" customHeight="1">
      <c r="A17364" s="426"/>
    </row>
    <row r="17365" spans="1:1" s="427" customFormat="1" ht="12" hidden="1" customHeight="1">
      <c r="A17365" s="426"/>
    </row>
    <row r="17366" spans="1:1" s="427" customFormat="1" ht="12" hidden="1" customHeight="1">
      <c r="A17366" s="426"/>
    </row>
    <row r="17367" spans="1:1" s="427" customFormat="1" ht="12" hidden="1" customHeight="1">
      <c r="A17367" s="426"/>
    </row>
    <row r="17368" spans="1:1" s="427" customFormat="1" ht="12" hidden="1" customHeight="1">
      <c r="A17368" s="426"/>
    </row>
    <row r="17369" spans="1:1" s="427" customFormat="1" ht="12" hidden="1" customHeight="1">
      <c r="A17369" s="426"/>
    </row>
    <row r="17370" spans="1:1" s="427" customFormat="1" ht="12" hidden="1" customHeight="1">
      <c r="A17370" s="426"/>
    </row>
    <row r="17371" spans="1:1" s="427" customFormat="1" ht="12" hidden="1" customHeight="1">
      <c r="A17371" s="426"/>
    </row>
    <row r="17372" spans="1:1" s="427" customFormat="1" ht="12" hidden="1" customHeight="1">
      <c r="A17372" s="426"/>
    </row>
    <row r="17373" spans="1:1" s="427" customFormat="1" ht="12" hidden="1" customHeight="1">
      <c r="A17373" s="426"/>
    </row>
    <row r="17374" spans="1:1" s="427" customFormat="1" ht="12" hidden="1" customHeight="1">
      <c r="A17374" s="426"/>
    </row>
    <row r="17375" spans="1:1" s="427" customFormat="1" ht="12" hidden="1" customHeight="1">
      <c r="A17375" s="426"/>
    </row>
    <row r="17376" spans="1:1" s="427" customFormat="1" ht="12" hidden="1" customHeight="1">
      <c r="A17376" s="426"/>
    </row>
    <row r="17377" spans="1:1" s="427" customFormat="1" ht="12" hidden="1" customHeight="1">
      <c r="A17377" s="426"/>
    </row>
    <row r="17378" spans="1:1" s="427" customFormat="1" ht="12" hidden="1" customHeight="1">
      <c r="A17378" s="426"/>
    </row>
    <row r="17379" spans="1:1" s="427" customFormat="1" ht="12" hidden="1" customHeight="1">
      <c r="A17379" s="426"/>
    </row>
    <row r="17380" spans="1:1" s="427" customFormat="1" ht="12" hidden="1" customHeight="1">
      <c r="A17380" s="426"/>
    </row>
    <row r="17381" spans="1:1" s="427" customFormat="1" ht="12" hidden="1" customHeight="1">
      <c r="A17381" s="426"/>
    </row>
    <row r="17382" spans="1:1" s="427" customFormat="1" ht="12" hidden="1" customHeight="1">
      <c r="A17382" s="426"/>
    </row>
    <row r="17383" spans="1:1" s="427" customFormat="1" ht="12" hidden="1" customHeight="1">
      <c r="A17383" s="426"/>
    </row>
    <row r="17384" spans="1:1" s="427" customFormat="1" ht="12" hidden="1" customHeight="1">
      <c r="A17384" s="426"/>
    </row>
    <row r="17385" spans="1:1" s="427" customFormat="1" ht="12" hidden="1" customHeight="1">
      <c r="A17385" s="426"/>
    </row>
    <row r="17386" spans="1:1" s="427" customFormat="1" ht="12" hidden="1" customHeight="1">
      <c r="A17386" s="426"/>
    </row>
    <row r="17387" spans="1:1" s="427" customFormat="1" ht="12" hidden="1" customHeight="1">
      <c r="A17387" s="426"/>
    </row>
    <row r="17388" spans="1:1" s="427" customFormat="1" ht="12" hidden="1" customHeight="1">
      <c r="A17388" s="426"/>
    </row>
    <row r="17389" spans="1:1" s="427" customFormat="1" ht="12" hidden="1" customHeight="1">
      <c r="A17389" s="426"/>
    </row>
    <row r="17390" spans="1:1" s="427" customFormat="1" ht="12" hidden="1" customHeight="1">
      <c r="A17390" s="426"/>
    </row>
    <row r="17391" spans="1:1" s="427" customFormat="1" ht="12" hidden="1" customHeight="1">
      <c r="A17391" s="426"/>
    </row>
    <row r="17392" spans="1:1" s="427" customFormat="1" ht="12" hidden="1" customHeight="1">
      <c r="A17392" s="426"/>
    </row>
    <row r="17393" spans="1:1" s="427" customFormat="1" ht="12" hidden="1" customHeight="1">
      <c r="A17393" s="426"/>
    </row>
    <row r="17394" spans="1:1" s="427" customFormat="1" ht="12" hidden="1" customHeight="1">
      <c r="A17394" s="426"/>
    </row>
    <row r="17395" spans="1:1" s="427" customFormat="1" ht="12" hidden="1" customHeight="1">
      <c r="A17395" s="426"/>
    </row>
    <row r="17396" spans="1:1" s="427" customFormat="1" ht="12" hidden="1" customHeight="1">
      <c r="A17396" s="426"/>
    </row>
    <row r="17397" spans="1:1" s="427" customFormat="1" ht="12" hidden="1" customHeight="1">
      <c r="A17397" s="426"/>
    </row>
    <row r="17398" spans="1:1" s="427" customFormat="1" ht="12" hidden="1" customHeight="1">
      <c r="A17398" s="426"/>
    </row>
    <row r="17399" spans="1:1" s="427" customFormat="1" ht="12" hidden="1" customHeight="1">
      <c r="A17399" s="426"/>
    </row>
    <row r="17400" spans="1:1" s="427" customFormat="1" ht="12" hidden="1" customHeight="1">
      <c r="A17400" s="426"/>
    </row>
    <row r="17401" spans="1:1" s="427" customFormat="1" ht="12" hidden="1" customHeight="1">
      <c r="A17401" s="426"/>
    </row>
    <row r="17402" spans="1:1" s="427" customFormat="1" ht="12" hidden="1" customHeight="1">
      <c r="A17402" s="426"/>
    </row>
    <row r="17403" spans="1:1" s="427" customFormat="1" ht="12" hidden="1" customHeight="1">
      <c r="A17403" s="426"/>
    </row>
    <row r="17404" spans="1:1" s="427" customFormat="1" ht="12" hidden="1" customHeight="1">
      <c r="A17404" s="426"/>
    </row>
    <row r="17405" spans="1:1" s="427" customFormat="1" ht="12" hidden="1" customHeight="1">
      <c r="A17405" s="426"/>
    </row>
    <row r="17406" spans="1:1" s="427" customFormat="1" ht="12" hidden="1" customHeight="1">
      <c r="A17406" s="426"/>
    </row>
    <row r="17407" spans="1:1" s="427" customFormat="1" ht="12" hidden="1" customHeight="1">
      <c r="A17407" s="426"/>
    </row>
    <row r="17408" spans="1:1" s="427" customFormat="1" ht="12" hidden="1" customHeight="1">
      <c r="A17408" s="426"/>
    </row>
    <row r="17409" spans="1:1" s="427" customFormat="1" ht="12" hidden="1" customHeight="1">
      <c r="A17409" s="426"/>
    </row>
    <row r="17410" spans="1:1" s="427" customFormat="1" ht="12" hidden="1" customHeight="1">
      <c r="A17410" s="426"/>
    </row>
    <row r="17411" spans="1:1" s="427" customFormat="1" ht="12" hidden="1" customHeight="1">
      <c r="A17411" s="426"/>
    </row>
    <row r="17412" spans="1:1" s="427" customFormat="1" ht="12" hidden="1" customHeight="1">
      <c r="A17412" s="426"/>
    </row>
    <row r="17413" spans="1:1" s="427" customFormat="1" ht="12" hidden="1" customHeight="1">
      <c r="A17413" s="426"/>
    </row>
    <row r="17414" spans="1:1" s="427" customFormat="1" ht="12" hidden="1" customHeight="1">
      <c r="A17414" s="426"/>
    </row>
    <row r="17415" spans="1:1" s="427" customFormat="1" ht="12" hidden="1" customHeight="1">
      <c r="A17415" s="426"/>
    </row>
    <row r="17416" spans="1:1" s="427" customFormat="1" ht="12" hidden="1" customHeight="1">
      <c r="A17416" s="426"/>
    </row>
    <row r="17417" spans="1:1" s="427" customFormat="1" ht="12" hidden="1" customHeight="1">
      <c r="A17417" s="426"/>
    </row>
    <row r="17418" spans="1:1" s="427" customFormat="1" ht="12" hidden="1" customHeight="1">
      <c r="A17418" s="426"/>
    </row>
    <row r="17419" spans="1:1" s="427" customFormat="1" ht="12" hidden="1" customHeight="1">
      <c r="A17419" s="426"/>
    </row>
    <row r="17420" spans="1:1" s="427" customFormat="1" ht="12" hidden="1" customHeight="1">
      <c r="A17420" s="426"/>
    </row>
    <row r="17421" spans="1:1" s="427" customFormat="1" ht="12" hidden="1" customHeight="1">
      <c r="A17421" s="426"/>
    </row>
    <row r="17422" spans="1:1" s="427" customFormat="1" ht="12" hidden="1" customHeight="1">
      <c r="A17422" s="426"/>
    </row>
    <row r="17423" spans="1:1" s="427" customFormat="1" ht="12" hidden="1" customHeight="1">
      <c r="A17423" s="426"/>
    </row>
    <row r="17424" spans="1:1" s="427" customFormat="1" ht="12" hidden="1" customHeight="1">
      <c r="A17424" s="426"/>
    </row>
    <row r="17425" spans="1:1" s="427" customFormat="1" ht="12" hidden="1" customHeight="1">
      <c r="A17425" s="426"/>
    </row>
    <row r="17426" spans="1:1" s="427" customFormat="1" ht="12" hidden="1" customHeight="1">
      <c r="A17426" s="426"/>
    </row>
    <row r="17427" spans="1:1" s="427" customFormat="1" ht="12" hidden="1" customHeight="1">
      <c r="A17427" s="426"/>
    </row>
    <row r="17428" spans="1:1" s="427" customFormat="1" ht="12" hidden="1" customHeight="1">
      <c r="A17428" s="426"/>
    </row>
    <row r="17429" spans="1:1" s="427" customFormat="1" ht="12" hidden="1" customHeight="1">
      <c r="A17429" s="426"/>
    </row>
    <row r="17430" spans="1:1" s="427" customFormat="1" ht="12" hidden="1" customHeight="1">
      <c r="A17430" s="426"/>
    </row>
    <row r="17431" spans="1:1" s="427" customFormat="1" ht="12" hidden="1" customHeight="1">
      <c r="A17431" s="426"/>
    </row>
    <row r="17432" spans="1:1" s="427" customFormat="1" ht="12" hidden="1" customHeight="1">
      <c r="A17432" s="426"/>
    </row>
    <row r="17433" spans="1:1" s="427" customFormat="1" ht="12" hidden="1" customHeight="1">
      <c r="A17433" s="426"/>
    </row>
    <row r="17434" spans="1:1" s="427" customFormat="1" ht="12" hidden="1" customHeight="1">
      <c r="A17434" s="426"/>
    </row>
    <row r="17435" spans="1:1" s="427" customFormat="1" ht="12" hidden="1" customHeight="1">
      <c r="A17435" s="426"/>
    </row>
    <row r="17436" spans="1:1" s="427" customFormat="1" ht="12" hidden="1" customHeight="1">
      <c r="A17436" s="426"/>
    </row>
    <row r="17437" spans="1:1" s="427" customFormat="1" ht="12" hidden="1" customHeight="1">
      <c r="A17437" s="426"/>
    </row>
    <row r="17438" spans="1:1" s="427" customFormat="1" ht="12" hidden="1" customHeight="1">
      <c r="A17438" s="426"/>
    </row>
    <row r="17439" spans="1:1" s="427" customFormat="1" ht="12" hidden="1" customHeight="1">
      <c r="A17439" s="426"/>
    </row>
    <row r="17440" spans="1:1" s="427" customFormat="1" ht="12" hidden="1" customHeight="1">
      <c r="A17440" s="426"/>
    </row>
    <row r="17441" spans="1:1" s="427" customFormat="1" ht="12" hidden="1" customHeight="1">
      <c r="A17441" s="426"/>
    </row>
    <row r="17442" spans="1:1" s="427" customFormat="1" ht="12" hidden="1" customHeight="1">
      <c r="A17442" s="426"/>
    </row>
    <row r="17443" spans="1:1" s="427" customFormat="1" ht="12" hidden="1" customHeight="1">
      <c r="A17443" s="426"/>
    </row>
    <row r="17444" spans="1:1" s="427" customFormat="1" ht="12" hidden="1" customHeight="1">
      <c r="A17444" s="426"/>
    </row>
    <row r="17445" spans="1:1" s="427" customFormat="1" ht="12" hidden="1" customHeight="1">
      <c r="A17445" s="426"/>
    </row>
    <row r="17446" spans="1:1" s="427" customFormat="1" ht="12" hidden="1" customHeight="1">
      <c r="A17446" s="426"/>
    </row>
    <row r="17447" spans="1:1" s="427" customFormat="1" ht="12" hidden="1" customHeight="1">
      <c r="A17447" s="426"/>
    </row>
    <row r="17448" spans="1:1" s="427" customFormat="1" ht="12" hidden="1" customHeight="1">
      <c r="A17448" s="426"/>
    </row>
    <row r="17449" spans="1:1" s="427" customFormat="1" ht="12" hidden="1" customHeight="1">
      <c r="A17449" s="426"/>
    </row>
    <row r="17450" spans="1:1" s="427" customFormat="1" ht="12" hidden="1" customHeight="1">
      <c r="A17450" s="426"/>
    </row>
    <row r="17451" spans="1:1" s="427" customFormat="1" ht="12" hidden="1" customHeight="1">
      <c r="A17451" s="426"/>
    </row>
    <row r="17452" spans="1:1" s="427" customFormat="1" ht="12" hidden="1" customHeight="1">
      <c r="A17452" s="426"/>
    </row>
    <row r="17453" spans="1:1" s="427" customFormat="1" ht="12" hidden="1" customHeight="1">
      <c r="A17453" s="426"/>
    </row>
    <row r="17454" spans="1:1" s="427" customFormat="1" ht="12" hidden="1" customHeight="1">
      <c r="A17454" s="426"/>
    </row>
    <row r="17455" spans="1:1" s="427" customFormat="1" ht="12" hidden="1" customHeight="1">
      <c r="A17455" s="426"/>
    </row>
    <row r="17456" spans="1:1" s="427" customFormat="1" ht="12" hidden="1" customHeight="1">
      <c r="A17456" s="426"/>
    </row>
    <row r="17457" spans="1:1" s="427" customFormat="1" ht="12" hidden="1" customHeight="1">
      <c r="A17457" s="426"/>
    </row>
    <row r="17458" spans="1:1" s="427" customFormat="1" ht="12" hidden="1" customHeight="1">
      <c r="A17458" s="426"/>
    </row>
    <row r="17459" spans="1:1" s="427" customFormat="1" ht="12" hidden="1" customHeight="1">
      <c r="A17459" s="426"/>
    </row>
    <row r="17460" spans="1:1" s="427" customFormat="1" ht="12" hidden="1" customHeight="1">
      <c r="A17460" s="426"/>
    </row>
    <row r="17461" spans="1:1" s="427" customFormat="1" ht="12" hidden="1" customHeight="1">
      <c r="A17461" s="426"/>
    </row>
    <row r="17462" spans="1:1" s="427" customFormat="1" ht="12" hidden="1" customHeight="1">
      <c r="A17462" s="426"/>
    </row>
    <row r="17463" spans="1:1" s="427" customFormat="1" ht="12" hidden="1" customHeight="1">
      <c r="A17463" s="426"/>
    </row>
    <row r="17464" spans="1:1" s="427" customFormat="1" ht="12" hidden="1" customHeight="1">
      <c r="A17464" s="426"/>
    </row>
    <row r="17465" spans="1:1" s="427" customFormat="1" ht="12" hidden="1" customHeight="1">
      <c r="A17465" s="426"/>
    </row>
    <row r="17466" spans="1:1" s="427" customFormat="1" ht="12" hidden="1" customHeight="1">
      <c r="A17466" s="426"/>
    </row>
    <row r="17467" spans="1:1" s="427" customFormat="1" ht="12" hidden="1" customHeight="1">
      <c r="A17467" s="426"/>
    </row>
    <row r="17468" spans="1:1" s="427" customFormat="1" ht="12" hidden="1" customHeight="1">
      <c r="A17468" s="426"/>
    </row>
    <row r="17469" spans="1:1" s="427" customFormat="1" ht="12" hidden="1" customHeight="1">
      <c r="A17469" s="426"/>
    </row>
    <row r="17470" spans="1:1" s="427" customFormat="1" ht="12" hidden="1" customHeight="1">
      <c r="A17470" s="426"/>
    </row>
    <row r="17471" spans="1:1" s="427" customFormat="1" ht="12" hidden="1" customHeight="1">
      <c r="A17471" s="426"/>
    </row>
    <row r="17472" spans="1:1" s="427" customFormat="1" ht="12" hidden="1" customHeight="1">
      <c r="A17472" s="426"/>
    </row>
    <row r="17473" spans="1:1" s="427" customFormat="1" ht="12" hidden="1" customHeight="1">
      <c r="A17473" s="426"/>
    </row>
    <row r="17474" spans="1:1" s="427" customFormat="1" ht="12" hidden="1" customHeight="1">
      <c r="A17474" s="426"/>
    </row>
    <row r="17475" spans="1:1" s="427" customFormat="1" ht="12" hidden="1" customHeight="1">
      <c r="A17475" s="426"/>
    </row>
    <row r="17476" spans="1:1" s="427" customFormat="1" ht="12" hidden="1" customHeight="1">
      <c r="A17476" s="426"/>
    </row>
    <row r="17477" spans="1:1" s="427" customFormat="1" ht="12" hidden="1" customHeight="1">
      <c r="A17477" s="426"/>
    </row>
    <row r="17478" spans="1:1" s="427" customFormat="1" ht="12" hidden="1" customHeight="1">
      <c r="A17478" s="426"/>
    </row>
    <row r="17479" spans="1:1" s="427" customFormat="1" ht="12" hidden="1" customHeight="1">
      <c r="A17479" s="426"/>
    </row>
    <row r="17480" spans="1:1" s="427" customFormat="1" ht="12" hidden="1" customHeight="1">
      <c r="A17480" s="426"/>
    </row>
    <row r="17481" spans="1:1" s="427" customFormat="1" ht="12" hidden="1" customHeight="1">
      <c r="A17481" s="426"/>
    </row>
    <row r="17482" spans="1:1" s="427" customFormat="1" ht="12" hidden="1" customHeight="1">
      <c r="A17482" s="426"/>
    </row>
    <row r="17483" spans="1:1" s="427" customFormat="1" ht="12" hidden="1" customHeight="1">
      <c r="A17483" s="426"/>
    </row>
    <row r="17484" spans="1:1" s="427" customFormat="1" ht="12" hidden="1" customHeight="1">
      <c r="A17484" s="426"/>
    </row>
    <row r="17485" spans="1:1" s="427" customFormat="1" ht="12" hidden="1" customHeight="1">
      <c r="A17485" s="426"/>
    </row>
    <row r="17486" spans="1:1" s="427" customFormat="1" ht="12" hidden="1" customHeight="1">
      <c r="A17486" s="426"/>
    </row>
    <row r="17487" spans="1:1" s="427" customFormat="1" ht="12" hidden="1" customHeight="1">
      <c r="A17487" s="426"/>
    </row>
    <row r="17488" spans="1:1" s="427" customFormat="1" ht="12" hidden="1" customHeight="1">
      <c r="A17488" s="426"/>
    </row>
    <row r="17489" spans="1:1" s="427" customFormat="1" ht="12" hidden="1" customHeight="1">
      <c r="A17489" s="426"/>
    </row>
    <row r="17490" spans="1:1" s="427" customFormat="1" ht="12" hidden="1" customHeight="1">
      <c r="A17490" s="426"/>
    </row>
    <row r="17491" spans="1:1" s="427" customFormat="1" ht="12" hidden="1" customHeight="1">
      <c r="A17491" s="426"/>
    </row>
    <row r="17492" spans="1:1" s="427" customFormat="1" ht="12" hidden="1" customHeight="1">
      <c r="A17492" s="426"/>
    </row>
    <row r="17493" spans="1:1" s="427" customFormat="1" ht="12" hidden="1" customHeight="1">
      <c r="A17493" s="426"/>
    </row>
    <row r="17494" spans="1:1" s="427" customFormat="1" ht="12" hidden="1" customHeight="1">
      <c r="A17494" s="426"/>
    </row>
    <row r="17495" spans="1:1" s="427" customFormat="1" ht="12" hidden="1" customHeight="1">
      <c r="A17495" s="426"/>
    </row>
    <row r="17496" spans="1:1" s="427" customFormat="1" ht="12" hidden="1" customHeight="1">
      <c r="A17496" s="426"/>
    </row>
    <row r="17497" spans="1:1" s="427" customFormat="1" ht="12" hidden="1" customHeight="1">
      <c r="A17497" s="426"/>
    </row>
    <row r="17498" spans="1:1" s="427" customFormat="1" ht="12" hidden="1" customHeight="1">
      <c r="A17498" s="426"/>
    </row>
    <row r="17499" spans="1:1" s="427" customFormat="1" ht="12" hidden="1" customHeight="1">
      <c r="A17499" s="426"/>
    </row>
    <row r="17500" spans="1:1" s="427" customFormat="1" ht="12" hidden="1" customHeight="1">
      <c r="A17500" s="426"/>
    </row>
    <row r="17501" spans="1:1" s="427" customFormat="1" ht="12" hidden="1" customHeight="1">
      <c r="A17501" s="426"/>
    </row>
    <row r="17502" spans="1:1" s="427" customFormat="1" ht="12" hidden="1" customHeight="1">
      <c r="A17502" s="426"/>
    </row>
    <row r="17503" spans="1:1" s="427" customFormat="1" ht="12" hidden="1" customHeight="1">
      <c r="A17503" s="426"/>
    </row>
    <row r="17504" spans="1:1" s="427" customFormat="1" ht="12" hidden="1" customHeight="1">
      <c r="A17504" s="426"/>
    </row>
    <row r="17505" spans="1:1" s="427" customFormat="1" ht="12" hidden="1" customHeight="1">
      <c r="A17505" s="426"/>
    </row>
    <row r="17506" spans="1:1" s="427" customFormat="1" ht="12" hidden="1" customHeight="1">
      <c r="A17506" s="426"/>
    </row>
    <row r="17507" spans="1:1" s="427" customFormat="1" ht="12" hidden="1" customHeight="1">
      <c r="A17507" s="426"/>
    </row>
    <row r="17508" spans="1:1" s="427" customFormat="1" ht="12" hidden="1" customHeight="1">
      <c r="A17508" s="426"/>
    </row>
    <row r="17509" spans="1:1" s="427" customFormat="1" ht="12" hidden="1" customHeight="1">
      <c r="A17509" s="426"/>
    </row>
    <row r="17510" spans="1:1" s="427" customFormat="1" ht="12" hidden="1" customHeight="1">
      <c r="A17510" s="426"/>
    </row>
    <row r="17511" spans="1:1" s="427" customFormat="1" ht="12" hidden="1" customHeight="1">
      <c r="A17511" s="426"/>
    </row>
    <row r="17512" spans="1:1" s="427" customFormat="1" ht="12" hidden="1" customHeight="1">
      <c r="A17512" s="426"/>
    </row>
    <row r="17513" spans="1:1" s="427" customFormat="1" ht="12" hidden="1" customHeight="1">
      <c r="A17513" s="426"/>
    </row>
    <row r="17514" spans="1:1" s="427" customFormat="1" ht="12" hidden="1" customHeight="1">
      <c r="A17514" s="426"/>
    </row>
    <row r="17515" spans="1:1" s="427" customFormat="1" ht="12" hidden="1" customHeight="1">
      <c r="A17515" s="426"/>
    </row>
    <row r="17516" spans="1:1" s="427" customFormat="1" ht="12" hidden="1" customHeight="1">
      <c r="A17516" s="426"/>
    </row>
    <row r="17517" spans="1:1" s="427" customFormat="1" ht="12" hidden="1" customHeight="1">
      <c r="A17517" s="426"/>
    </row>
    <row r="17518" spans="1:1" s="427" customFormat="1" ht="12" hidden="1" customHeight="1">
      <c r="A17518" s="426"/>
    </row>
    <row r="17519" spans="1:1" s="427" customFormat="1" ht="12" hidden="1" customHeight="1">
      <c r="A17519" s="426"/>
    </row>
    <row r="17520" spans="1:1" s="427" customFormat="1" ht="12" hidden="1" customHeight="1">
      <c r="A17520" s="426"/>
    </row>
    <row r="17521" spans="1:1" s="427" customFormat="1" ht="12" hidden="1" customHeight="1">
      <c r="A17521" s="426"/>
    </row>
    <row r="17522" spans="1:1" s="427" customFormat="1" ht="12" hidden="1" customHeight="1">
      <c r="A17522" s="426"/>
    </row>
    <row r="17523" spans="1:1" s="427" customFormat="1" ht="12" hidden="1" customHeight="1">
      <c r="A17523" s="426"/>
    </row>
    <row r="17524" spans="1:1" s="427" customFormat="1" ht="12" hidden="1" customHeight="1">
      <c r="A17524" s="426"/>
    </row>
    <row r="17525" spans="1:1" s="427" customFormat="1" ht="12" hidden="1" customHeight="1">
      <c r="A17525" s="426"/>
    </row>
    <row r="17526" spans="1:1" s="427" customFormat="1" ht="12" hidden="1" customHeight="1">
      <c r="A17526" s="426"/>
    </row>
    <row r="17527" spans="1:1" s="427" customFormat="1" ht="12" hidden="1" customHeight="1">
      <c r="A17527" s="426"/>
    </row>
    <row r="17528" spans="1:1" s="427" customFormat="1" ht="12" hidden="1" customHeight="1">
      <c r="A17528" s="426"/>
    </row>
    <row r="17529" spans="1:1" s="427" customFormat="1" ht="12" hidden="1" customHeight="1">
      <c r="A17529" s="426"/>
    </row>
    <row r="17530" spans="1:1" s="427" customFormat="1" ht="12" hidden="1" customHeight="1">
      <c r="A17530" s="426"/>
    </row>
    <row r="17531" spans="1:1" s="427" customFormat="1" ht="12" hidden="1" customHeight="1">
      <c r="A17531" s="426"/>
    </row>
    <row r="17532" spans="1:1" s="427" customFormat="1" ht="12" hidden="1" customHeight="1">
      <c r="A17532" s="426"/>
    </row>
    <row r="17533" spans="1:1" s="427" customFormat="1" ht="12" hidden="1" customHeight="1">
      <c r="A17533" s="426"/>
    </row>
    <row r="17534" spans="1:1" s="427" customFormat="1" ht="12" hidden="1" customHeight="1">
      <c r="A17534" s="426"/>
    </row>
    <row r="17535" spans="1:1" s="427" customFormat="1" ht="12" hidden="1" customHeight="1">
      <c r="A17535" s="426"/>
    </row>
    <row r="17536" spans="1:1" s="427" customFormat="1" ht="12" hidden="1" customHeight="1">
      <c r="A17536" s="426"/>
    </row>
    <row r="17537" spans="1:1" s="427" customFormat="1" ht="12" hidden="1" customHeight="1">
      <c r="A17537" s="426"/>
    </row>
    <row r="17538" spans="1:1" s="427" customFormat="1" ht="12" hidden="1" customHeight="1">
      <c r="A17538" s="426"/>
    </row>
    <row r="17539" spans="1:1" s="427" customFormat="1" ht="12" hidden="1" customHeight="1">
      <c r="A17539" s="426"/>
    </row>
    <row r="17540" spans="1:1" s="427" customFormat="1" ht="12" hidden="1" customHeight="1">
      <c r="A17540" s="426"/>
    </row>
    <row r="17541" spans="1:1" s="427" customFormat="1" ht="12" hidden="1" customHeight="1">
      <c r="A17541" s="426"/>
    </row>
    <row r="17542" spans="1:1" s="427" customFormat="1" ht="12" hidden="1" customHeight="1">
      <c r="A17542" s="426"/>
    </row>
    <row r="17543" spans="1:1" s="427" customFormat="1" ht="12" hidden="1" customHeight="1">
      <c r="A17543" s="426"/>
    </row>
    <row r="17544" spans="1:1" s="427" customFormat="1" ht="12" hidden="1" customHeight="1">
      <c r="A17544" s="426"/>
    </row>
    <row r="17545" spans="1:1" s="427" customFormat="1" ht="12" hidden="1" customHeight="1">
      <c r="A17545" s="426"/>
    </row>
    <row r="17546" spans="1:1" s="427" customFormat="1" ht="12" hidden="1" customHeight="1">
      <c r="A17546" s="426"/>
    </row>
    <row r="17547" spans="1:1" s="427" customFormat="1" ht="12" hidden="1" customHeight="1">
      <c r="A17547" s="426"/>
    </row>
    <row r="17548" spans="1:1" s="427" customFormat="1" ht="12" hidden="1" customHeight="1">
      <c r="A17548" s="426"/>
    </row>
    <row r="17549" spans="1:1" s="427" customFormat="1" ht="12" hidden="1" customHeight="1">
      <c r="A17549" s="426"/>
    </row>
    <row r="17550" spans="1:1" s="427" customFormat="1" ht="12" hidden="1" customHeight="1">
      <c r="A17550" s="426"/>
    </row>
    <row r="17551" spans="1:1" s="427" customFormat="1" ht="12" hidden="1" customHeight="1">
      <c r="A17551" s="426"/>
    </row>
    <row r="17552" spans="1:1" s="427" customFormat="1" ht="12" hidden="1" customHeight="1">
      <c r="A17552" s="426"/>
    </row>
    <row r="17553" spans="1:1" s="427" customFormat="1" ht="12" hidden="1" customHeight="1">
      <c r="A17553" s="426"/>
    </row>
    <row r="17554" spans="1:1" s="427" customFormat="1" ht="12" hidden="1" customHeight="1">
      <c r="A17554" s="426"/>
    </row>
    <row r="17555" spans="1:1" s="427" customFormat="1" ht="12" hidden="1" customHeight="1">
      <c r="A17555" s="426"/>
    </row>
    <row r="17556" spans="1:1" s="427" customFormat="1" ht="12" hidden="1" customHeight="1">
      <c r="A17556" s="426"/>
    </row>
    <row r="17557" spans="1:1" s="427" customFormat="1" ht="12" hidden="1" customHeight="1">
      <c r="A17557" s="426"/>
    </row>
    <row r="17558" spans="1:1" s="427" customFormat="1" ht="12" hidden="1" customHeight="1">
      <c r="A17558" s="426"/>
    </row>
    <row r="17559" spans="1:1" s="427" customFormat="1" ht="12" hidden="1" customHeight="1">
      <c r="A17559" s="426"/>
    </row>
    <row r="17560" spans="1:1" s="427" customFormat="1" ht="12" hidden="1" customHeight="1">
      <c r="A17560" s="426"/>
    </row>
    <row r="17561" spans="1:1" s="427" customFormat="1" ht="12" hidden="1" customHeight="1">
      <c r="A17561" s="426"/>
    </row>
    <row r="17562" spans="1:1" s="427" customFormat="1" ht="12" hidden="1" customHeight="1">
      <c r="A17562" s="426"/>
    </row>
    <row r="17563" spans="1:1" s="427" customFormat="1" ht="12" hidden="1" customHeight="1">
      <c r="A17563" s="426"/>
    </row>
    <row r="17564" spans="1:1" s="427" customFormat="1" ht="12" hidden="1" customHeight="1">
      <c r="A17564" s="426"/>
    </row>
    <row r="17565" spans="1:1" s="427" customFormat="1" ht="12" hidden="1" customHeight="1">
      <c r="A17565" s="426"/>
    </row>
    <row r="17566" spans="1:1" s="427" customFormat="1" ht="12" hidden="1" customHeight="1">
      <c r="A17566" s="426"/>
    </row>
    <row r="17567" spans="1:1" s="427" customFormat="1" ht="12" hidden="1" customHeight="1">
      <c r="A17567" s="426"/>
    </row>
    <row r="17568" spans="1:1" s="427" customFormat="1" ht="12" hidden="1" customHeight="1">
      <c r="A17568" s="426"/>
    </row>
    <row r="17569" spans="1:1" s="427" customFormat="1" ht="12" hidden="1" customHeight="1">
      <c r="A17569" s="426"/>
    </row>
    <row r="17570" spans="1:1" s="427" customFormat="1" ht="12" hidden="1" customHeight="1">
      <c r="A17570" s="426"/>
    </row>
    <row r="17571" spans="1:1" s="427" customFormat="1" ht="12" hidden="1" customHeight="1">
      <c r="A17571" s="426"/>
    </row>
    <row r="17572" spans="1:1" s="427" customFormat="1" ht="12" hidden="1" customHeight="1">
      <c r="A17572" s="426"/>
    </row>
    <row r="17573" spans="1:1" s="427" customFormat="1" ht="12" hidden="1" customHeight="1">
      <c r="A17573" s="426"/>
    </row>
    <row r="17574" spans="1:1" s="427" customFormat="1" ht="12" hidden="1" customHeight="1">
      <c r="A17574" s="426"/>
    </row>
    <row r="17575" spans="1:1" s="427" customFormat="1" ht="12" hidden="1" customHeight="1">
      <c r="A17575" s="426"/>
    </row>
    <row r="17576" spans="1:1" s="427" customFormat="1" ht="12" hidden="1" customHeight="1">
      <c r="A17576" s="426"/>
    </row>
    <row r="17577" spans="1:1" s="427" customFormat="1" ht="12" hidden="1" customHeight="1">
      <c r="A17577" s="426"/>
    </row>
    <row r="17578" spans="1:1" s="427" customFormat="1" ht="12" hidden="1" customHeight="1">
      <c r="A17578" s="426"/>
    </row>
    <row r="17579" spans="1:1" s="427" customFormat="1" ht="12" hidden="1" customHeight="1">
      <c r="A17579" s="426"/>
    </row>
    <row r="17580" spans="1:1" s="427" customFormat="1" ht="12" hidden="1" customHeight="1">
      <c r="A17580" s="426"/>
    </row>
    <row r="17581" spans="1:1" s="427" customFormat="1" ht="12" hidden="1" customHeight="1">
      <c r="A17581" s="426"/>
    </row>
    <row r="17582" spans="1:1" s="427" customFormat="1" ht="12" hidden="1" customHeight="1">
      <c r="A17582" s="426"/>
    </row>
    <row r="17583" spans="1:1" s="427" customFormat="1" ht="12" hidden="1" customHeight="1">
      <c r="A17583" s="426"/>
    </row>
    <row r="17584" spans="1:1" s="427" customFormat="1" ht="12" hidden="1" customHeight="1">
      <c r="A17584" s="426"/>
    </row>
    <row r="17585" spans="1:1" s="427" customFormat="1" ht="12" hidden="1" customHeight="1">
      <c r="A17585" s="426"/>
    </row>
    <row r="17586" spans="1:1" s="427" customFormat="1" ht="12" hidden="1" customHeight="1">
      <c r="A17586" s="426"/>
    </row>
    <row r="17587" spans="1:1" s="427" customFormat="1" ht="12" hidden="1" customHeight="1">
      <c r="A17587" s="426"/>
    </row>
    <row r="17588" spans="1:1" s="427" customFormat="1" ht="12" hidden="1" customHeight="1">
      <c r="A17588" s="426"/>
    </row>
    <row r="17589" spans="1:1" s="427" customFormat="1" ht="12" hidden="1" customHeight="1">
      <c r="A17589" s="426"/>
    </row>
    <row r="17590" spans="1:1" s="427" customFormat="1" ht="12" hidden="1" customHeight="1">
      <c r="A17590" s="426"/>
    </row>
    <row r="17591" spans="1:1" s="427" customFormat="1" ht="12" hidden="1" customHeight="1">
      <c r="A17591" s="426"/>
    </row>
    <row r="17592" spans="1:1" s="427" customFormat="1" ht="12" hidden="1" customHeight="1">
      <c r="A17592" s="426"/>
    </row>
    <row r="17593" spans="1:1" s="427" customFormat="1" ht="12" hidden="1" customHeight="1">
      <c r="A17593" s="426"/>
    </row>
    <row r="17594" spans="1:1" s="427" customFormat="1" ht="12" hidden="1" customHeight="1">
      <c r="A17594" s="426"/>
    </row>
    <row r="17595" spans="1:1" s="427" customFormat="1" ht="12" hidden="1" customHeight="1">
      <c r="A17595" s="426"/>
    </row>
    <row r="17596" spans="1:1" s="427" customFormat="1" ht="12" hidden="1" customHeight="1">
      <c r="A17596" s="426"/>
    </row>
    <row r="17597" spans="1:1" s="427" customFormat="1" ht="12" hidden="1" customHeight="1">
      <c r="A17597" s="426"/>
    </row>
    <row r="17598" spans="1:1" s="427" customFormat="1" ht="12" hidden="1" customHeight="1">
      <c r="A17598" s="426"/>
    </row>
    <row r="17599" spans="1:1" s="427" customFormat="1" ht="12" hidden="1" customHeight="1">
      <c r="A17599" s="426"/>
    </row>
    <row r="17600" spans="1:1" s="427" customFormat="1" ht="12" hidden="1" customHeight="1">
      <c r="A17600" s="426"/>
    </row>
    <row r="17601" spans="1:1" s="427" customFormat="1" ht="12" hidden="1" customHeight="1">
      <c r="A17601" s="426"/>
    </row>
    <row r="17602" spans="1:1" s="427" customFormat="1" ht="12" hidden="1" customHeight="1">
      <c r="A17602" s="426"/>
    </row>
    <row r="17603" spans="1:1" s="427" customFormat="1" ht="12" hidden="1" customHeight="1">
      <c r="A17603" s="426"/>
    </row>
    <row r="17604" spans="1:1" s="427" customFormat="1" ht="12" hidden="1" customHeight="1">
      <c r="A17604" s="426"/>
    </row>
    <row r="17605" spans="1:1" s="427" customFormat="1" ht="12" hidden="1" customHeight="1">
      <c r="A17605" s="426"/>
    </row>
    <row r="17606" spans="1:1" s="427" customFormat="1" ht="12" hidden="1" customHeight="1">
      <c r="A17606" s="426"/>
    </row>
    <row r="17607" spans="1:1" s="427" customFormat="1" ht="12" hidden="1" customHeight="1">
      <c r="A17607" s="426"/>
    </row>
    <row r="17608" spans="1:1" s="427" customFormat="1" ht="12" hidden="1" customHeight="1">
      <c r="A17608" s="426"/>
    </row>
    <row r="17609" spans="1:1" s="427" customFormat="1" ht="12" hidden="1" customHeight="1">
      <c r="A17609" s="426"/>
    </row>
    <row r="17610" spans="1:1" s="427" customFormat="1" ht="12" hidden="1" customHeight="1">
      <c r="A17610" s="426"/>
    </row>
    <row r="17611" spans="1:1" s="427" customFormat="1" ht="12" hidden="1" customHeight="1">
      <c r="A17611" s="426"/>
    </row>
    <row r="17612" spans="1:1" s="427" customFormat="1" ht="12" hidden="1" customHeight="1">
      <c r="A17612" s="426"/>
    </row>
    <row r="17613" spans="1:1" s="427" customFormat="1" ht="12" hidden="1" customHeight="1">
      <c r="A17613" s="426"/>
    </row>
    <row r="17614" spans="1:1" s="427" customFormat="1" ht="12" hidden="1" customHeight="1">
      <c r="A17614" s="426"/>
    </row>
    <row r="17615" spans="1:1" s="427" customFormat="1" ht="12" hidden="1" customHeight="1">
      <c r="A17615" s="426"/>
    </row>
    <row r="17616" spans="1:1" s="427" customFormat="1" ht="12" hidden="1" customHeight="1">
      <c r="A17616" s="426"/>
    </row>
    <row r="17617" spans="1:1" s="427" customFormat="1" ht="12" hidden="1" customHeight="1">
      <c r="A17617" s="426"/>
    </row>
    <row r="17618" spans="1:1" s="427" customFormat="1" ht="12" hidden="1" customHeight="1">
      <c r="A17618" s="426"/>
    </row>
    <row r="17619" spans="1:1" s="427" customFormat="1" ht="12" hidden="1" customHeight="1">
      <c r="A17619" s="426"/>
    </row>
    <row r="17620" spans="1:1" s="427" customFormat="1" ht="12" hidden="1" customHeight="1">
      <c r="A17620" s="426"/>
    </row>
    <row r="17621" spans="1:1" s="427" customFormat="1" ht="12" hidden="1" customHeight="1">
      <c r="A17621" s="426"/>
    </row>
    <row r="17622" spans="1:1" s="427" customFormat="1" ht="12" hidden="1" customHeight="1">
      <c r="A17622" s="426"/>
    </row>
    <row r="17623" spans="1:1" s="427" customFormat="1" ht="12" hidden="1" customHeight="1">
      <c r="A17623" s="426"/>
    </row>
    <row r="17624" spans="1:1" s="427" customFormat="1" ht="12" hidden="1" customHeight="1">
      <c r="A17624" s="426"/>
    </row>
    <row r="17625" spans="1:1" s="427" customFormat="1" ht="12" hidden="1" customHeight="1">
      <c r="A17625" s="426"/>
    </row>
    <row r="17626" spans="1:1" s="427" customFormat="1" ht="12" hidden="1" customHeight="1">
      <c r="A17626" s="426"/>
    </row>
    <row r="17627" spans="1:1" s="427" customFormat="1" ht="12" hidden="1" customHeight="1">
      <c r="A17627" s="426"/>
    </row>
    <row r="17628" spans="1:1" s="427" customFormat="1" ht="12" hidden="1" customHeight="1">
      <c r="A17628" s="426"/>
    </row>
    <row r="17629" spans="1:1" s="427" customFormat="1" ht="12" hidden="1" customHeight="1">
      <c r="A17629" s="426"/>
    </row>
    <row r="17630" spans="1:1" s="427" customFormat="1" ht="12" hidden="1" customHeight="1">
      <c r="A17630" s="426"/>
    </row>
    <row r="17631" spans="1:1" s="427" customFormat="1" ht="12" hidden="1" customHeight="1">
      <c r="A17631" s="426"/>
    </row>
    <row r="17632" spans="1:1" s="427" customFormat="1" ht="12" hidden="1" customHeight="1">
      <c r="A17632" s="426"/>
    </row>
    <row r="17633" spans="1:1" s="427" customFormat="1" ht="12" hidden="1" customHeight="1">
      <c r="A17633" s="426"/>
    </row>
    <row r="17634" spans="1:1" s="427" customFormat="1" ht="12" hidden="1" customHeight="1">
      <c r="A17634" s="426"/>
    </row>
    <row r="17635" spans="1:1" s="427" customFormat="1" ht="12" hidden="1" customHeight="1">
      <c r="A17635" s="426"/>
    </row>
    <row r="17636" spans="1:1" s="427" customFormat="1" ht="12" hidden="1" customHeight="1">
      <c r="A17636" s="426"/>
    </row>
    <row r="17637" spans="1:1" s="427" customFormat="1" ht="12" hidden="1" customHeight="1">
      <c r="A17637" s="426"/>
    </row>
    <row r="17638" spans="1:1" s="427" customFormat="1" ht="12" hidden="1" customHeight="1">
      <c r="A17638" s="426"/>
    </row>
    <row r="17639" spans="1:1" s="427" customFormat="1" ht="12" hidden="1" customHeight="1">
      <c r="A17639" s="426"/>
    </row>
    <row r="17640" spans="1:1" s="427" customFormat="1" ht="12" hidden="1" customHeight="1">
      <c r="A17640" s="426"/>
    </row>
    <row r="17641" spans="1:1" s="427" customFormat="1" ht="12" hidden="1" customHeight="1">
      <c r="A17641" s="426"/>
    </row>
    <row r="17642" spans="1:1" s="427" customFormat="1" ht="12" hidden="1" customHeight="1">
      <c r="A17642" s="426"/>
    </row>
    <row r="17643" spans="1:1" s="427" customFormat="1" ht="12" hidden="1" customHeight="1">
      <c r="A17643" s="426"/>
    </row>
    <row r="17644" spans="1:1" s="427" customFormat="1" ht="12" hidden="1" customHeight="1">
      <c r="A17644" s="426"/>
    </row>
    <row r="17645" spans="1:1" s="427" customFormat="1" ht="12" hidden="1" customHeight="1">
      <c r="A17645" s="426"/>
    </row>
    <row r="17646" spans="1:1" s="427" customFormat="1" ht="12" hidden="1" customHeight="1">
      <c r="A17646" s="426"/>
    </row>
    <row r="17647" spans="1:1" s="427" customFormat="1" ht="12" hidden="1" customHeight="1">
      <c r="A17647" s="426"/>
    </row>
    <row r="17648" spans="1:1" s="427" customFormat="1" ht="12" hidden="1" customHeight="1">
      <c r="A17648" s="426"/>
    </row>
    <row r="17649" spans="1:1" s="427" customFormat="1" ht="12" hidden="1" customHeight="1">
      <c r="A17649" s="426"/>
    </row>
    <row r="17650" spans="1:1" s="427" customFormat="1" ht="12" hidden="1" customHeight="1">
      <c r="A17650" s="426"/>
    </row>
    <row r="17651" spans="1:1" s="427" customFormat="1" ht="12" hidden="1" customHeight="1">
      <c r="A17651" s="426"/>
    </row>
    <row r="17652" spans="1:1" s="427" customFormat="1" ht="12" hidden="1" customHeight="1">
      <c r="A17652" s="426"/>
    </row>
    <row r="17653" spans="1:1" s="427" customFormat="1" ht="12" hidden="1" customHeight="1">
      <c r="A17653" s="426"/>
    </row>
    <row r="17654" spans="1:1" s="427" customFormat="1" ht="12" hidden="1" customHeight="1">
      <c r="A17654" s="426"/>
    </row>
    <row r="17655" spans="1:1" s="427" customFormat="1" ht="12" hidden="1" customHeight="1">
      <c r="A17655" s="426"/>
    </row>
    <row r="17656" spans="1:1" s="427" customFormat="1" ht="12" hidden="1" customHeight="1">
      <c r="A17656" s="426"/>
    </row>
    <row r="17657" spans="1:1" s="427" customFormat="1" ht="12" hidden="1" customHeight="1">
      <c r="A17657" s="426"/>
    </row>
    <row r="17658" spans="1:1" s="427" customFormat="1" ht="12" hidden="1" customHeight="1">
      <c r="A17658" s="426"/>
    </row>
    <row r="17659" spans="1:1" s="427" customFormat="1" ht="12" hidden="1" customHeight="1">
      <c r="A17659" s="426"/>
    </row>
    <row r="17660" spans="1:1" s="427" customFormat="1" ht="12" hidden="1" customHeight="1">
      <c r="A17660" s="426"/>
    </row>
    <row r="17661" spans="1:1" s="427" customFormat="1" ht="12" hidden="1" customHeight="1">
      <c r="A17661" s="426"/>
    </row>
    <row r="17662" spans="1:1" s="427" customFormat="1" ht="12" hidden="1" customHeight="1">
      <c r="A17662" s="426"/>
    </row>
    <row r="17663" spans="1:1" s="427" customFormat="1" ht="12" hidden="1" customHeight="1">
      <c r="A17663" s="426"/>
    </row>
    <row r="17664" spans="1:1" s="427" customFormat="1" ht="12" hidden="1" customHeight="1">
      <c r="A17664" s="426"/>
    </row>
    <row r="17665" spans="1:1" s="427" customFormat="1" ht="12" hidden="1" customHeight="1">
      <c r="A17665" s="426"/>
    </row>
    <row r="17666" spans="1:1" s="427" customFormat="1" ht="12" hidden="1" customHeight="1">
      <c r="A17666" s="426"/>
    </row>
    <row r="17667" spans="1:1" s="427" customFormat="1" ht="12" hidden="1" customHeight="1">
      <c r="A17667" s="426"/>
    </row>
    <row r="17668" spans="1:1" s="427" customFormat="1" ht="12" hidden="1" customHeight="1">
      <c r="A17668" s="426"/>
    </row>
    <row r="17669" spans="1:1" s="427" customFormat="1" ht="12" hidden="1" customHeight="1">
      <c r="A17669" s="426"/>
    </row>
    <row r="17670" spans="1:1" s="427" customFormat="1" ht="12" hidden="1" customHeight="1">
      <c r="A17670" s="426"/>
    </row>
    <row r="17671" spans="1:1" s="427" customFormat="1" ht="12" hidden="1" customHeight="1">
      <c r="A17671" s="426"/>
    </row>
    <row r="17672" spans="1:1" s="427" customFormat="1" ht="12" hidden="1" customHeight="1">
      <c r="A17672" s="426"/>
    </row>
    <row r="17673" spans="1:1" s="427" customFormat="1" ht="12" hidden="1" customHeight="1">
      <c r="A17673" s="426"/>
    </row>
    <row r="17674" spans="1:1" s="427" customFormat="1" ht="12" hidden="1" customHeight="1">
      <c r="A17674" s="426"/>
    </row>
    <row r="17675" spans="1:1" s="427" customFormat="1" ht="12" hidden="1" customHeight="1">
      <c r="A17675" s="426"/>
    </row>
    <row r="17676" spans="1:1" s="427" customFormat="1" ht="12" hidden="1" customHeight="1">
      <c r="A17676" s="426"/>
    </row>
    <row r="17677" spans="1:1" s="427" customFormat="1" ht="12" hidden="1" customHeight="1">
      <c r="A17677" s="426"/>
    </row>
    <row r="17678" spans="1:1" s="427" customFormat="1" ht="12" hidden="1" customHeight="1">
      <c r="A17678" s="426"/>
    </row>
    <row r="17679" spans="1:1" s="427" customFormat="1" ht="12" hidden="1" customHeight="1">
      <c r="A17679" s="426"/>
    </row>
    <row r="17680" spans="1:1" s="427" customFormat="1" ht="12" hidden="1" customHeight="1">
      <c r="A17680" s="426"/>
    </row>
    <row r="17681" spans="1:1" s="427" customFormat="1" ht="12" hidden="1" customHeight="1">
      <c r="A17681" s="426"/>
    </row>
    <row r="17682" spans="1:1" s="427" customFormat="1" ht="12" hidden="1" customHeight="1">
      <c r="A17682" s="426"/>
    </row>
    <row r="17683" spans="1:1" s="427" customFormat="1" ht="12" hidden="1" customHeight="1">
      <c r="A17683" s="426"/>
    </row>
    <row r="17684" spans="1:1" s="427" customFormat="1" ht="12" hidden="1" customHeight="1">
      <c r="A17684" s="426"/>
    </row>
    <row r="17685" spans="1:1" s="427" customFormat="1" ht="12" hidden="1" customHeight="1">
      <c r="A17685" s="426"/>
    </row>
    <row r="17686" spans="1:1" s="427" customFormat="1" ht="12" hidden="1" customHeight="1">
      <c r="A17686" s="426"/>
    </row>
    <row r="17687" spans="1:1" s="427" customFormat="1" ht="12" hidden="1" customHeight="1">
      <c r="A17687" s="426"/>
    </row>
    <row r="17688" spans="1:1" s="427" customFormat="1" ht="12" hidden="1" customHeight="1">
      <c r="A17688" s="426"/>
    </row>
    <row r="17689" spans="1:1" s="427" customFormat="1" ht="12" hidden="1" customHeight="1">
      <c r="A17689" s="426"/>
    </row>
    <row r="17690" spans="1:1" s="427" customFormat="1" ht="12" hidden="1" customHeight="1">
      <c r="A17690" s="426"/>
    </row>
    <row r="17691" spans="1:1" s="427" customFormat="1" ht="12" hidden="1" customHeight="1">
      <c r="A17691" s="426"/>
    </row>
    <row r="17692" spans="1:1" s="427" customFormat="1" ht="12" hidden="1" customHeight="1">
      <c r="A17692" s="426"/>
    </row>
    <row r="17693" spans="1:1" s="427" customFormat="1" ht="12" hidden="1" customHeight="1">
      <c r="A17693" s="426"/>
    </row>
    <row r="17694" spans="1:1" s="427" customFormat="1" ht="12" hidden="1" customHeight="1">
      <c r="A17694" s="426"/>
    </row>
    <row r="17695" spans="1:1" s="427" customFormat="1" ht="12" hidden="1" customHeight="1">
      <c r="A17695" s="426"/>
    </row>
    <row r="17696" spans="1:1" s="427" customFormat="1" ht="12" hidden="1" customHeight="1">
      <c r="A17696" s="426"/>
    </row>
    <row r="17697" spans="1:1" s="427" customFormat="1" ht="12" hidden="1" customHeight="1">
      <c r="A17697" s="426"/>
    </row>
    <row r="17698" spans="1:1" s="427" customFormat="1" ht="12" hidden="1" customHeight="1">
      <c r="A17698" s="426"/>
    </row>
    <row r="17699" spans="1:1" s="427" customFormat="1" ht="12" hidden="1" customHeight="1">
      <c r="A17699" s="426"/>
    </row>
    <row r="17700" spans="1:1" s="427" customFormat="1" ht="12" hidden="1" customHeight="1">
      <c r="A17700" s="426"/>
    </row>
    <row r="17701" spans="1:1" s="427" customFormat="1" ht="12" hidden="1" customHeight="1">
      <c r="A17701" s="426"/>
    </row>
    <row r="17702" spans="1:1" s="427" customFormat="1" ht="12" hidden="1" customHeight="1">
      <c r="A17702" s="426"/>
    </row>
    <row r="17703" spans="1:1" s="427" customFormat="1" ht="12" hidden="1" customHeight="1">
      <c r="A17703" s="426"/>
    </row>
    <row r="17704" spans="1:1" s="427" customFormat="1" ht="12" hidden="1" customHeight="1">
      <c r="A17704" s="426"/>
    </row>
    <row r="17705" spans="1:1" s="427" customFormat="1" ht="12" hidden="1" customHeight="1">
      <c r="A17705" s="426"/>
    </row>
    <row r="17706" spans="1:1" s="427" customFormat="1" ht="12" hidden="1" customHeight="1">
      <c r="A17706" s="426"/>
    </row>
    <row r="17707" spans="1:1" s="427" customFormat="1" ht="12" hidden="1" customHeight="1">
      <c r="A17707" s="426"/>
    </row>
    <row r="17708" spans="1:1" s="427" customFormat="1" ht="12" hidden="1" customHeight="1">
      <c r="A17708" s="426"/>
    </row>
    <row r="17709" spans="1:1" s="427" customFormat="1" ht="12" hidden="1" customHeight="1">
      <c r="A17709" s="426"/>
    </row>
    <row r="17710" spans="1:1" s="427" customFormat="1" ht="12" hidden="1" customHeight="1">
      <c r="A17710" s="426"/>
    </row>
    <row r="17711" spans="1:1" s="427" customFormat="1" ht="12" hidden="1" customHeight="1">
      <c r="A17711" s="426"/>
    </row>
    <row r="17712" spans="1:1" s="427" customFormat="1" ht="12" hidden="1" customHeight="1">
      <c r="A17712" s="426"/>
    </row>
    <row r="17713" spans="1:1" s="427" customFormat="1" ht="12" hidden="1" customHeight="1">
      <c r="A17713" s="426"/>
    </row>
    <row r="17714" spans="1:1" s="427" customFormat="1" ht="12" hidden="1" customHeight="1">
      <c r="A17714" s="426"/>
    </row>
    <row r="17715" spans="1:1" s="427" customFormat="1" ht="12" hidden="1" customHeight="1">
      <c r="A17715" s="426"/>
    </row>
    <row r="17716" spans="1:1" s="427" customFormat="1" ht="12" hidden="1" customHeight="1">
      <c r="A17716" s="426"/>
    </row>
    <row r="17717" spans="1:1" s="427" customFormat="1" ht="12" hidden="1" customHeight="1">
      <c r="A17717" s="426"/>
    </row>
    <row r="17718" spans="1:1" s="427" customFormat="1" ht="12" hidden="1" customHeight="1">
      <c r="A17718" s="426"/>
    </row>
    <row r="17719" spans="1:1" s="427" customFormat="1" ht="12" hidden="1" customHeight="1">
      <c r="A17719" s="426"/>
    </row>
    <row r="17720" spans="1:1" s="427" customFormat="1" ht="12" hidden="1" customHeight="1">
      <c r="A17720" s="426"/>
    </row>
    <row r="17721" spans="1:1" s="427" customFormat="1" ht="12" hidden="1" customHeight="1">
      <c r="A17721" s="426"/>
    </row>
    <row r="17722" spans="1:1" s="427" customFormat="1" ht="12" hidden="1" customHeight="1">
      <c r="A17722" s="426"/>
    </row>
    <row r="17723" spans="1:1" s="427" customFormat="1" ht="12" hidden="1" customHeight="1">
      <c r="A17723" s="426"/>
    </row>
    <row r="17724" spans="1:1" s="427" customFormat="1" ht="12" hidden="1" customHeight="1">
      <c r="A17724" s="426"/>
    </row>
    <row r="17725" spans="1:1" s="427" customFormat="1" ht="12" hidden="1" customHeight="1">
      <c r="A17725" s="426"/>
    </row>
    <row r="17726" spans="1:1" s="427" customFormat="1" ht="12" hidden="1" customHeight="1">
      <c r="A17726" s="426"/>
    </row>
    <row r="17727" spans="1:1" s="427" customFormat="1" ht="12" hidden="1" customHeight="1">
      <c r="A17727" s="426"/>
    </row>
    <row r="17728" spans="1:1" s="427" customFormat="1" ht="12" hidden="1" customHeight="1">
      <c r="A17728" s="426"/>
    </row>
    <row r="17729" spans="1:1" s="427" customFormat="1" ht="12" hidden="1" customHeight="1">
      <c r="A17729" s="426"/>
    </row>
    <row r="17730" spans="1:1" s="427" customFormat="1" ht="12" hidden="1" customHeight="1">
      <c r="A17730" s="426"/>
    </row>
    <row r="17731" spans="1:1" s="427" customFormat="1" ht="12" hidden="1" customHeight="1">
      <c r="A17731" s="426"/>
    </row>
    <row r="17732" spans="1:1" s="427" customFormat="1" ht="12" hidden="1" customHeight="1">
      <c r="A17732" s="426"/>
    </row>
    <row r="17733" spans="1:1" s="427" customFormat="1" ht="12" hidden="1" customHeight="1">
      <c r="A17733" s="426"/>
    </row>
    <row r="17734" spans="1:1" s="427" customFormat="1" ht="12" hidden="1" customHeight="1">
      <c r="A17734" s="426"/>
    </row>
    <row r="17735" spans="1:1" s="427" customFormat="1" ht="12" hidden="1" customHeight="1">
      <c r="A17735" s="426"/>
    </row>
    <row r="17736" spans="1:1" s="427" customFormat="1" ht="12" hidden="1" customHeight="1">
      <c r="A17736" s="426"/>
    </row>
    <row r="17737" spans="1:1" s="427" customFormat="1" ht="12" hidden="1" customHeight="1">
      <c r="A17737" s="426"/>
    </row>
    <row r="17738" spans="1:1" s="427" customFormat="1" ht="12" hidden="1" customHeight="1">
      <c r="A17738" s="426"/>
    </row>
    <row r="17739" spans="1:1" s="427" customFormat="1" ht="12" hidden="1" customHeight="1">
      <c r="A17739" s="426"/>
    </row>
    <row r="17740" spans="1:1" s="427" customFormat="1" ht="12" hidden="1" customHeight="1">
      <c r="A17740" s="426"/>
    </row>
    <row r="17741" spans="1:1" s="427" customFormat="1" ht="12" hidden="1" customHeight="1">
      <c r="A17741" s="426"/>
    </row>
    <row r="17742" spans="1:1" s="427" customFormat="1" ht="12" hidden="1" customHeight="1">
      <c r="A17742" s="426"/>
    </row>
    <row r="17743" spans="1:1" s="427" customFormat="1" ht="12" hidden="1" customHeight="1">
      <c r="A17743" s="426"/>
    </row>
    <row r="17744" spans="1:1" s="427" customFormat="1" ht="12" hidden="1" customHeight="1">
      <c r="A17744" s="426"/>
    </row>
    <row r="17745" spans="1:1" s="427" customFormat="1" ht="12" hidden="1" customHeight="1">
      <c r="A17745" s="426"/>
    </row>
    <row r="17746" spans="1:1" s="427" customFormat="1" ht="12" hidden="1" customHeight="1">
      <c r="A17746" s="426"/>
    </row>
    <row r="17747" spans="1:1" s="427" customFormat="1" ht="12" hidden="1" customHeight="1">
      <c r="A17747" s="426"/>
    </row>
    <row r="17748" spans="1:1" s="427" customFormat="1" ht="12" hidden="1" customHeight="1">
      <c r="A17748" s="426"/>
    </row>
    <row r="17749" spans="1:1" s="427" customFormat="1" ht="12" hidden="1" customHeight="1">
      <c r="A17749" s="426"/>
    </row>
    <row r="17750" spans="1:1" s="427" customFormat="1" ht="12" hidden="1" customHeight="1">
      <c r="A17750" s="426"/>
    </row>
    <row r="17751" spans="1:1" s="427" customFormat="1" ht="12" hidden="1" customHeight="1">
      <c r="A17751" s="426"/>
    </row>
    <row r="17752" spans="1:1" s="427" customFormat="1" ht="12" hidden="1" customHeight="1">
      <c r="A17752" s="426"/>
    </row>
    <row r="17753" spans="1:1" s="427" customFormat="1" ht="12" hidden="1" customHeight="1">
      <c r="A17753" s="426"/>
    </row>
    <row r="17754" spans="1:1" s="427" customFormat="1" ht="12" hidden="1" customHeight="1">
      <c r="A17754" s="426"/>
    </row>
    <row r="17755" spans="1:1" s="427" customFormat="1" ht="12" hidden="1" customHeight="1">
      <c r="A17755" s="426"/>
    </row>
    <row r="17756" spans="1:1" s="427" customFormat="1" ht="12" hidden="1" customHeight="1">
      <c r="A17756" s="426"/>
    </row>
    <row r="17757" spans="1:1" s="427" customFormat="1" ht="12" hidden="1" customHeight="1">
      <c r="A17757" s="426"/>
    </row>
    <row r="17758" spans="1:1" s="427" customFormat="1" ht="12" hidden="1" customHeight="1">
      <c r="A17758" s="426"/>
    </row>
    <row r="17759" spans="1:1" s="427" customFormat="1" ht="12" hidden="1" customHeight="1">
      <c r="A17759" s="426"/>
    </row>
    <row r="17760" spans="1:1" s="427" customFormat="1" ht="12" hidden="1" customHeight="1">
      <c r="A17760" s="426"/>
    </row>
    <row r="17761" spans="1:1" s="427" customFormat="1" ht="12" hidden="1" customHeight="1">
      <c r="A17761" s="426"/>
    </row>
    <row r="17762" spans="1:1" s="427" customFormat="1" ht="12" hidden="1" customHeight="1">
      <c r="A17762" s="426"/>
    </row>
    <row r="17763" spans="1:1" s="427" customFormat="1" ht="12" hidden="1" customHeight="1">
      <c r="A17763" s="426"/>
    </row>
    <row r="17764" spans="1:1" s="427" customFormat="1" ht="12" hidden="1" customHeight="1">
      <c r="A17764" s="426"/>
    </row>
    <row r="17765" spans="1:1" s="427" customFormat="1" ht="12" hidden="1" customHeight="1">
      <c r="A17765" s="426"/>
    </row>
    <row r="17766" spans="1:1" s="427" customFormat="1" ht="12" hidden="1" customHeight="1">
      <c r="A17766" s="426"/>
    </row>
    <row r="17767" spans="1:1" s="427" customFormat="1" ht="12" hidden="1" customHeight="1">
      <c r="A17767" s="426"/>
    </row>
    <row r="17768" spans="1:1" s="427" customFormat="1" ht="12" hidden="1" customHeight="1">
      <c r="A17768" s="426"/>
    </row>
    <row r="17769" spans="1:1" s="427" customFormat="1" ht="12" hidden="1" customHeight="1">
      <c r="A17769" s="426"/>
    </row>
    <row r="17770" spans="1:1" s="427" customFormat="1" ht="12" hidden="1" customHeight="1">
      <c r="A17770" s="426"/>
    </row>
    <row r="17771" spans="1:1" s="427" customFormat="1" ht="12" hidden="1" customHeight="1">
      <c r="A17771" s="426"/>
    </row>
    <row r="17772" spans="1:1" s="427" customFormat="1" ht="12" hidden="1" customHeight="1">
      <c r="A17772" s="426"/>
    </row>
    <row r="17773" spans="1:1" s="427" customFormat="1" ht="12" hidden="1" customHeight="1">
      <c r="A17773" s="426"/>
    </row>
    <row r="17774" spans="1:1" s="427" customFormat="1" ht="12" hidden="1" customHeight="1">
      <c r="A17774" s="426"/>
    </row>
    <row r="17775" spans="1:1" s="427" customFormat="1" ht="12" hidden="1" customHeight="1">
      <c r="A17775" s="426"/>
    </row>
    <row r="17776" spans="1:1" s="427" customFormat="1" ht="12" hidden="1" customHeight="1">
      <c r="A17776" s="426"/>
    </row>
    <row r="17777" spans="1:1" s="427" customFormat="1" ht="12" hidden="1" customHeight="1">
      <c r="A17777" s="426"/>
    </row>
    <row r="17778" spans="1:1" s="427" customFormat="1" ht="12" hidden="1" customHeight="1">
      <c r="A17778" s="426"/>
    </row>
    <row r="17779" spans="1:1" s="427" customFormat="1" ht="12" hidden="1" customHeight="1">
      <c r="A17779" s="426"/>
    </row>
    <row r="17780" spans="1:1" s="427" customFormat="1" ht="12" hidden="1" customHeight="1">
      <c r="A17780" s="426"/>
    </row>
    <row r="17781" spans="1:1" s="427" customFormat="1" ht="12" hidden="1" customHeight="1">
      <c r="A17781" s="426"/>
    </row>
    <row r="17782" spans="1:1" s="427" customFormat="1" ht="12" hidden="1" customHeight="1">
      <c r="A17782" s="426"/>
    </row>
    <row r="17783" spans="1:1" s="427" customFormat="1" ht="12" hidden="1" customHeight="1">
      <c r="A17783" s="426"/>
    </row>
    <row r="17784" spans="1:1" s="427" customFormat="1" ht="12" hidden="1" customHeight="1">
      <c r="A17784" s="426"/>
    </row>
    <row r="17785" spans="1:1" s="427" customFormat="1" ht="12" hidden="1" customHeight="1">
      <c r="A17785" s="426"/>
    </row>
    <row r="17786" spans="1:1" s="427" customFormat="1" ht="12" hidden="1" customHeight="1">
      <c r="A17786" s="426"/>
    </row>
    <row r="17787" spans="1:1" s="427" customFormat="1" ht="12" hidden="1" customHeight="1">
      <c r="A17787" s="426"/>
    </row>
    <row r="17788" spans="1:1" s="427" customFormat="1" ht="12" hidden="1" customHeight="1">
      <c r="A17788" s="426"/>
    </row>
    <row r="17789" spans="1:1" s="427" customFormat="1" ht="12" hidden="1" customHeight="1">
      <c r="A17789" s="426"/>
    </row>
    <row r="17790" spans="1:1" s="427" customFormat="1" ht="12" hidden="1" customHeight="1">
      <c r="A17790" s="426"/>
    </row>
    <row r="17791" spans="1:1" s="427" customFormat="1" ht="12" hidden="1" customHeight="1">
      <c r="A17791" s="426"/>
    </row>
    <row r="17792" spans="1:1" s="427" customFormat="1" ht="12" hidden="1" customHeight="1">
      <c r="A17792" s="426"/>
    </row>
    <row r="17793" spans="1:1" s="427" customFormat="1" ht="12" hidden="1" customHeight="1">
      <c r="A17793" s="426"/>
    </row>
    <row r="17794" spans="1:1" s="427" customFormat="1" ht="12" hidden="1" customHeight="1">
      <c r="A17794" s="426"/>
    </row>
    <row r="17795" spans="1:1" s="427" customFormat="1" ht="12" hidden="1" customHeight="1">
      <c r="A17795" s="426"/>
    </row>
    <row r="17796" spans="1:1" s="427" customFormat="1" ht="12" hidden="1" customHeight="1">
      <c r="A17796" s="426"/>
    </row>
    <row r="17797" spans="1:1" s="427" customFormat="1" ht="12" hidden="1" customHeight="1">
      <c r="A17797" s="426"/>
    </row>
    <row r="17798" spans="1:1" s="427" customFormat="1" ht="12" hidden="1" customHeight="1">
      <c r="A17798" s="426"/>
    </row>
    <row r="17799" spans="1:1" s="427" customFormat="1" ht="12" hidden="1" customHeight="1">
      <c r="A17799" s="426"/>
    </row>
    <row r="17800" spans="1:1" s="427" customFormat="1" ht="12" hidden="1" customHeight="1">
      <c r="A17800" s="426"/>
    </row>
    <row r="17801" spans="1:1" s="427" customFormat="1" ht="12" hidden="1" customHeight="1">
      <c r="A17801" s="426"/>
    </row>
    <row r="17802" spans="1:1" s="427" customFormat="1" ht="12" hidden="1" customHeight="1">
      <c r="A17802" s="426"/>
    </row>
    <row r="17803" spans="1:1" s="427" customFormat="1" ht="12" hidden="1" customHeight="1">
      <c r="A17803" s="426"/>
    </row>
    <row r="17804" spans="1:1" s="427" customFormat="1" ht="12" hidden="1" customHeight="1">
      <c r="A17804" s="426"/>
    </row>
    <row r="17805" spans="1:1" s="427" customFormat="1" ht="12" hidden="1" customHeight="1">
      <c r="A17805" s="426"/>
    </row>
    <row r="17806" spans="1:1" s="427" customFormat="1" ht="12" hidden="1" customHeight="1">
      <c r="A17806" s="426"/>
    </row>
    <row r="17807" spans="1:1" s="427" customFormat="1" ht="12" hidden="1" customHeight="1">
      <c r="A17807" s="426"/>
    </row>
    <row r="17808" spans="1:1" s="427" customFormat="1" ht="12" hidden="1" customHeight="1">
      <c r="A17808" s="426"/>
    </row>
    <row r="17809" spans="1:1" s="427" customFormat="1" ht="12" hidden="1" customHeight="1">
      <c r="A17809" s="426"/>
    </row>
    <row r="17810" spans="1:1" s="427" customFormat="1" ht="12" hidden="1" customHeight="1">
      <c r="A17810" s="426"/>
    </row>
    <row r="17811" spans="1:1" s="427" customFormat="1" ht="12" hidden="1" customHeight="1">
      <c r="A17811" s="426"/>
    </row>
    <row r="17812" spans="1:1" s="427" customFormat="1" ht="12" hidden="1" customHeight="1">
      <c r="A17812" s="426"/>
    </row>
    <row r="17813" spans="1:1" s="427" customFormat="1" ht="12" hidden="1" customHeight="1">
      <c r="A17813" s="426"/>
    </row>
    <row r="17814" spans="1:1" s="427" customFormat="1" ht="12" hidden="1" customHeight="1">
      <c r="A17814" s="426"/>
    </row>
    <row r="17815" spans="1:1" s="427" customFormat="1" ht="12" hidden="1" customHeight="1">
      <c r="A17815" s="426"/>
    </row>
    <row r="17816" spans="1:1" s="427" customFormat="1" ht="12" hidden="1" customHeight="1">
      <c r="A17816" s="426"/>
    </row>
    <row r="17817" spans="1:1" s="427" customFormat="1" ht="12" hidden="1" customHeight="1">
      <c r="A17817" s="426"/>
    </row>
    <row r="17818" spans="1:1" s="427" customFormat="1" ht="12" hidden="1" customHeight="1">
      <c r="A17818" s="426"/>
    </row>
    <row r="17819" spans="1:1" s="427" customFormat="1" ht="12" hidden="1" customHeight="1">
      <c r="A17819" s="426"/>
    </row>
    <row r="17820" spans="1:1" s="427" customFormat="1" ht="12" hidden="1" customHeight="1">
      <c r="A17820" s="426"/>
    </row>
    <row r="17821" spans="1:1" s="427" customFormat="1" ht="12" hidden="1" customHeight="1">
      <c r="A17821" s="426"/>
    </row>
    <row r="17822" spans="1:1" s="427" customFormat="1" ht="12" hidden="1" customHeight="1">
      <c r="A17822" s="426"/>
    </row>
    <row r="17823" spans="1:1" s="427" customFormat="1" ht="12" hidden="1" customHeight="1">
      <c r="A17823" s="426"/>
    </row>
    <row r="17824" spans="1:1" s="427" customFormat="1" ht="12" hidden="1" customHeight="1">
      <c r="A17824" s="426"/>
    </row>
    <row r="17825" spans="1:1" s="427" customFormat="1" ht="12" hidden="1" customHeight="1">
      <c r="A17825" s="426"/>
    </row>
    <row r="17826" spans="1:1" s="427" customFormat="1" ht="12" hidden="1" customHeight="1">
      <c r="A17826" s="426"/>
    </row>
    <row r="17827" spans="1:1" s="427" customFormat="1" ht="12" hidden="1" customHeight="1">
      <c r="A17827" s="426"/>
    </row>
    <row r="17828" spans="1:1" s="427" customFormat="1" ht="12" hidden="1" customHeight="1">
      <c r="A17828" s="426"/>
    </row>
    <row r="17829" spans="1:1" s="427" customFormat="1" ht="12" hidden="1" customHeight="1">
      <c r="A17829" s="426"/>
    </row>
    <row r="17830" spans="1:1" s="427" customFormat="1" ht="12" hidden="1" customHeight="1">
      <c r="A17830" s="426"/>
    </row>
    <row r="17831" spans="1:1" s="427" customFormat="1" ht="12" hidden="1" customHeight="1">
      <c r="A17831" s="426"/>
    </row>
    <row r="17832" spans="1:1" s="427" customFormat="1" ht="12" hidden="1" customHeight="1">
      <c r="A17832" s="426"/>
    </row>
    <row r="17833" spans="1:1" s="427" customFormat="1" ht="12" hidden="1" customHeight="1">
      <c r="A17833" s="426"/>
    </row>
    <row r="17834" spans="1:1" s="427" customFormat="1" ht="12" hidden="1" customHeight="1">
      <c r="A17834" s="426"/>
    </row>
    <row r="17835" spans="1:1" s="427" customFormat="1" ht="12" hidden="1" customHeight="1">
      <c r="A17835" s="426"/>
    </row>
    <row r="17836" spans="1:1" s="427" customFormat="1" ht="12" hidden="1" customHeight="1">
      <c r="A17836" s="426"/>
    </row>
    <row r="17837" spans="1:1" s="427" customFormat="1" ht="12" hidden="1" customHeight="1">
      <c r="A17837" s="426"/>
    </row>
    <row r="17838" spans="1:1" s="427" customFormat="1" ht="12" hidden="1" customHeight="1">
      <c r="A17838" s="426"/>
    </row>
    <row r="17839" spans="1:1" s="427" customFormat="1" ht="12" hidden="1" customHeight="1">
      <c r="A17839" s="426"/>
    </row>
    <row r="17840" spans="1:1" s="427" customFormat="1" ht="12" hidden="1" customHeight="1">
      <c r="A17840" s="426"/>
    </row>
    <row r="17841" spans="1:1" s="427" customFormat="1" ht="12" hidden="1" customHeight="1">
      <c r="A17841" s="426"/>
    </row>
    <row r="17842" spans="1:1" s="427" customFormat="1" ht="12" hidden="1" customHeight="1">
      <c r="A17842" s="426"/>
    </row>
    <row r="17843" spans="1:1" s="427" customFormat="1" ht="12" hidden="1" customHeight="1">
      <c r="A17843" s="426"/>
    </row>
    <row r="17844" spans="1:1" s="427" customFormat="1" ht="12" hidden="1" customHeight="1">
      <c r="A17844" s="426"/>
    </row>
    <row r="17845" spans="1:1" s="427" customFormat="1" ht="12" hidden="1" customHeight="1">
      <c r="A17845" s="426"/>
    </row>
    <row r="17846" spans="1:1" s="427" customFormat="1" ht="12" hidden="1" customHeight="1">
      <c r="A17846" s="426"/>
    </row>
    <row r="17847" spans="1:1" s="427" customFormat="1" ht="12" hidden="1" customHeight="1">
      <c r="A17847" s="426"/>
    </row>
    <row r="17848" spans="1:1" s="427" customFormat="1" ht="12" hidden="1" customHeight="1">
      <c r="A17848" s="426"/>
    </row>
    <row r="17849" spans="1:1" s="427" customFormat="1" ht="12" hidden="1" customHeight="1">
      <c r="A17849" s="426"/>
    </row>
    <row r="17850" spans="1:1" s="427" customFormat="1" ht="12" hidden="1" customHeight="1">
      <c r="A17850" s="426"/>
    </row>
    <row r="17851" spans="1:1" s="427" customFormat="1" ht="12" hidden="1" customHeight="1">
      <c r="A17851" s="426"/>
    </row>
    <row r="17852" spans="1:1" s="427" customFormat="1" ht="12" hidden="1" customHeight="1">
      <c r="A17852" s="426"/>
    </row>
    <row r="17853" spans="1:1" s="427" customFormat="1" ht="12" hidden="1" customHeight="1">
      <c r="A17853" s="426"/>
    </row>
    <row r="17854" spans="1:1" s="427" customFormat="1" ht="12" hidden="1" customHeight="1">
      <c r="A17854" s="426"/>
    </row>
    <row r="17855" spans="1:1" s="427" customFormat="1" ht="12" hidden="1" customHeight="1">
      <c r="A17855" s="426"/>
    </row>
    <row r="17856" spans="1:1" s="427" customFormat="1" ht="12" hidden="1" customHeight="1">
      <c r="A17856" s="426"/>
    </row>
    <row r="17857" spans="1:1" s="427" customFormat="1" ht="12" hidden="1" customHeight="1">
      <c r="A17857" s="426"/>
    </row>
    <row r="17858" spans="1:1" s="427" customFormat="1" ht="12" hidden="1" customHeight="1">
      <c r="A17858" s="426"/>
    </row>
    <row r="17859" spans="1:1" s="427" customFormat="1" ht="12" hidden="1" customHeight="1">
      <c r="A17859" s="426"/>
    </row>
    <row r="17860" spans="1:1" s="427" customFormat="1" ht="12" hidden="1" customHeight="1">
      <c r="A17860" s="426"/>
    </row>
    <row r="17861" spans="1:1" s="427" customFormat="1" ht="12" hidden="1" customHeight="1">
      <c r="A17861" s="426"/>
    </row>
    <row r="17862" spans="1:1" s="427" customFormat="1" ht="12" hidden="1" customHeight="1">
      <c r="A17862" s="426"/>
    </row>
    <row r="17863" spans="1:1" s="427" customFormat="1" ht="12" hidden="1" customHeight="1">
      <c r="A17863" s="426"/>
    </row>
    <row r="17864" spans="1:1" s="427" customFormat="1" ht="12" hidden="1" customHeight="1">
      <c r="A17864" s="426"/>
    </row>
    <row r="17865" spans="1:1" s="427" customFormat="1" ht="12" hidden="1" customHeight="1">
      <c r="A17865" s="426"/>
    </row>
    <row r="17866" spans="1:1" s="427" customFormat="1" ht="12" hidden="1" customHeight="1">
      <c r="A17866" s="426"/>
    </row>
    <row r="17867" spans="1:1" s="427" customFormat="1" ht="12" hidden="1" customHeight="1">
      <c r="A17867" s="426"/>
    </row>
    <row r="17868" spans="1:1" s="427" customFormat="1" ht="12" hidden="1" customHeight="1">
      <c r="A17868" s="426"/>
    </row>
    <row r="17869" spans="1:1" s="427" customFormat="1" ht="12" hidden="1" customHeight="1">
      <c r="A17869" s="426"/>
    </row>
    <row r="17870" spans="1:1" s="427" customFormat="1" ht="12" hidden="1" customHeight="1">
      <c r="A17870" s="426"/>
    </row>
    <row r="17871" spans="1:1" s="427" customFormat="1" ht="12" hidden="1" customHeight="1">
      <c r="A17871" s="426"/>
    </row>
    <row r="17872" spans="1:1" s="427" customFormat="1" ht="12" hidden="1" customHeight="1">
      <c r="A17872" s="426"/>
    </row>
    <row r="17873" spans="1:1" s="427" customFormat="1" ht="12" hidden="1" customHeight="1">
      <c r="A17873" s="426"/>
    </row>
    <row r="17874" spans="1:1" s="427" customFormat="1" ht="12" hidden="1" customHeight="1">
      <c r="A17874" s="426"/>
    </row>
    <row r="17875" spans="1:1" s="427" customFormat="1" ht="12" hidden="1" customHeight="1">
      <c r="A17875" s="426"/>
    </row>
    <row r="17876" spans="1:1" s="427" customFormat="1" ht="12" hidden="1" customHeight="1">
      <c r="A17876" s="426"/>
    </row>
    <row r="17877" spans="1:1" s="427" customFormat="1" ht="12" hidden="1" customHeight="1">
      <c r="A17877" s="426"/>
    </row>
    <row r="17878" spans="1:1" s="427" customFormat="1" ht="12" hidden="1" customHeight="1">
      <c r="A17878" s="426"/>
    </row>
    <row r="17879" spans="1:1" s="427" customFormat="1" ht="12" hidden="1" customHeight="1">
      <c r="A17879" s="426"/>
    </row>
    <row r="17880" spans="1:1" s="427" customFormat="1" ht="12" hidden="1" customHeight="1">
      <c r="A17880" s="426"/>
    </row>
    <row r="17881" spans="1:1" s="427" customFormat="1" ht="12" hidden="1" customHeight="1">
      <c r="A17881" s="426"/>
    </row>
    <row r="17882" spans="1:1" s="427" customFormat="1" ht="12" hidden="1" customHeight="1">
      <c r="A17882" s="426"/>
    </row>
    <row r="17883" spans="1:1" s="427" customFormat="1" ht="12" hidden="1" customHeight="1">
      <c r="A17883" s="426"/>
    </row>
    <row r="17884" spans="1:1" s="427" customFormat="1" ht="12" hidden="1" customHeight="1">
      <c r="A17884" s="426"/>
    </row>
    <row r="17885" spans="1:1" s="427" customFormat="1" ht="12" hidden="1" customHeight="1">
      <c r="A17885" s="426"/>
    </row>
    <row r="17886" spans="1:1" s="427" customFormat="1" ht="12" hidden="1" customHeight="1">
      <c r="A17886" s="426"/>
    </row>
    <row r="17887" spans="1:1" s="427" customFormat="1" ht="12" hidden="1" customHeight="1">
      <c r="A17887" s="426"/>
    </row>
    <row r="17888" spans="1:1" s="427" customFormat="1" ht="12" hidden="1" customHeight="1">
      <c r="A17888" s="426"/>
    </row>
    <row r="17889" spans="1:1" s="427" customFormat="1" ht="12" hidden="1" customHeight="1">
      <c r="A17889" s="426"/>
    </row>
    <row r="17890" spans="1:1" s="427" customFormat="1" ht="12" hidden="1" customHeight="1">
      <c r="A17890" s="426"/>
    </row>
    <row r="17891" spans="1:1" s="427" customFormat="1" ht="12" hidden="1" customHeight="1">
      <c r="A17891" s="426"/>
    </row>
    <row r="17892" spans="1:1" s="427" customFormat="1" ht="12" hidden="1" customHeight="1">
      <c r="A17892" s="426"/>
    </row>
    <row r="17893" spans="1:1" s="427" customFormat="1" ht="12" hidden="1" customHeight="1">
      <c r="A17893" s="426"/>
    </row>
    <row r="17894" spans="1:1" s="427" customFormat="1" ht="12" hidden="1" customHeight="1">
      <c r="A17894" s="426"/>
    </row>
    <row r="17895" spans="1:1" s="427" customFormat="1" ht="12" hidden="1" customHeight="1">
      <c r="A17895" s="426"/>
    </row>
    <row r="17896" spans="1:1" s="427" customFormat="1" ht="12" hidden="1" customHeight="1">
      <c r="A17896" s="426"/>
    </row>
    <row r="17897" spans="1:1" s="427" customFormat="1" ht="12" hidden="1" customHeight="1">
      <c r="A17897" s="426"/>
    </row>
    <row r="17898" spans="1:1" s="427" customFormat="1" ht="12" hidden="1" customHeight="1">
      <c r="A17898" s="426"/>
    </row>
    <row r="17899" spans="1:1" s="427" customFormat="1" ht="12" hidden="1" customHeight="1">
      <c r="A17899" s="426"/>
    </row>
    <row r="17900" spans="1:1" s="427" customFormat="1" ht="12" hidden="1" customHeight="1">
      <c r="A17900" s="426"/>
    </row>
    <row r="17901" spans="1:1" s="427" customFormat="1" ht="12" hidden="1" customHeight="1">
      <c r="A17901" s="426"/>
    </row>
    <row r="17902" spans="1:1" s="427" customFormat="1" ht="12" hidden="1" customHeight="1">
      <c r="A17902" s="426"/>
    </row>
    <row r="17903" spans="1:1" s="427" customFormat="1" ht="12" hidden="1" customHeight="1">
      <c r="A17903" s="426"/>
    </row>
    <row r="17904" spans="1:1" s="427" customFormat="1" ht="12" hidden="1" customHeight="1">
      <c r="A17904" s="426"/>
    </row>
    <row r="17905" spans="1:1" s="427" customFormat="1" ht="12" hidden="1" customHeight="1">
      <c r="A17905" s="426"/>
    </row>
    <row r="17906" spans="1:1" s="427" customFormat="1" ht="12" hidden="1" customHeight="1">
      <c r="A17906" s="426"/>
    </row>
    <row r="17907" spans="1:1" s="427" customFormat="1" ht="12" hidden="1" customHeight="1">
      <c r="A17907" s="426"/>
    </row>
    <row r="17908" spans="1:1" s="427" customFormat="1" ht="12" hidden="1" customHeight="1">
      <c r="A17908" s="426"/>
    </row>
    <row r="17909" spans="1:1" s="427" customFormat="1" ht="12" hidden="1" customHeight="1">
      <c r="A17909" s="426"/>
    </row>
    <row r="17910" spans="1:1" s="427" customFormat="1" ht="12" hidden="1" customHeight="1">
      <c r="A17910" s="426"/>
    </row>
    <row r="17911" spans="1:1" s="427" customFormat="1" ht="12" hidden="1" customHeight="1">
      <c r="A17911" s="426"/>
    </row>
    <row r="17912" spans="1:1" s="427" customFormat="1" ht="12" hidden="1" customHeight="1">
      <c r="A17912" s="426"/>
    </row>
    <row r="17913" spans="1:1" s="427" customFormat="1" ht="12" hidden="1" customHeight="1">
      <c r="A17913" s="426"/>
    </row>
    <row r="17914" spans="1:1" s="427" customFormat="1" ht="12" hidden="1" customHeight="1">
      <c r="A17914" s="426"/>
    </row>
    <row r="17915" spans="1:1" s="427" customFormat="1" ht="12" hidden="1" customHeight="1">
      <c r="A17915" s="426"/>
    </row>
    <row r="17916" spans="1:1" s="427" customFormat="1" ht="12" hidden="1" customHeight="1">
      <c r="A17916" s="426"/>
    </row>
    <row r="17917" spans="1:1" s="427" customFormat="1" ht="12" hidden="1" customHeight="1">
      <c r="A17917" s="426"/>
    </row>
    <row r="17918" spans="1:1" s="427" customFormat="1" ht="12" hidden="1" customHeight="1">
      <c r="A17918" s="426"/>
    </row>
    <row r="17919" spans="1:1" s="427" customFormat="1" ht="12" hidden="1" customHeight="1">
      <c r="A17919" s="426"/>
    </row>
    <row r="17920" spans="1:1" s="427" customFormat="1" ht="12" hidden="1" customHeight="1">
      <c r="A17920" s="426"/>
    </row>
    <row r="17921" spans="1:1" s="427" customFormat="1" ht="12" hidden="1" customHeight="1">
      <c r="A17921" s="426"/>
    </row>
    <row r="17922" spans="1:1" s="427" customFormat="1" ht="12" hidden="1" customHeight="1">
      <c r="A17922" s="426"/>
    </row>
    <row r="17923" spans="1:1" s="427" customFormat="1" ht="12" hidden="1" customHeight="1">
      <c r="A17923" s="426"/>
    </row>
    <row r="17924" spans="1:1" s="427" customFormat="1" ht="12" hidden="1" customHeight="1">
      <c r="A17924" s="426"/>
    </row>
    <row r="17925" spans="1:1" s="427" customFormat="1" ht="12" hidden="1" customHeight="1">
      <c r="A17925" s="426"/>
    </row>
    <row r="17926" spans="1:1" s="427" customFormat="1" ht="12" hidden="1" customHeight="1">
      <c r="A17926" s="426"/>
    </row>
    <row r="17927" spans="1:1" s="427" customFormat="1" ht="12" hidden="1" customHeight="1">
      <c r="A17927" s="426"/>
    </row>
    <row r="17928" spans="1:1" s="427" customFormat="1" ht="12" hidden="1" customHeight="1">
      <c r="A17928" s="426"/>
    </row>
    <row r="17929" spans="1:1" s="427" customFormat="1" ht="12" hidden="1" customHeight="1">
      <c r="A17929" s="426"/>
    </row>
    <row r="17930" spans="1:1" s="427" customFormat="1" ht="12" hidden="1" customHeight="1">
      <c r="A17930" s="426"/>
    </row>
    <row r="17931" spans="1:1" s="427" customFormat="1" ht="12" hidden="1" customHeight="1">
      <c r="A17931" s="426"/>
    </row>
    <row r="17932" spans="1:1" s="427" customFormat="1" ht="12" hidden="1" customHeight="1">
      <c r="A17932" s="426"/>
    </row>
    <row r="17933" spans="1:1" s="427" customFormat="1" ht="12" hidden="1" customHeight="1">
      <c r="A17933" s="426"/>
    </row>
    <row r="17934" spans="1:1" s="427" customFormat="1" ht="12" hidden="1" customHeight="1">
      <c r="A17934" s="426"/>
    </row>
    <row r="17935" spans="1:1" s="427" customFormat="1" ht="12" hidden="1" customHeight="1">
      <c r="A17935" s="426"/>
    </row>
    <row r="17936" spans="1:1" s="427" customFormat="1" ht="12" hidden="1" customHeight="1">
      <c r="A17936" s="426"/>
    </row>
    <row r="17937" spans="1:1" s="427" customFormat="1" ht="12" hidden="1" customHeight="1">
      <c r="A17937" s="426"/>
    </row>
    <row r="17938" spans="1:1" s="427" customFormat="1" ht="12" hidden="1" customHeight="1">
      <c r="A17938" s="426"/>
    </row>
    <row r="17939" spans="1:1" s="427" customFormat="1" ht="12" hidden="1" customHeight="1">
      <c r="A17939" s="426"/>
    </row>
    <row r="17940" spans="1:1" s="427" customFormat="1" ht="12" hidden="1" customHeight="1">
      <c r="A17940" s="426"/>
    </row>
    <row r="17941" spans="1:1" s="427" customFormat="1" ht="12" hidden="1" customHeight="1">
      <c r="A17941" s="426"/>
    </row>
    <row r="17942" spans="1:1" s="427" customFormat="1" ht="12" hidden="1" customHeight="1">
      <c r="A17942" s="426"/>
    </row>
    <row r="17943" spans="1:1" s="427" customFormat="1" ht="12" hidden="1" customHeight="1">
      <c r="A17943" s="426"/>
    </row>
    <row r="17944" spans="1:1" s="427" customFormat="1" ht="12" hidden="1" customHeight="1">
      <c r="A17944" s="426"/>
    </row>
    <row r="17945" spans="1:1" s="427" customFormat="1" ht="12" hidden="1" customHeight="1">
      <c r="A17945" s="426"/>
    </row>
    <row r="17946" spans="1:1" s="427" customFormat="1" ht="12" hidden="1" customHeight="1">
      <c r="A17946" s="426"/>
    </row>
    <row r="17947" spans="1:1" s="427" customFormat="1" ht="12" hidden="1" customHeight="1">
      <c r="A17947" s="426"/>
    </row>
    <row r="17948" spans="1:1" s="427" customFormat="1" ht="12" hidden="1" customHeight="1">
      <c r="A17948" s="426"/>
    </row>
    <row r="17949" spans="1:1" s="427" customFormat="1" ht="12" hidden="1" customHeight="1">
      <c r="A17949" s="426"/>
    </row>
    <row r="17950" spans="1:1" s="427" customFormat="1" ht="12" hidden="1" customHeight="1">
      <c r="A17950" s="426"/>
    </row>
    <row r="17951" spans="1:1" s="427" customFormat="1" ht="12" hidden="1" customHeight="1">
      <c r="A17951" s="426"/>
    </row>
    <row r="17952" spans="1:1" s="427" customFormat="1" ht="12" hidden="1" customHeight="1">
      <c r="A17952" s="426"/>
    </row>
    <row r="17953" spans="1:1" s="427" customFormat="1" ht="12" hidden="1" customHeight="1">
      <c r="A17953" s="426"/>
    </row>
    <row r="17954" spans="1:1" s="427" customFormat="1" ht="12" hidden="1" customHeight="1">
      <c r="A17954" s="426"/>
    </row>
    <row r="17955" spans="1:1" s="427" customFormat="1" ht="12" hidden="1" customHeight="1">
      <c r="A17955" s="426"/>
    </row>
    <row r="17956" spans="1:1" s="427" customFormat="1" ht="12" hidden="1" customHeight="1">
      <c r="A17956" s="426"/>
    </row>
    <row r="17957" spans="1:1" s="427" customFormat="1" ht="12" hidden="1" customHeight="1">
      <c r="A17957" s="426"/>
    </row>
    <row r="17958" spans="1:1" s="427" customFormat="1" ht="12" hidden="1" customHeight="1">
      <c r="A17958" s="426"/>
    </row>
    <row r="17959" spans="1:1" s="427" customFormat="1" ht="12" hidden="1" customHeight="1">
      <c r="A17959" s="426"/>
    </row>
    <row r="17960" spans="1:1" s="427" customFormat="1" ht="12" hidden="1" customHeight="1">
      <c r="A17960" s="426"/>
    </row>
    <row r="17961" spans="1:1" s="427" customFormat="1" ht="12" hidden="1" customHeight="1">
      <c r="A17961" s="426"/>
    </row>
    <row r="17962" spans="1:1" s="427" customFormat="1" ht="12" hidden="1" customHeight="1">
      <c r="A17962" s="426"/>
    </row>
    <row r="17963" spans="1:1" s="427" customFormat="1" ht="12" hidden="1" customHeight="1">
      <c r="A17963" s="426"/>
    </row>
    <row r="17964" spans="1:1" s="427" customFormat="1" ht="12" hidden="1" customHeight="1">
      <c r="A17964" s="426"/>
    </row>
    <row r="17965" spans="1:1" s="427" customFormat="1" ht="12" hidden="1" customHeight="1">
      <c r="A17965" s="426"/>
    </row>
    <row r="17966" spans="1:1" s="427" customFormat="1" ht="12" hidden="1" customHeight="1">
      <c r="A17966" s="426"/>
    </row>
    <row r="17967" spans="1:1" s="427" customFormat="1" ht="12" hidden="1" customHeight="1">
      <c r="A17967" s="426"/>
    </row>
    <row r="17968" spans="1:1" s="427" customFormat="1" ht="12" hidden="1" customHeight="1">
      <c r="A17968" s="426"/>
    </row>
    <row r="17969" spans="1:1" s="427" customFormat="1" ht="12" hidden="1" customHeight="1">
      <c r="A17969" s="426"/>
    </row>
    <row r="17970" spans="1:1" s="427" customFormat="1" ht="12" hidden="1" customHeight="1">
      <c r="A17970" s="426"/>
    </row>
    <row r="17971" spans="1:1" s="427" customFormat="1" ht="12" hidden="1" customHeight="1">
      <c r="A17971" s="426"/>
    </row>
    <row r="17972" spans="1:1" s="427" customFormat="1" ht="12" hidden="1" customHeight="1">
      <c r="A17972" s="426"/>
    </row>
    <row r="17973" spans="1:1" s="427" customFormat="1" ht="12" hidden="1" customHeight="1">
      <c r="A17973" s="426"/>
    </row>
    <row r="17974" spans="1:1" s="427" customFormat="1" ht="12" hidden="1" customHeight="1">
      <c r="A17974" s="426"/>
    </row>
    <row r="17975" spans="1:1" s="427" customFormat="1" ht="12" hidden="1" customHeight="1">
      <c r="A17975" s="426"/>
    </row>
    <row r="17976" spans="1:1" s="427" customFormat="1" ht="12" hidden="1" customHeight="1">
      <c r="A17976" s="426"/>
    </row>
    <row r="17977" spans="1:1" s="427" customFormat="1" ht="12" hidden="1" customHeight="1">
      <c r="A17977" s="426"/>
    </row>
    <row r="17978" spans="1:1" s="427" customFormat="1" ht="12" hidden="1" customHeight="1">
      <c r="A17978" s="426"/>
    </row>
    <row r="17979" spans="1:1" s="427" customFormat="1" ht="12" hidden="1" customHeight="1">
      <c r="A17979" s="426"/>
    </row>
    <row r="17980" spans="1:1" s="427" customFormat="1" ht="12" hidden="1" customHeight="1">
      <c r="A17980" s="426"/>
    </row>
    <row r="17981" spans="1:1" s="427" customFormat="1" ht="12" hidden="1" customHeight="1">
      <c r="A17981" s="426"/>
    </row>
    <row r="17982" spans="1:1" s="427" customFormat="1" ht="12" hidden="1" customHeight="1">
      <c r="A17982" s="426"/>
    </row>
    <row r="17983" spans="1:1" s="427" customFormat="1" ht="12" hidden="1" customHeight="1">
      <c r="A17983" s="426"/>
    </row>
    <row r="17984" spans="1:1" s="427" customFormat="1" ht="12" hidden="1" customHeight="1">
      <c r="A17984" s="426"/>
    </row>
    <row r="17985" spans="1:1" s="427" customFormat="1" ht="12" hidden="1" customHeight="1">
      <c r="A17985" s="426"/>
    </row>
    <row r="17986" spans="1:1" s="427" customFormat="1" ht="12" hidden="1" customHeight="1">
      <c r="A17986" s="426"/>
    </row>
    <row r="17987" spans="1:1" s="427" customFormat="1" ht="12" hidden="1" customHeight="1">
      <c r="A17987" s="426"/>
    </row>
    <row r="17988" spans="1:1" s="427" customFormat="1" ht="12" hidden="1" customHeight="1">
      <c r="A17988" s="426"/>
    </row>
    <row r="17989" spans="1:1" s="427" customFormat="1" ht="12" hidden="1" customHeight="1">
      <c r="A17989" s="426"/>
    </row>
    <row r="17990" spans="1:1" s="427" customFormat="1" ht="12" hidden="1" customHeight="1">
      <c r="A17990" s="426"/>
    </row>
    <row r="17991" spans="1:1" s="427" customFormat="1" ht="12" hidden="1" customHeight="1">
      <c r="A17991" s="426"/>
    </row>
    <row r="17992" spans="1:1" s="427" customFormat="1" ht="12" hidden="1" customHeight="1">
      <c r="A17992" s="426"/>
    </row>
    <row r="17993" spans="1:1" s="427" customFormat="1" ht="12" hidden="1" customHeight="1">
      <c r="A17993" s="426"/>
    </row>
    <row r="17994" spans="1:1" s="427" customFormat="1" ht="12" hidden="1" customHeight="1">
      <c r="A17994" s="426"/>
    </row>
    <row r="17995" spans="1:1" s="427" customFormat="1" ht="12" hidden="1" customHeight="1">
      <c r="A17995" s="426"/>
    </row>
    <row r="17996" spans="1:1" s="427" customFormat="1" ht="12" hidden="1" customHeight="1">
      <c r="A17996" s="426"/>
    </row>
    <row r="17997" spans="1:1" s="427" customFormat="1" ht="12" hidden="1" customHeight="1">
      <c r="A17997" s="426"/>
    </row>
    <row r="17998" spans="1:1" s="427" customFormat="1" ht="12" hidden="1" customHeight="1">
      <c r="A17998" s="426"/>
    </row>
    <row r="17999" spans="1:1" s="427" customFormat="1" ht="12" hidden="1" customHeight="1">
      <c r="A17999" s="426"/>
    </row>
    <row r="18000" spans="1:1" s="427" customFormat="1" ht="12" hidden="1" customHeight="1">
      <c r="A18000" s="426"/>
    </row>
    <row r="18001" spans="1:1" s="427" customFormat="1" ht="12" hidden="1" customHeight="1">
      <c r="A18001" s="426"/>
    </row>
    <row r="18002" spans="1:1" s="427" customFormat="1" ht="12" hidden="1" customHeight="1">
      <c r="A18002" s="426"/>
    </row>
    <row r="18003" spans="1:1" s="427" customFormat="1" ht="12" hidden="1" customHeight="1">
      <c r="A18003" s="426"/>
    </row>
    <row r="18004" spans="1:1" s="427" customFormat="1" ht="12" hidden="1" customHeight="1">
      <c r="A18004" s="426"/>
    </row>
    <row r="18005" spans="1:1" s="427" customFormat="1" ht="12" hidden="1" customHeight="1">
      <c r="A18005" s="426"/>
    </row>
    <row r="18006" spans="1:1" s="427" customFormat="1" ht="12" hidden="1" customHeight="1">
      <c r="A18006" s="426"/>
    </row>
    <row r="18007" spans="1:1" s="427" customFormat="1" ht="12" hidden="1" customHeight="1">
      <c r="A18007" s="426"/>
    </row>
    <row r="18008" spans="1:1" s="427" customFormat="1" ht="12" hidden="1" customHeight="1">
      <c r="A18008" s="426"/>
    </row>
    <row r="18009" spans="1:1" s="427" customFormat="1" ht="12" hidden="1" customHeight="1">
      <c r="A18009" s="426"/>
    </row>
    <row r="18010" spans="1:1" s="427" customFormat="1" ht="12" hidden="1" customHeight="1">
      <c r="A18010" s="426"/>
    </row>
    <row r="18011" spans="1:1" s="427" customFormat="1" ht="12" hidden="1" customHeight="1">
      <c r="A18011" s="426"/>
    </row>
    <row r="18012" spans="1:1" s="427" customFormat="1" ht="12" hidden="1" customHeight="1">
      <c r="A18012" s="426"/>
    </row>
    <row r="18013" spans="1:1" s="427" customFormat="1" ht="12" hidden="1" customHeight="1">
      <c r="A18013" s="426"/>
    </row>
    <row r="18014" spans="1:1" s="427" customFormat="1" ht="12" hidden="1" customHeight="1">
      <c r="A18014" s="426"/>
    </row>
    <row r="18015" spans="1:1" s="427" customFormat="1" ht="12" hidden="1" customHeight="1">
      <c r="A18015" s="426"/>
    </row>
    <row r="18016" spans="1:1" s="427" customFormat="1" ht="12" hidden="1" customHeight="1">
      <c r="A18016" s="426"/>
    </row>
    <row r="18017" spans="1:1" s="427" customFormat="1" ht="12" hidden="1" customHeight="1">
      <c r="A18017" s="426"/>
    </row>
    <row r="18018" spans="1:1" s="427" customFormat="1" ht="12" hidden="1" customHeight="1">
      <c r="A18018" s="426"/>
    </row>
    <row r="18019" spans="1:1" s="427" customFormat="1" ht="12" hidden="1" customHeight="1">
      <c r="A18019" s="426"/>
    </row>
    <row r="18020" spans="1:1" s="427" customFormat="1" ht="12" hidden="1" customHeight="1">
      <c r="A18020" s="426"/>
    </row>
    <row r="18021" spans="1:1" s="427" customFormat="1" ht="12" hidden="1" customHeight="1">
      <c r="A18021" s="426"/>
    </row>
    <row r="18022" spans="1:1" s="427" customFormat="1" ht="12" hidden="1" customHeight="1">
      <c r="A18022" s="426"/>
    </row>
    <row r="18023" spans="1:1" s="427" customFormat="1" ht="12" hidden="1" customHeight="1">
      <c r="A18023" s="426"/>
    </row>
    <row r="18024" spans="1:1" s="427" customFormat="1" ht="12" hidden="1" customHeight="1">
      <c r="A18024" s="426"/>
    </row>
    <row r="18025" spans="1:1" s="427" customFormat="1" ht="12" hidden="1" customHeight="1">
      <c r="A18025" s="426"/>
    </row>
    <row r="18026" spans="1:1" s="427" customFormat="1" ht="12" hidden="1" customHeight="1">
      <c r="A18026" s="426"/>
    </row>
    <row r="18027" spans="1:1" s="427" customFormat="1" ht="12" hidden="1" customHeight="1">
      <c r="A18027" s="426"/>
    </row>
    <row r="18028" spans="1:1" s="427" customFormat="1" ht="12" hidden="1" customHeight="1">
      <c r="A18028" s="426"/>
    </row>
    <row r="18029" spans="1:1" s="427" customFormat="1" ht="12" hidden="1" customHeight="1">
      <c r="A18029" s="426"/>
    </row>
    <row r="18030" spans="1:1" s="427" customFormat="1" ht="12" hidden="1" customHeight="1">
      <c r="A18030" s="426"/>
    </row>
    <row r="18031" spans="1:1" s="427" customFormat="1" ht="12" hidden="1" customHeight="1">
      <c r="A18031" s="426"/>
    </row>
    <row r="18032" spans="1:1" s="427" customFormat="1" ht="12" hidden="1" customHeight="1">
      <c r="A18032" s="426"/>
    </row>
    <row r="18033" spans="1:1" s="427" customFormat="1" ht="12" hidden="1" customHeight="1">
      <c r="A18033" s="426"/>
    </row>
    <row r="18034" spans="1:1" s="427" customFormat="1" ht="12" hidden="1" customHeight="1">
      <c r="A18034" s="426"/>
    </row>
    <row r="18035" spans="1:1" s="427" customFormat="1" ht="12" hidden="1" customHeight="1">
      <c r="A18035" s="426"/>
    </row>
    <row r="18036" spans="1:1" s="427" customFormat="1" ht="12" hidden="1" customHeight="1">
      <c r="A18036" s="426"/>
    </row>
    <row r="18037" spans="1:1" s="427" customFormat="1" ht="12" hidden="1" customHeight="1">
      <c r="A18037" s="426"/>
    </row>
    <row r="18038" spans="1:1" s="427" customFormat="1" ht="12" hidden="1" customHeight="1">
      <c r="A18038" s="426"/>
    </row>
    <row r="18039" spans="1:1" s="427" customFormat="1" ht="12" hidden="1" customHeight="1">
      <c r="A18039" s="426"/>
    </row>
    <row r="18040" spans="1:1" s="427" customFormat="1" ht="12" hidden="1" customHeight="1">
      <c r="A18040" s="426"/>
    </row>
    <row r="18041" spans="1:1" s="427" customFormat="1" ht="12" hidden="1" customHeight="1">
      <c r="A18041" s="426"/>
    </row>
    <row r="18042" spans="1:1" s="427" customFormat="1" ht="12" hidden="1" customHeight="1">
      <c r="A18042" s="426"/>
    </row>
    <row r="18043" spans="1:1" s="427" customFormat="1" ht="12" hidden="1" customHeight="1">
      <c r="A18043" s="426"/>
    </row>
    <row r="18044" spans="1:1" s="427" customFormat="1" ht="12" hidden="1" customHeight="1">
      <c r="A18044" s="426"/>
    </row>
    <row r="18045" spans="1:1" s="427" customFormat="1" ht="12" hidden="1" customHeight="1">
      <c r="A18045" s="426"/>
    </row>
    <row r="18046" spans="1:1" s="427" customFormat="1" ht="12" hidden="1" customHeight="1">
      <c r="A18046" s="426"/>
    </row>
    <row r="18047" spans="1:1" s="427" customFormat="1" ht="12" hidden="1" customHeight="1">
      <c r="A18047" s="426"/>
    </row>
    <row r="18048" spans="1:1" s="427" customFormat="1" ht="12" hidden="1" customHeight="1">
      <c r="A18048" s="426"/>
    </row>
    <row r="18049" spans="1:1" s="427" customFormat="1" ht="12" hidden="1" customHeight="1">
      <c r="A18049" s="426"/>
    </row>
    <row r="18050" spans="1:1" s="427" customFormat="1" ht="12" hidden="1" customHeight="1">
      <c r="A18050" s="426"/>
    </row>
    <row r="18051" spans="1:1" s="427" customFormat="1" ht="12" hidden="1" customHeight="1">
      <c r="A18051" s="426"/>
    </row>
    <row r="18052" spans="1:1" s="427" customFormat="1" ht="12" hidden="1" customHeight="1">
      <c r="A18052" s="426"/>
    </row>
    <row r="18053" spans="1:1" s="427" customFormat="1" ht="12" hidden="1" customHeight="1">
      <c r="A18053" s="426"/>
    </row>
    <row r="18054" spans="1:1" s="427" customFormat="1" ht="12" hidden="1" customHeight="1">
      <c r="A18054" s="426"/>
    </row>
    <row r="18055" spans="1:1" s="427" customFormat="1" ht="12" hidden="1" customHeight="1">
      <c r="A18055" s="426"/>
    </row>
    <row r="18056" spans="1:1" s="427" customFormat="1" ht="12" hidden="1" customHeight="1">
      <c r="A18056" s="426"/>
    </row>
    <row r="18057" spans="1:1" s="427" customFormat="1" ht="12" hidden="1" customHeight="1">
      <c r="A18057" s="426"/>
    </row>
    <row r="18058" spans="1:1" s="427" customFormat="1" ht="12" hidden="1" customHeight="1">
      <c r="A18058" s="426"/>
    </row>
    <row r="18059" spans="1:1" s="427" customFormat="1" ht="12" hidden="1" customHeight="1">
      <c r="A18059" s="426"/>
    </row>
    <row r="18060" spans="1:1" s="427" customFormat="1" ht="12" hidden="1" customHeight="1">
      <c r="A18060" s="426"/>
    </row>
    <row r="18061" spans="1:1" s="427" customFormat="1" ht="12" hidden="1" customHeight="1">
      <c r="A18061" s="426"/>
    </row>
    <row r="18062" spans="1:1" s="427" customFormat="1" ht="12" hidden="1" customHeight="1">
      <c r="A18062" s="426"/>
    </row>
    <row r="18063" spans="1:1" s="427" customFormat="1" ht="12" hidden="1" customHeight="1">
      <c r="A18063" s="426"/>
    </row>
    <row r="18064" spans="1:1" s="427" customFormat="1" ht="12" hidden="1" customHeight="1">
      <c r="A18064" s="426"/>
    </row>
    <row r="18065" spans="1:1" s="427" customFormat="1" ht="12" hidden="1" customHeight="1">
      <c r="A18065" s="426"/>
    </row>
    <row r="18066" spans="1:1" s="427" customFormat="1" ht="12" hidden="1" customHeight="1">
      <c r="A18066" s="426"/>
    </row>
    <row r="18067" spans="1:1" s="427" customFormat="1" ht="12" hidden="1" customHeight="1">
      <c r="A18067" s="426"/>
    </row>
    <row r="18068" spans="1:1" s="427" customFormat="1" ht="12" hidden="1" customHeight="1">
      <c r="A18068" s="426"/>
    </row>
    <row r="18069" spans="1:1" s="427" customFormat="1" ht="12" hidden="1" customHeight="1">
      <c r="A18069" s="426"/>
    </row>
    <row r="18070" spans="1:1" s="427" customFormat="1" ht="12" hidden="1" customHeight="1">
      <c r="A18070" s="426"/>
    </row>
    <row r="18071" spans="1:1" s="427" customFormat="1" ht="12" hidden="1" customHeight="1">
      <c r="A18071" s="426"/>
    </row>
    <row r="18072" spans="1:1" s="427" customFormat="1" ht="12" hidden="1" customHeight="1">
      <c r="A18072" s="426"/>
    </row>
    <row r="18073" spans="1:1" s="427" customFormat="1" ht="12" hidden="1" customHeight="1">
      <c r="A18073" s="426"/>
    </row>
    <row r="18074" spans="1:1" s="427" customFormat="1" ht="12" hidden="1" customHeight="1">
      <c r="A18074" s="426"/>
    </row>
    <row r="18075" spans="1:1" s="427" customFormat="1" ht="12" hidden="1" customHeight="1">
      <c r="A18075" s="426"/>
    </row>
    <row r="18076" spans="1:1" s="427" customFormat="1" ht="12" hidden="1" customHeight="1">
      <c r="A18076" s="426"/>
    </row>
    <row r="18077" spans="1:1" s="427" customFormat="1" ht="12" hidden="1" customHeight="1">
      <c r="A18077" s="426"/>
    </row>
    <row r="18078" spans="1:1" s="427" customFormat="1" ht="12" hidden="1" customHeight="1">
      <c r="A18078" s="426"/>
    </row>
    <row r="18079" spans="1:1" s="427" customFormat="1" ht="12" hidden="1" customHeight="1">
      <c r="A18079" s="426"/>
    </row>
    <row r="18080" spans="1:1" s="427" customFormat="1" ht="12" hidden="1" customHeight="1">
      <c r="A18080" s="426"/>
    </row>
    <row r="18081" spans="1:1" s="427" customFormat="1" ht="12" hidden="1" customHeight="1">
      <c r="A18081" s="426"/>
    </row>
    <row r="18082" spans="1:1" s="427" customFormat="1" ht="12" hidden="1" customHeight="1">
      <c r="A18082" s="426"/>
    </row>
    <row r="18083" spans="1:1" s="427" customFormat="1" ht="12" hidden="1" customHeight="1">
      <c r="A18083" s="426"/>
    </row>
    <row r="18084" spans="1:1" s="427" customFormat="1" ht="12" hidden="1" customHeight="1">
      <c r="A18084" s="426"/>
    </row>
    <row r="18085" spans="1:1" s="427" customFormat="1" ht="12" hidden="1" customHeight="1">
      <c r="A18085" s="426"/>
    </row>
    <row r="18086" spans="1:1" s="427" customFormat="1" ht="12" hidden="1" customHeight="1">
      <c r="A18086" s="426"/>
    </row>
    <row r="18087" spans="1:1" s="427" customFormat="1" ht="12" hidden="1" customHeight="1">
      <c r="A18087" s="426"/>
    </row>
    <row r="18088" spans="1:1" s="427" customFormat="1" ht="12" hidden="1" customHeight="1">
      <c r="A18088" s="426"/>
    </row>
    <row r="18089" spans="1:1" s="427" customFormat="1" ht="12" hidden="1" customHeight="1">
      <c r="A18089" s="426"/>
    </row>
    <row r="18090" spans="1:1" s="427" customFormat="1" ht="12" hidden="1" customHeight="1">
      <c r="A18090" s="426"/>
    </row>
    <row r="18091" spans="1:1" s="427" customFormat="1" ht="12" hidden="1" customHeight="1">
      <c r="A18091" s="426"/>
    </row>
    <row r="18092" spans="1:1" s="427" customFormat="1" ht="12" hidden="1" customHeight="1">
      <c r="A18092" s="426"/>
    </row>
    <row r="18093" spans="1:1" s="427" customFormat="1" ht="12" hidden="1" customHeight="1">
      <c r="A18093" s="426"/>
    </row>
    <row r="18094" spans="1:1" s="427" customFormat="1" ht="12" hidden="1" customHeight="1">
      <c r="A18094" s="426"/>
    </row>
    <row r="18095" spans="1:1" s="427" customFormat="1" ht="12" hidden="1" customHeight="1">
      <c r="A18095" s="426"/>
    </row>
    <row r="18096" spans="1:1" s="427" customFormat="1" ht="12" hidden="1" customHeight="1">
      <c r="A18096" s="426"/>
    </row>
    <row r="18097" spans="1:1" s="427" customFormat="1" ht="12" hidden="1" customHeight="1">
      <c r="A18097" s="426"/>
    </row>
    <row r="18098" spans="1:1" s="427" customFormat="1" ht="12" hidden="1" customHeight="1">
      <c r="A18098" s="426"/>
    </row>
    <row r="18099" spans="1:1" s="427" customFormat="1" ht="12" hidden="1" customHeight="1">
      <c r="A18099" s="426"/>
    </row>
    <row r="18100" spans="1:1" s="427" customFormat="1" ht="12" hidden="1" customHeight="1">
      <c r="A18100" s="426"/>
    </row>
    <row r="18101" spans="1:1" s="427" customFormat="1" ht="12" hidden="1" customHeight="1">
      <c r="A18101" s="426"/>
    </row>
    <row r="18102" spans="1:1" s="427" customFormat="1" ht="12" hidden="1" customHeight="1">
      <c r="A18102" s="426"/>
    </row>
    <row r="18103" spans="1:1" s="427" customFormat="1" ht="12" hidden="1" customHeight="1">
      <c r="A18103" s="426"/>
    </row>
    <row r="18104" spans="1:1" s="427" customFormat="1" ht="12" hidden="1" customHeight="1">
      <c r="A18104" s="426"/>
    </row>
    <row r="18105" spans="1:1" s="427" customFormat="1" ht="12" hidden="1" customHeight="1">
      <c r="A18105" s="426"/>
    </row>
    <row r="18106" spans="1:1" s="427" customFormat="1" ht="12" hidden="1" customHeight="1">
      <c r="A18106" s="426"/>
    </row>
    <row r="18107" spans="1:1" s="427" customFormat="1" ht="12" hidden="1" customHeight="1">
      <c r="A18107" s="426"/>
    </row>
    <row r="18108" spans="1:1" s="427" customFormat="1" ht="12" hidden="1" customHeight="1">
      <c r="A18108" s="426"/>
    </row>
    <row r="18109" spans="1:1" s="427" customFormat="1" ht="12" hidden="1" customHeight="1">
      <c r="A18109" s="426"/>
    </row>
    <row r="18110" spans="1:1" s="427" customFormat="1" ht="12" hidden="1" customHeight="1">
      <c r="A18110" s="426"/>
    </row>
    <row r="18111" spans="1:1" s="427" customFormat="1" ht="12" hidden="1" customHeight="1">
      <c r="A18111" s="426"/>
    </row>
    <row r="18112" spans="1:1" s="427" customFormat="1" ht="12" hidden="1" customHeight="1">
      <c r="A18112" s="426"/>
    </row>
    <row r="18113" spans="1:1" s="427" customFormat="1" ht="12" hidden="1" customHeight="1">
      <c r="A18113" s="426"/>
    </row>
    <row r="18114" spans="1:1" s="427" customFormat="1" ht="12" hidden="1" customHeight="1">
      <c r="A18114" s="426"/>
    </row>
    <row r="18115" spans="1:1" s="427" customFormat="1" ht="12" hidden="1" customHeight="1">
      <c r="A18115" s="426"/>
    </row>
    <row r="18116" spans="1:1" s="427" customFormat="1" ht="12" hidden="1" customHeight="1">
      <c r="A18116" s="426"/>
    </row>
    <row r="18117" spans="1:1" s="427" customFormat="1" ht="12" hidden="1" customHeight="1">
      <c r="A18117" s="426"/>
    </row>
    <row r="18118" spans="1:1" s="427" customFormat="1" ht="12" hidden="1" customHeight="1">
      <c r="A18118" s="426"/>
    </row>
    <row r="18119" spans="1:1" s="427" customFormat="1" ht="12" hidden="1" customHeight="1">
      <c r="A18119" s="426"/>
    </row>
    <row r="18120" spans="1:1" s="427" customFormat="1" ht="12" hidden="1" customHeight="1">
      <c r="A18120" s="426"/>
    </row>
    <row r="18121" spans="1:1" s="427" customFormat="1" ht="12" hidden="1" customHeight="1">
      <c r="A18121" s="426"/>
    </row>
    <row r="18122" spans="1:1" s="427" customFormat="1" ht="12" hidden="1" customHeight="1">
      <c r="A18122" s="426"/>
    </row>
    <row r="18123" spans="1:1" s="427" customFormat="1" ht="12" hidden="1" customHeight="1">
      <c r="A18123" s="426"/>
    </row>
    <row r="18124" spans="1:1" s="427" customFormat="1" ht="12" hidden="1" customHeight="1">
      <c r="A18124" s="426"/>
    </row>
    <row r="18125" spans="1:1" s="427" customFormat="1" ht="12" hidden="1" customHeight="1">
      <c r="A18125" s="426"/>
    </row>
    <row r="18126" spans="1:1" s="427" customFormat="1" ht="12" hidden="1" customHeight="1">
      <c r="A18126" s="426"/>
    </row>
    <row r="18127" spans="1:1" s="427" customFormat="1" ht="12" hidden="1" customHeight="1">
      <c r="A18127" s="426"/>
    </row>
    <row r="18128" spans="1:1" s="427" customFormat="1" ht="12" hidden="1" customHeight="1">
      <c r="A18128" s="426"/>
    </row>
    <row r="18129" spans="1:1" s="427" customFormat="1" ht="12" hidden="1" customHeight="1">
      <c r="A18129" s="426"/>
    </row>
    <row r="18130" spans="1:1" s="427" customFormat="1" ht="12" hidden="1" customHeight="1">
      <c r="A18130" s="426"/>
    </row>
    <row r="18131" spans="1:1" s="427" customFormat="1" ht="12" hidden="1" customHeight="1">
      <c r="A18131" s="426"/>
    </row>
    <row r="18132" spans="1:1" s="427" customFormat="1" ht="12" hidden="1" customHeight="1">
      <c r="A18132" s="426"/>
    </row>
    <row r="18133" spans="1:1" s="427" customFormat="1" ht="12" hidden="1" customHeight="1">
      <c r="A18133" s="426"/>
    </row>
    <row r="18134" spans="1:1" s="427" customFormat="1" ht="12" hidden="1" customHeight="1">
      <c r="A18134" s="426"/>
    </row>
    <row r="18135" spans="1:1" s="427" customFormat="1" ht="12" hidden="1" customHeight="1">
      <c r="A18135" s="426"/>
    </row>
    <row r="18136" spans="1:1" s="427" customFormat="1" ht="12" hidden="1" customHeight="1">
      <c r="A18136" s="426"/>
    </row>
    <row r="18137" spans="1:1" s="427" customFormat="1" ht="12" hidden="1" customHeight="1">
      <c r="A18137" s="426"/>
    </row>
    <row r="18138" spans="1:1" s="427" customFormat="1" ht="12" hidden="1" customHeight="1">
      <c r="A18138" s="426"/>
    </row>
    <row r="18139" spans="1:1" s="427" customFormat="1" ht="12" hidden="1" customHeight="1">
      <c r="A18139" s="426"/>
    </row>
    <row r="18140" spans="1:1" s="427" customFormat="1" ht="12" hidden="1" customHeight="1">
      <c r="A18140" s="426"/>
    </row>
    <row r="18141" spans="1:1" s="427" customFormat="1" ht="12" hidden="1" customHeight="1">
      <c r="A18141" s="426"/>
    </row>
    <row r="18142" spans="1:1" s="427" customFormat="1" ht="12" hidden="1" customHeight="1">
      <c r="A18142" s="426"/>
    </row>
    <row r="18143" spans="1:1" s="427" customFormat="1" ht="12" hidden="1" customHeight="1">
      <c r="A18143" s="426"/>
    </row>
    <row r="18144" spans="1:1" s="427" customFormat="1" ht="12" hidden="1" customHeight="1">
      <c r="A18144" s="426"/>
    </row>
    <row r="18145" spans="1:1" s="427" customFormat="1" ht="12" hidden="1" customHeight="1">
      <c r="A18145" s="426"/>
    </row>
    <row r="18146" spans="1:1" s="427" customFormat="1" ht="12" hidden="1" customHeight="1">
      <c r="A18146" s="426"/>
    </row>
    <row r="18147" spans="1:1" s="427" customFormat="1" ht="12" hidden="1" customHeight="1">
      <c r="A18147" s="426"/>
    </row>
    <row r="18148" spans="1:1" s="427" customFormat="1" ht="12" hidden="1" customHeight="1">
      <c r="A18148" s="426"/>
    </row>
    <row r="18149" spans="1:1" s="427" customFormat="1" ht="12" hidden="1" customHeight="1">
      <c r="A18149" s="426"/>
    </row>
    <row r="18150" spans="1:1" s="427" customFormat="1" ht="12" hidden="1" customHeight="1">
      <c r="A18150" s="426"/>
    </row>
    <row r="18151" spans="1:1" s="427" customFormat="1" ht="12" hidden="1" customHeight="1">
      <c r="A18151" s="426"/>
    </row>
    <row r="18152" spans="1:1" s="427" customFormat="1" ht="12" hidden="1" customHeight="1">
      <c r="A18152" s="426"/>
    </row>
    <row r="18153" spans="1:1" s="427" customFormat="1" ht="12" hidden="1" customHeight="1">
      <c r="A18153" s="426"/>
    </row>
    <row r="18154" spans="1:1" s="427" customFormat="1" ht="12" hidden="1" customHeight="1">
      <c r="A18154" s="426"/>
    </row>
    <row r="18155" spans="1:1" s="427" customFormat="1" ht="12" hidden="1" customHeight="1">
      <c r="A18155" s="426"/>
    </row>
    <row r="18156" spans="1:1" s="427" customFormat="1" ht="12" hidden="1" customHeight="1">
      <c r="A18156" s="426"/>
    </row>
    <row r="18157" spans="1:1" s="427" customFormat="1" ht="12" hidden="1" customHeight="1">
      <c r="A18157" s="426"/>
    </row>
    <row r="18158" spans="1:1" s="427" customFormat="1" ht="12" hidden="1" customHeight="1">
      <c r="A18158" s="426"/>
    </row>
    <row r="18159" spans="1:1" s="427" customFormat="1" ht="12" hidden="1" customHeight="1">
      <c r="A18159" s="426"/>
    </row>
    <row r="18160" spans="1:1" s="427" customFormat="1" ht="12" hidden="1" customHeight="1">
      <c r="A18160" s="426"/>
    </row>
    <row r="18161" spans="1:1" s="427" customFormat="1" ht="12" hidden="1" customHeight="1">
      <c r="A18161" s="426"/>
    </row>
    <row r="18162" spans="1:1" s="427" customFormat="1" ht="12" hidden="1" customHeight="1">
      <c r="A18162" s="426"/>
    </row>
    <row r="18163" spans="1:1" s="427" customFormat="1" ht="12" hidden="1" customHeight="1">
      <c r="A18163" s="426"/>
    </row>
    <row r="18164" spans="1:1" s="427" customFormat="1" ht="12" hidden="1" customHeight="1">
      <c r="A18164" s="426"/>
    </row>
    <row r="18165" spans="1:1" s="427" customFormat="1" ht="12" hidden="1" customHeight="1">
      <c r="A18165" s="426"/>
    </row>
    <row r="18166" spans="1:1" s="427" customFormat="1" ht="12" hidden="1" customHeight="1">
      <c r="A18166" s="426"/>
    </row>
    <row r="18167" spans="1:1" s="427" customFormat="1" ht="12" hidden="1" customHeight="1">
      <c r="A18167" s="426"/>
    </row>
    <row r="18168" spans="1:1" s="427" customFormat="1" ht="12" hidden="1" customHeight="1">
      <c r="A18168" s="426"/>
    </row>
    <row r="18169" spans="1:1" s="427" customFormat="1" ht="12" hidden="1" customHeight="1">
      <c r="A18169" s="426"/>
    </row>
    <row r="18170" spans="1:1" s="427" customFormat="1" ht="12" hidden="1" customHeight="1">
      <c r="A18170" s="426"/>
    </row>
    <row r="18171" spans="1:1" s="427" customFormat="1" ht="12" hidden="1" customHeight="1">
      <c r="A18171" s="426"/>
    </row>
    <row r="18172" spans="1:1" s="427" customFormat="1" ht="12" hidden="1" customHeight="1">
      <c r="A18172" s="426"/>
    </row>
    <row r="18173" spans="1:1" s="427" customFormat="1" ht="12" hidden="1" customHeight="1">
      <c r="A18173" s="426"/>
    </row>
    <row r="18174" spans="1:1" s="427" customFormat="1" ht="12" hidden="1" customHeight="1">
      <c r="A18174" s="426"/>
    </row>
    <row r="18175" spans="1:1" s="427" customFormat="1" ht="12" hidden="1" customHeight="1">
      <c r="A18175" s="426"/>
    </row>
    <row r="18176" spans="1:1" s="427" customFormat="1" ht="12" hidden="1" customHeight="1">
      <c r="A18176" s="426"/>
    </row>
    <row r="18177" spans="1:1" s="427" customFormat="1" ht="12" hidden="1" customHeight="1">
      <c r="A18177" s="426"/>
    </row>
    <row r="18178" spans="1:1" s="427" customFormat="1" ht="12" hidden="1" customHeight="1">
      <c r="A18178" s="426"/>
    </row>
    <row r="18179" spans="1:1" s="427" customFormat="1" ht="12" hidden="1" customHeight="1">
      <c r="A18179" s="426"/>
    </row>
    <row r="18180" spans="1:1" s="427" customFormat="1" ht="12" hidden="1" customHeight="1">
      <c r="A18180" s="426"/>
    </row>
    <row r="18181" spans="1:1" s="427" customFormat="1" ht="12" hidden="1" customHeight="1">
      <c r="A18181" s="426"/>
    </row>
    <row r="18182" spans="1:1" s="427" customFormat="1" ht="12" hidden="1" customHeight="1">
      <c r="A18182" s="426"/>
    </row>
    <row r="18183" spans="1:1" s="427" customFormat="1" ht="12" hidden="1" customHeight="1">
      <c r="A18183" s="426"/>
    </row>
    <row r="18184" spans="1:1" s="427" customFormat="1" ht="12" hidden="1" customHeight="1">
      <c r="A18184" s="426"/>
    </row>
    <row r="18185" spans="1:1" s="427" customFormat="1" ht="12" hidden="1" customHeight="1">
      <c r="A18185" s="426"/>
    </row>
    <row r="18186" spans="1:1" s="427" customFormat="1" ht="12" hidden="1" customHeight="1">
      <c r="A18186" s="426"/>
    </row>
    <row r="18187" spans="1:1" s="427" customFormat="1" ht="12" hidden="1" customHeight="1">
      <c r="A18187" s="426"/>
    </row>
    <row r="18188" spans="1:1" s="427" customFormat="1" ht="12" hidden="1" customHeight="1">
      <c r="A18188" s="426"/>
    </row>
    <row r="18189" spans="1:1" s="427" customFormat="1" ht="12" hidden="1" customHeight="1">
      <c r="A18189" s="426"/>
    </row>
    <row r="18190" spans="1:1" s="427" customFormat="1" ht="12" hidden="1" customHeight="1">
      <c r="A18190" s="426"/>
    </row>
    <row r="18191" spans="1:1" s="427" customFormat="1" ht="12" hidden="1" customHeight="1">
      <c r="A18191" s="426"/>
    </row>
    <row r="18192" spans="1:1" s="427" customFormat="1" ht="12" hidden="1" customHeight="1">
      <c r="A18192" s="426"/>
    </row>
    <row r="18193" spans="1:1" s="427" customFormat="1" ht="12" hidden="1" customHeight="1">
      <c r="A18193" s="426"/>
    </row>
    <row r="18194" spans="1:1" s="427" customFormat="1" ht="12" hidden="1" customHeight="1">
      <c r="A18194" s="426"/>
    </row>
    <row r="18195" spans="1:1" s="427" customFormat="1" ht="12" hidden="1" customHeight="1">
      <c r="A18195" s="426"/>
    </row>
    <row r="18196" spans="1:1" s="427" customFormat="1" ht="12" hidden="1" customHeight="1">
      <c r="A18196" s="426"/>
    </row>
    <row r="18197" spans="1:1" s="427" customFormat="1" ht="12" hidden="1" customHeight="1">
      <c r="A18197" s="426"/>
    </row>
    <row r="18198" spans="1:1" s="427" customFormat="1" ht="12" hidden="1" customHeight="1">
      <c r="A18198" s="426"/>
    </row>
    <row r="18199" spans="1:1" s="427" customFormat="1" ht="12" hidden="1" customHeight="1">
      <c r="A18199" s="426"/>
    </row>
    <row r="18200" spans="1:1" s="427" customFormat="1" ht="12" hidden="1" customHeight="1">
      <c r="A18200" s="426"/>
    </row>
    <row r="18201" spans="1:1" s="427" customFormat="1" ht="12" hidden="1" customHeight="1">
      <c r="A18201" s="426"/>
    </row>
    <row r="18202" spans="1:1" s="427" customFormat="1" ht="12" hidden="1" customHeight="1">
      <c r="A18202" s="426"/>
    </row>
    <row r="18203" spans="1:1" s="427" customFormat="1" ht="12" hidden="1" customHeight="1">
      <c r="A18203" s="426"/>
    </row>
    <row r="18204" spans="1:1" s="427" customFormat="1" ht="12" hidden="1" customHeight="1">
      <c r="A18204" s="426"/>
    </row>
    <row r="18205" spans="1:1" s="427" customFormat="1" ht="12" hidden="1" customHeight="1">
      <c r="A18205" s="426"/>
    </row>
    <row r="18206" spans="1:1" s="427" customFormat="1" ht="12" hidden="1" customHeight="1">
      <c r="A18206" s="426"/>
    </row>
    <row r="18207" spans="1:1" s="427" customFormat="1" ht="12" hidden="1" customHeight="1">
      <c r="A18207" s="426"/>
    </row>
    <row r="18208" spans="1:1" s="427" customFormat="1" ht="12" hidden="1" customHeight="1">
      <c r="A18208" s="426"/>
    </row>
    <row r="18209" spans="1:1" s="427" customFormat="1" ht="12" hidden="1" customHeight="1">
      <c r="A18209" s="426"/>
    </row>
    <row r="18210" spans="1:1" s="427" customFormat="1" ht="12" hidden="1" customHeight="1">
      <c r="A18210" s="426"/>
    </row>
    <row r="18211" spans="1:1" s="427" customFormat="1" ht="12" hidden="1" customHeight="1">
      <c r="A18211" s="426"/>
    </row>
    <row r="18212" spans="1:1" s="427" customFormat="1" ht="12" hidden="1" customHeight="1">
      <c r="A18212" s="426"/>
    </row>
    <row r="18213" spans="1:1" s="427" customFormat="1" ht="12" hidden="1" customHeight="1">
      <c r="A18213" s="426"/>
    </row>
    <row r="18214" spans="1:1" s="427" customFormat="1" ht="12" hidden="1" customHeight="1">
      <c r="A18214" s="426"/>
    </row>
    <row r="18215" spans="1:1" s="427" customFormat="1" ht="12" hidden="1" customHeight="1">
      <c r="A18215" s="426"/>
    </row>
    <row r="18216" spans="1:1" s="427" customFormat="1" ht="12" hidden="1" customHeight="1">
      <c r="A18216" s="426"/>
    </row>
    <row r="18217" spans="1:1" s="427" customFormat="1" ht="12" hidden="1" customHeight="1">
      <c r="A18217" s="426"/>
    </row>
    <row r="18218" spans="1:1" s="427" customFormat="1" ht="12" hidden="1" customHeight="1">
      <c r="A18218" s="426"/>
    </row>
    <row r="18219" spans="1:1" s="427" customFormat="1" ht="12" hidden="1" customHeight="1">
      <c r="A18219" s="426"/>
    </row>
    <row r="18220" spans="1:1" s="427" customFormat="1" ht="12" hidden="1" customHeight="1">
      <c r="A18220" s="426"/>
    </row>
    <row r="18221" spans="1:1" s="427" customFormat="1" ht="12" hidden="1" customHeight="1">
      <c r="A18221" s="426"/>
    </row>
    <row r="18222" spans="1:1" s="427" customFormat="1" ht="12" hidden="1" customHeight="1">
      <c r="A18222" s="426"/>
    </row>
    <row r="18223" spans="1:1" s="427" customFormat="1" ht="12" hidden="1" customHeight="1">
      <c r="A18223" s="426"/>
    </row>
    <row r="18224" spans="1:1" s="427" customFormat="1" ht="12" hidden="1" customHeight="1">
      <c r="A18224" s="426"/>
    </row>
    <row r="18225" spans="1:1" s="427" customFormat="1" ht="12" hidden="1" customHeight="1">
      <c r="A18225" s="426"/>
    </row>
    <row r="18226" spans="1:1" s="427" customFormat="1" ht="12" hidden="1" customHeight="1">
      <c r="A18226" s="426"/>
    </row>
    <row r="18227" spans="1:1" s="427" customFormat="1" ht="12" hidden="1" customHeight="1">
      <c r="A18227" s="426"/>
    </row>
    <row r="18228" spans="1:1" s="427" customFormat="1" ht="12" hidden="1" customHeight="1">
      <c r="A18228" s="426"/>
    </row>
    <row r="18229" spans="1:1" s="427" customFormat="1" ht="12" hidden="1" customHeight="1">
      <c r="A18229" s="426"/>
    </row>
    <row r="18230" spans="1:1" s="427" customFormat="1" ht="12" hidden="1" customHeight="1">
      <c r="A18230" s="426"/>
    </row>
    <row r="18231" spans="1:1" s="427" customFormat="1" ht="12" hidden="1" customHeight="1">
      <c r="A18231" s="426"/>
    </row>
    <row r="18232" spans="1:1" s="427" customFormat="1" ht="12" hidden="1" customHeight="1">
      <c r="A18232" s="426"/>
    </row>
    <row r="18233" spans="1:1" s="427" customFormat="1" ht="12" hidden="1" customHeight="1">
      <c r="A18233" s="426"/>
    </row>
    <row r="18234" spans="1:1" s="427" customFormat="1" ht="12" hidden="1" customHeight="1">
      <c r="A18234" s="426"/>
    </row>
    <row r="18235" spans="1:1" s="427" customFormat="1" ht="12" hidden="1" customHeight="1">
      <c r="A18235" s="426"/>
    </row>
    <row r="18236" spans="1:1" s="427" customFormat="1" ht="12" hidden="1" customHeight="1">
      <c r="A18236" s="426"/>
    </row>
    <row r="18237" spans="1:1" s="427" customFormat="1" ht="12" hidden="1" customHeight="1">
      <c r="A18237" s="426"/>
    </row>
    <row r="18238" spans="1:1" s="427" customFormat="1" ht="12" hidden="1" customHeight="1">
      <c r="A18238" s="426"/>
    </row>
    <row r="18239" spans="1:1" s="427" customFormat="1" ht="12" hidden="1" customHeight="1">
      <c r="A18239" s="426"/>
    </row>
    <row r="18240" spans="1:1" s="427" customFormat="1" ht="12" hidden="1" customHeight="1">
      <c r="A18240" s="426"/>
    </row>
    <row r="18241" spans="1:1" s="427" customFormat="1" ht="12" hidden="1" customHeight="1">
      <c r="A18241" s="426"/>
    </row>
    <row r="18242" spans="1:1" s="427" customFormat="1" ht="12" hidden="1" customHeight="1">
      <c r="A18242" s="426"/>
    </row>
    <row r="18243" spans="1:1" s="427" customFormat="1" ht="12" hidden="1" customHeight="1">
      <c r="A18243" s="426"/>
    </row>
    <row r="18244" spans="1:1" s="427" customFormat="1" ht="12" hidden="1" customHeight="1">
      <c r="A18244" s="426"/>
    </row>
    <row r="18245" spans="1:1" s="427" customFormat="1" ht="12" hidden="1" customHeight="1">
      <c r="A18245" s="426"/>
    </row>
    <row r="18246" spans="1:1" s="427" customFormat="1" ht="12" hidden="1" customHeight="1">
      <c r="A18246" s="426"/>
    </row>
    <row r="18247" spans="1:1" s="427" customFormat="1" ht="12" hidden="1" customHeight="1">
      <c r="A18247" s="426"/>
    </row>
    <row r="18248" spans="1:1" s="427" customFormat="1" ht="12" hidden="1" customHeight="1">
      <c r="A18248" s="426"/>
    </row>
    <row r="18249" spans="1:1" s="427" customFormat="1" ht="12" hidden="1" customHeight="1">
      <c r="A18249" s="426"/>
    </row>
    <row r="18250" spans="1:1" s="427" customFormat="1" ht="12" hidden="1" customHeight="1">
      <c r="A18250" s="426"/>
    </row>
    <row r="18251" spans="1:1" s="427" customFormat="1" ht="12" hidden="1" customHeight="1">
      <c r="A18251" s="426"/>
    </row>
    <row r="18252" spans="1:1" s="427" customFormat="1" ht="12" hidden="1" customHeight="1">
      <c r="A18252" s="426"/>
    </row>
    <row r="18253" spans="1:1" s="427" customFormat="1" ht="12" hidden="1" customHeight="1">
      <c r="A18253" s="426"/>
    </row>
    <row r="18254" spans="1:1" s="427" customFormat="1" ht="12" hidden="1" customHeight="1">
      <c r="A18254" s="426"/>
    </row>
    <row r="18255" spans="1:1" s="427" customFormat="1" ht="12" hidden="1" customHeight="1">
      <c r="A18255" s="426"/>
    </row>
    <row r="18256" spans="1:1" s="427" customFormat="1" ht="12" hidden="1" customHeight="1">
      <c r="A18256" s="426"/>
    </row>
    <row r="18257" spans="1:1" s="427" customFormat="1" ht="12" hidden="1" customHeight="1">
      <c r="A18257" s="426"/>
    </row>
    <row r="18258" spans="1:1" s="427" customFormat="1" ht="12" hidden="1" customHeight="1">
      <c r="A18258" s="426"/>
    </row>
    <row r="18259" spans="1:1" s="427" customFormat="1" ht="12" hidden="1" customHeight="1">
      <c r="A18259" s="426"/>
    </row>
    <row r="18260" spans="1:1" s="427" customFormat="1" ht="12" hidden="1" customHeight="1">
      <c r="A18260" s="426"/>
    </row>
    <row r="18261" spans="1:1" s="427" customFormat="1" ht="12" hidden="1" customHeight="1">
      <c r="A18261" s="426"/>
    </row>
    <row r="18262" spans="1:1" s="427" customFormat="1" ht="12" hidden="1" customHeight="1">
      <c r="A18262" s="426"/>
    </row>
    <row r="18263" spans="1:1" s="427" customFormat="1" ht="12" hidden="1" customHeight="1">
      <c r="A18263" s="426"/>
    </row>
    <row r="18264" spans="1:1" s="427" customFormat="1" ht="12" hidden="1" customHeight="1">
      <c r="A18264" s="426"/>
    </row>
    <row r="18265" spans="1:1" s="427" customFormat="1" ht="12" hidden="1" customHeight="1">
      <c r="A18265" s="426"/>
    </row>
    <row r="18266" spans="1:1" s="427" customFormat="1" ht="12" hidden="1" customHeight="1">
      <c r="A18266" s="426"/>
    </row>
    <row r="18267" spans="1:1" s="427" customFormat="1" ht="12" hidden="1" customHeight="1">
      <c r="A18267" s="426"/>
    </row>
    <row r="18268" spans="1:1" s="427" customFormat="1" ht="12" hidden="1" customHeight="1">
      <c r="A18268" s="426"/>
    </row>
    <row r="18269" spans="1:1" s="427" customFormat="1" ht="12" hidden="1" customHeight="1">
      <c r="A18269" s="426"/>
    </row>
    <row r="18270" spans="1:1" s="427" customFormat="1" ht="12" hidden="1" customHeight="1">
      <c r="A18270" s="426"/>
    </row>
    <row r="18271" spans="1:1" s="427" customFormat="1" ht="12" hidden="1" customHeight="1">
      <c r="A18271" s="426"/>
    </row>
    <row r="18272" spans="1:1" s="427" customFormat="1" ht="12" hidden="1" customHeight="1">
      <c r="A18272" s="426"/>
    </row>
    <row r="18273" spans="1:1" s="427" customFormat="1" ht="12" hidden="1" customHeight="1">
      <c r="A18273" s="426"/>
    </row>
    <row r="18274" spans="1:1" s="427" customFormat="1" ht="12" hidden="1" customHeight="1">
      <c r="A18274" s="426"/>
    </row>
    <row r="18275" spans="1:1" s="427" customFormat="1" ht="12" hidden="1" customHeight="1">
      <c r="A18275" s="426"/>
    </row>
    <row r="18276" spans="1:1" s="427" customFormat="1" ht="12" hidden="1" customHeight="1">
      <c r="A18276" s="426"/>
    </row>
    <row r="18277" spans="1:1" s="427" customFormat="1" ht="12" hidden="1" customHeight="1">
      <c r="A18277" s="426"/>
    </row>
    <row r="18278" spans="1:1" s="427" customFormat="1" ht="12" hidden="1" customHeight="1">
      <c r="A18278" s="426"/>
    </row>
    <row r="18279" spans="1:1" s="427" customFormat="1" ht="12" hidden="1" customHeight="1">
      <c r="A18279" s="426"/>
    </row>
    <row r="18280" spans="1:1" s="427" customFormat="1" ht="12" hidden="1" customHeight="1">
      <c r="A18280" s="426"/>
    </row>
    <row r="18281" spans="1:1" s="427" customFormat="1" ht="12" hidden="1" customHeight="1">
      <c r="A18281" s="426"/>
    </row>
    <row r="18282" spans="1:1" s="427" customFormat="1" ht="12" hidden="1" customHeight="1">
      <c r="A18282" s="426"/>
    </row>
    <row r="18283" spans="1:1" s="427" customFormat="1" ht="12" hidden="1" customHeight="1">
      <c r="A18283" s="426"/>
    </row>
    <row r="18284" spans="1:1" s="427" customFormat="1" ht="12" hidden="1" customHeight="1">
      <c r="A18284" s="426"/>
    </row>
    <row r="18285" spans="1:1" s="427" customFormat="1" ht="12" hidden="1" customHeight="1">
      <c r="A18285" s="426"/>
    </row>
    <row r="18286" spans="1:1" s="427" customFormat="1" ht="12" hidden="1" customHeight="1">
      <c r="A18286" s="426"/>
    </row>
    <row r="18287" spans="1:1" s="427" customFormat="1" ht="12" hidden="1" customHeight="1">
      <c r="A18287" s="426"/>
    </row>
    <row r="18288" spans="1:1" s="427" customFormat="1" ht="12" hidden="1" customHeight="1">
      <c r="A18288" s="426"/>
    </row>
    <row r="18289" spans="1:1" s="427" customFormat="1" ht="12" hidden="1" customHeight="1">
      <c r="A18289" s="426"/>
    </row>
    <row r="18290" spans="1:1" s="427" customFormat="1" ht="12" hidden="1" customHeight="1">
      <c r="A18290" s="426"/>
    </row>
    <row r="18291" spans="1:1" s="427" customFormat="1" ht="12" hidden="1" customHeight="1">
      <c r="A18291" s="426"/>
    </row>
    <row r="18292" spans="1:1" s="427" customFormat="1" ht="12" hidden="1" customHeight="1">
      <c r="A18292" s="426"/>
    </row>
    <row r="18293" spans="1:1" s="427" customFormat="1" ht="12" hidden="1" customHeight="1">
      <c r="A18293" s="426"/>
    </row>
    <row r="18294" spans="1:1" s="427" customFormat="1" ht="12" hidden="1" customHeight="1">
      <c r="A18294" s="426"/>
    </row>
    <row r="18295" spans="1:1" s="427" customFormat="1" ht="12" hidden="1" customHeight="1">
      <c r="A18295" s="426"/>
    </row>
    <row r="18296" spans="1:1" s="427" customFormat="1" ht="12" hidden="1" customHeight="1">
      <c r="A18296" s="426"/>
    </row>
    <row r="18297" spans="1:1" s="427" customFormat="1" ht="12" hidden="1" customHeight="1">
      <c r="A18297" s="426"/>
    </row>
    <row r="18298" spans="1:1" s="427" customFormat="1" ht="12" hidden="1" customHeight="1">
      <c r="A18298" s="426"/>
    </row>
    <row r="18299" spans="1:1" s="427" customFormat="1" ht="12" hidden="1" customHeight="1">
      <c r="A18299" s="426"/>
    </row>
    <row r="18300" spans="1:1" s="427" customFormat="1" ht="12" hidden="1" customHeight="1">
      <c r="A18300" s="426"/>
    </row>
    <row r="18301" spans="1:1" s="427" customFormat="1" ht="12" hidden="1" customHeight="1">
      <c r="A18301" s="426"/>
    </row>
    <row r="18302" spans="1:1" s="427" customFormat="1" ht="12" hidden="1" customHeight="1">
      <c r="A18302" s="426"/>
    </row>
    <row r="18303" spans="1:1" s="427" customFormat="1" ht="12" hidden="1" customHeight="1">
      <c r="A18303" s="426"/>
    </row>
    <row r="18304" spans="1:1" s="427" customFormat="1" ht="12" hidden="1" customHeight="1">
      <c r="A18304" s="426"/>
    </row>
    <row r="18305" spans="1:1" s="427" customFormat="1" ht="12" hidden="1" customHeight="1">
      <c r="A18305" s="426"/>
    </row>
    <row r="18306" spans="1:1" s="427" customFormat="1" ht="12" hidden="1" customHeight="1">
      <c r="A18306" s="426"/>
    </row>
    <row r="18307" spans="1:1" s="427" customFormat="1" ht="12" hidden="1" customHeight="1">
      <c r="A18307" s="426"/>
    </row>
    <row r="18308" spans="1:1" s="427" customFormat="1" ht="12" hidden="1" customHeight="1">
      <c r="A18308" s="426"/>
    </row>
    <row r="18309" spans="1:1" s="427" customFormat="1" ht="12" hidden="1" customHeight="1">
      <c r="A18309" s="426"/>
    </row>
    <row r="18310" spans="1:1" s="427" customFormat="1" ht="12" hidden="1" customHeight="1">
      <c r="A18310" s="426"/>
    </row>
    <row r="18311" spans="1:1" s="427" customFormat="1" ht="12" hidden="1" customHeight="1">
      <c r="A18311" s="426"/>
    </row>
    <row r="18312" spans="1:1" s="427" customFormat="1" ht="12" hidden="1" customHeight="1">
      <c r="A18312" s="426"/>
    </row>
    <row r="18313" spans="1:1" s="427" customFormat="1" ht="12" hidden="1" customHeight="1">
      <c r="A18313" s="426"/>
    </row>
    <row r="18314" spans="1:1" s="427" customFormat="1" ht="12" hidden="1" customHeight="1">
      <c r="A18314" s="426"/>
    </row>
    <row r="18315" spans="1:1" s="427" customFormat="1" ht="12" hidden="1" customHeight="1">
      <c r="A18315" s="426"/>
    </row>
    <row r="18316" spans="1:1" s="427" customFormat="1" ht="12" hidden="1" customHeight="1">
      <c r="A18316" s="426"/>
    </row>
    <row r="18317" spans="1:1" s="427" customFormat="1" ht="12" hidden="1" customHeight="1">
      <c r="A18317" s="426"/>
    </row>
    <row r="18318" spans="1:1" s="427" customFormat="1" ht="12" hidden="1" customHeight="1">
      <c r="A18318" s="426"/>
    </row>
    <row r="18319" spans="1:1" s="427" customFormat="1" ht="12" hidden="1" customHeight="1">
      <c r="A18319" s="426"/>
    </row>
    <row r="18320" spans="1:1" s="427" customFormat="1" ht="12" hidden="1" customHeight="1">
      <c r="A18320" s="426"/>
    </row>
    <row r="18321" spans="1:1" s="427" customFormat="1" ht="12" hidden="1" customHeight="1">
      <c r="A18321" s="426"/>
    </row>
    <row r="18322" spans="1:1" s="427" customFormat="1" ht="12" hidden="1" customHeight="1">
      <c r="A18322" s="426"/>
    </row>
    <row r="18323" spans="1:1" s="427" customFormat="1" ht="12" hidden="1" customHeight="1">
      <c r="A18323" s="426"/>
    </row>
    <row r="18324" spans="1:1" s="427" customFormat="1" ht="12" hidden="1" customHeight="1">
      <c r="A18324" s="426"/>
    </row>
    <row r="18325" spans="1:1" s="427" customFormat="1" ht="12" hidden="1" customHeight="1">
      <c r="A18325" s="426"/>
    </row>
    <row r="18326" spans="1:1" s="427" customFormat="1" ht="12" hidden="1" customHeight="1">
      <c r="A18326" s="426"/>
    </row>
    <row r="18327" spans="1:1" s="427" customFormat="1" ht="12" hidden="1" customHeight="1">
      <c r="A18327" s="426"/>
    </row>
    <row r="18328" spans="1:1" s="427" customFormat="1" ht="12" hidden="1" customHeight="1">
      <c r="A18328" s="426"/>
    </row>
    <row r="18329" spans="1:1" s="427" customFormat="1" ht="12" hidden="1" customHeight="1">
      <c r="A18329" s="426"/>
    </row>
    <row r="18330" spans="1:1" s="427" customFormat="1" ht="12" hidden="1" customHeight="1">
      <c r="A18330" s="426"/>
    </row>
    <row r="18331" spans="1:1" s="427" customFormat="1" ht="12" hidden="1" customHeight="1">
      <c r="A18331" s="426"/>
    </row>
    <row r="18332" spans="1:1" s="427" customFormat="1" ht="12" hidden="1" customHeight="1">
      <c r="A18332" s="426"/>
    </row>
    <row r="18333" spans="1:1" s="427" customFormat="1" ht="12" hidden="1" customHeight="1">
      <c r="A18333" s="426"/>
    </row>
    <row r="18334" spans="1:1" s="427" customFormat="1" ht="12" hidden="1" customHeight="1">
      <c r="A18334" s="426"/>
    </row>
    <row r="18335" spans="1:1" s="427" customFormat="1" ht="12" hidden="1" customHeight="1">
      <c r="A18335" s="426"/>
    </row>
    <row r="18336" spans="1:1" s="427" customFormat="1" ht="12" hidden="1" customHeight="1">
      <c r="A18336" s="426"/>
    </row>
    <row r="18337" spans="1:1" s="427" customFormat="1" ht="12" hidden="1" customHeight="1">
      <c r="A18337" s="426"/>
    </row>
    <row r="18338" spans="1:1" s="427" customFormat="1" ht="12" hidden="1" customHeight="1">
      <c r="A18338" s="426"/>
    </row>
    <row r="18339" spans="1:1" s="427" customFormat="1" ht="12" hidden="1" customHeight="1">
      <c r="A18339" s="426"/>
    </row>
    <row r="18340" spans="1:1" s="427" customFormat="1" ht="12" hidden="1" customHeight="1">
      <c r="A18340" s="426"/>
    </row>
    <row r="18341" spans="1:1" s="427" customFormat="1" ht="12" hidden="1" customHeight="1">
      <c r="A18341" s="426"/>
    </row>
    <row r="18342" spans="1:1" s="427" customFormat="1" ht="12" hidden="1" customHeight="1">
      <c r="A18342" s="426"/>
    </row>
    <row r="18343" spans="1:1" s="427" customFormat="1" ht="12" hidden="1" customHeight="1">
      <c r="A18343" s="426"/>
    </row>
    <row r="18344" spans="1:1" s="427" customFormat="1" ht="12" hidden="1" customHeight="1">
      <c r="A18344" s="426"/>
    </row>
    <row r="18345" spans="1:1" s="427" customFormat="1" ht="12" hidden="1" customHeight="1">
      <c r="A18345" s="426"/>
    </row>
    <row r="18346" spans="1:1" s="427" customFormat="1" ht="12" hidden="1" customHeight="1">
      <c r="A18346" s="426"/>
    </row>
    <row r="18347" spans="1:1" s="427" customFormat="1" ht="12" hidden="1" customHeight="1">
      <c r="A18347" s="426"/>
    </row>
    <row r="18348" spans="1:1" s="427" customFormat="1" ht="12" hidden="1" customHeight="1">
      <c r="A18348" s="426"/>
    </row>
    <row r="18349" spans="1:1" s="427" customFormat="1" ht="12" hidden="1" customHeight="1">
      <c r="A18349" s="426"/>
    </row>
    <row r="18350" spans="1:1" s="427" customFormat="1" ht="12" hidden="1" customHeight="1">
      <c r="A18350" s="426"/>
    </row>
    <row r="18351" spans="1:1" s="427" customFormat="1" ht="12" hidden="1" customHeight="1">
      <c r="A18351" s="426"/>
    </row>
    <row r="18352" spans="1:1" s="427" customFormat="1" ht="12" hidden="1" customHeight="1">
      <c r="A18352" s="426"/>
    </row>
    <row r="18353" spans="1:1" s="427" customFormat="1" ht="12" hidden="1" customHeight="1">
      <c r="A18353" s="426"/>
    </row>
    <row r="18354" spans="1:1" s="427" customFormat="1" ht="12" hidden="1" customHeight="1">
      <c r="A18354" s="426"/>
    </row>
    <row r="18355" spans="1:1" s="427" customFormat="1" ht="12" hidden="1" customHeight="1">
      <c r="A18355" s="426"/>
    </row>
    <row r="18356" spans="1:1" s="427" customFormat="1" ht="12" hidden="1" customHeight="1">
      <c r="A18356" s="426"/>
    </row>
    <row r="18357" spans="1:1" s="427" customFormat="1" ht="12" hidden="1" customHeight="1">
      <c r="A18357" s="426"/>
    </row>
    <row r="18358" spans="1:1" s="427" customFormat="1" ht="12" hidden="1" customHeight="1">
      <c r="A18358" s="426"/>
    </row>
    <row r="18359" spans="1:1" s="427" customFormat="1" ht="12" hidden="1" customHeight="1">
      <c r="A18359" s="426"/>
    </row>
    <row r="18360" spans="1:1" s="427" customFormat="1" ht="12" hidden="1" customHeight="1">
      <c r="A18360" s="426"/>
    </row>
    <row r="18361" spans="1:1" s="427" customFormat="1" ht="12" hidden="1" customHeight="1">
      <c r="A18361" s="426"/>
    </row>
    <row r="18362" spans="1:1" s="427" customFormat="1" ht="12" hidden="1" customHeight="1">
      <c r="A18362" s="426"/>
    </row>
    <row r="18363" spans="1:1" s="427" customFormat="1" ht="12" hidden="1" customHeight="1">
      <c r="A18363" s="426"/>
    </row>
    <row r="18364" spans="1:1" s="427" customFormat="1" ht="12" hidden="1" customHeight="1">
      <c r="A18364" s="426"/>
    </row>
    <row r="18365" spans="1:1" s="427" customFormat="1" ht="12" hidden="1" customHeight="1">
      <c r="A18365" s="426"/>
    </row>
    <row r="18366" spans="1:1" s="427" customFormat="1" ht="12" hidden="1" customHeight="1">
      <c r="A18366" s="426"/>
    </row>
    <row r="18367" spans="1:1" s="427" customFormat="1" ht="12" hidden="1" customHeight="1">
      <c r="A18367" s="426"/>
    </row>
    <row r="18368" spans="1:1" s="427" customFormat="1" ht="12" hidden="1" customHeight="1">
      <c r="A18368" s="426"/>
    </row>
    <row r="18369" spans="1:1" s="427" customFormat="1" ht="12" hidden="1" customHeight="1">
      <c r="A18369" s="426"/>
    </row>
    <row r="18370" spans="1:1" s="427" customFormat="1" ht="12" hidden="1" customHeight="1">
      <c r="A18370" s="426"/>
    </row>
    <row r="18371" spans="1:1" s="427" customFormat="1" ht="12" hidden="1" customHeight="1">
      <c r="A18371" s="426"/>
    </row>
    <row r="18372" spans="1:1" s="427" customFormat="1" ht="12" hidden="1" customHeight="1">
      <c r="A18372" s="426"/>
    </row>
    <row r="18373" spans="1:1" s="427" customFormat="1" ht="12" hidden="1" customHeight="1">
      <c r="A18373" s="426"/>
    </row>
    <row r="18374" spans="1:1" s="427" customFormat="1" ht="12" hidden="1" customHeight="1">
      <c r="A18374" s="426"/>
    </row>
    <row r="18375" spans="1:1" s="427" customFormat="1" ht="12" hidden="1" customHeight="1">
      <c r="A18375" s="426"/>
    </row>
    <row r="18376" spans="1:1" s="427" customFormat="1" ht="12" hidden="1" customHeight="1">
      <c r="A18376" s="426"/>
    </row>
    <row r="18377" spans="1:1" s="427" customFormat="1" ht="12" hidden="1" customHeight="1">
      <c r="A18377" s="426"/>
    </row>
    <row r="18378" spans="1:1" s="427" customFormat="1" ht="12" hidden="1" customHeight="1">
      <c r="A18378" s="426"/>
    </row>
    <row r="18379" spans="1:1" s="427" customFormat="1" ht="12" hidden="1" customHeight="1">
      <c r="A18379" s="426"/>
    </row>
    <row r="18380" spans="1:1" s="427" customFormat="1" ht="12" hidden="1" customHeight="1">
      <c r="A18380" s="426"/>
    </row>
    <row r="18381" spans="1:1" s="427" customFormat="1" ht="12" hidden="1" customHeight="1">
      <c r="A18381" s="426"/>
    </row>
    <row r="18382" spans="1:1" s="427" customFormat="1" ht="12" hidden="1" customHeight="1">
      <c r="A18382" s="426"/>
    </row>
    <row r="18383" spans="1:1" s="427" customFormat="1" ht="12" hidden="1" customHeight="1">
      <c r="A18383" s="426"/>
    </row>
    <row r="18384" spans="1:1" s="427" customFormat="1" ht="12" hidden="1" customHeight="1">
      <c r="A18384" s="426"/>
    </row>
    <row r="18385" spans="1:1" s="427" customFormat="1" ht="12" hidden="1" customHeight="1">
      <c r="A18385" s="426"/>
    </row>
    <row r="18386" spans="1:1" s="427" customFormat="1" ht="12" hidden="1" customHeight="1">
      <c r="A18386" s="426"/>
    </row>
    <row r="18387" spans="1:1" s="427" customFormat="1" ht="12" hidden="1" customHeight="1">
      <c r="A18387" s="426"/>
    </row>
    <row r="18388" spans="1:1" s="427" customFormat="1" ht="12" hidden="1" customHeight="1">
      <c r="A18388" s="426"/>
    </row>
    <row r="18389" spans="1:1" s="427" customFormat="1" ht="12" hidden="1" customHeight="1">
      <c r="A18389" s="426"/>
    </row>
    <row r="18390" spans="1:1" s="427" customFormat="1" ht="12" hidden="1" customHeight="1">
      <c r="A18390" s="426"/>
    </row>
    <row r="18391" spans="1:1" s="427" customFormat="1" ht="12" hidden="1" customHeight="1">
      <c r="A18391" s="426"/>
    </row>
    <row r="18392" spans="1:1" s="427" customFormat="1" ht="12" hidden="1" customHeight="1">
      <c r="A18392" s="426"/>
    </row>
    <row r="18393" spans="1:1" s="427" customFormat="1" ht="12" hidden="1" customHeight="1">
      <c r="A18393" s="426"/>
    </row>
    <row r="18394" spans="1:1" s="427" customFormat="1" ht="12" hidden="1" customHeight="1">
      <c r="A18394" s="426"/>
    </row>
    <row r="18395" spans="1:1" s="427" customFormat="1" ht="12" hidden="1" customHeight="1">
      <c r="A18395" s="426"/>
    </row>
    <row r="18396" spans="1:1" s="427" customFormat="1" ht="12" hidden="1" customHeight="1">
      <c r="A18396" s="426"/>
    </row>
    <row r="18397" spans="1:1" s="427" customFormat="1" ht="12" hidden="1" customHeight="1">
      <c r="A18397" s="426"/>
    </row>
    <row r="18398" spans="1:1" s="427" customFormat="1" ht="12" hidden="1" customHeight="1">
      <c r="A18398" s="426"/>
    </row>
    <row r="18399" spans="1:1" s="427" customFormat="1" ht="12" hidden="1" customHeight="1">
      <c r="A18399" s="426"/>
    </row>
    <row r="18400" spans="1:1" s="427" customFormat="1" ht="12" hidden="1" customHeight="1">
      <c r="A18400" s="426"/>
    </row>
    <row r="18401" spans="1:1" s="427" customFormat="1" ht="12" hidden="1" customHeight="1">
      <c r="A18401" s="426"/>
    </row>
    <row r="18402" spans="1:1" s="427" customFormat="1" ht="12" hidden="1" customHeight="1">
      <c r="A18402" s="426"/>
    </row>
    <row r="18403" spans="1:1" s="427" customFormat="1" ht="12" hidden="1" customHeight="1">
      <c r="A18403" s="426"/>
    </row>
    <row r="18404" spans="1:1" s="427" customFormat="1" ht="12" hidden="1" customHeight="1">
      <c r="A18404" s="426"/>
    </row>
    <row r="18405" spans="1:1" s="427" customFormat="1" ht="12" hidden="1" customHeight="1">
      <c r="A18405" s="426"/>
    </row>
    <row r="18406" spans="1:1" s="427" customFormat="1" ht="12" hidden="1" customHeight="1">
      <c r="A18406" s="426"/>
    </row>
    <row r="18407" spans="1:1" s="427" customFormat="1" ht="12" hidden="1" customHeight="1">
      <c r="A18407" s="426"/>
    </row>
    <row r="18408" spans="1:1" s="427" customFormat="1" ht="12" hidden="1" customHeight="1">
      <c r="A18408" s="426"/>
    </row>
    <row r="18409" spans="1:1" s="427" customFormat="1" ht="12" hidden="1" customHeight="1">
      <c r="A18409" s="426"/>
    </row>
    <row r="18410" spans="1:1" s="427" customFormat="1" ht="12" hidden="1" customHeight="1">
      <c r="A18410" s="426"/>
    </row>
    <row r="18411" spans="1:1" s="427" customFormat="1" ht="12" hidden="1" customHeight="1">
      <c r="A18411" s="426"/>
    </row>
    <row r="18412" spans="1:1" s="427" customFormat="1" ht="12" hidden="1" customHeight="1">
      <c r="A18412" s="426"/>
    </row>
    <row r="18413" spans="1:1" s="427" customFormat="1" ht="12" hidden="1" customHeight="1">
      <c r="A18413" s="426"/>
    </row>
    <row r="18414" spans="1:1" s="427" customFormat="1" ht="12" hidden="1" customHeight="1">
      <c r="A18414" s="426"/>
    </row>
    <row r="18415" spans="1:1" s="427" customFormat="1" ht="12" hidden="1" customHeight="1">
      <c r="A18415" s="426"/>
    </row>
    <row r="18416" spans="1:1" s="427" customFormat="1" ht="12" hidden="1" customHeight="1">
      <c r="A18416" s="426"/>
    </row>
    <row r="18417" spans="1:1" s="427" customFormat="1" ht="12" hidden="1" customHeight="1">
      <c r="A18417" s="426"/>
    </row>
    <row r="18418" spans="1:1" s="427" customFormat="1" ht="12" hidden="1" customHeight="1">
      <c r="A18418" s="426"/>
    </row>
    <row r="18419" spans="1:1" s="427" customFormat="1" ht="12" hidden="1" customHeight="1">
      <c r="A18419" s="426"/>
    </row>
    <row r="18420" spans="1:1" s="427" customFormat="1" ht="12" hidden="1" customHeight="1">
      <c r="A18420" s="426"/>
    </row>
    <row r="18421" spans="1:1" s="427" customFormat="1" ht="12" hidden="1" customHeight="1">
      <c r="A18421" s="426"/>
    </row>
    <row r="18422" spans="1:1" s="427" customFormat="1" ht="12" hidden="1" customHeight="1">
      <c r="A18422" s="426"/>
    </row>
    <row r="18423" spans="1:1" s="427" customFormat="1" ht="12" hidden="1" customHeight="1">
      <c r="A18423" s="426"/>
    </row>
    <row r="18424" spans="1:1" s="427" customFormat="1" ht="12" hidden="1" customHeight="1">
      <c r="A18424" s="426"/>
    </row>
    <row r="18425" spans="1:1" s="427" customFormat="1" ht="12" hidden="1" customHeight="1">
      <c r="A18425" s="426"/>
    </row>
    <row r="18426" spans="1:1" s="427" customFormat="1" ht="12" hidden="1" customHeight="1">
      <c r="A18426" s="426"/>
    </row>
    <row r="18427" spans="1:1" s="427" customFormat="1" ht="12" hidden="1" customHeight="1">
      <c r="A18427" s="426"/>
    </row>
    <row r="18428" spans="1:1" s="427" customFormat="1" ht="12" hidden="1" customHeight="1">
      <c r="A18428" s="426"/>
    </row>
    <row r="18429" spans="1:1" s="427" customFormat="1" ht="12" hidden="1" customHeight="1">
      <c r="A18429" s="426"/>
    </row>
    <row r="18430" spans="1:1" s="427" customFormat="1" ht="12" hidden="1" customHeight="1">
      <c r="A18430" s="426"/>
    </row>
    <row r="18431" spans="1:1" s="427" customFormat="1" ht="12" hidden="1" customHeight="1">
      <c r="A18431" s="426"/>
    </row>
    <row r="18432" spans="1:1" s="427" customFormat="1" ht="12" hidden="1" customHeight="1">
      <c r="A18432" s="426"/>
    </row>
    <row r="18433" spans="1:1" s="427" customFormat="1" ht="12" hidden="1" customHeight="1">
      <c r="A18433" s="426"/>
    </row>
    <row r="18434" spans="1:1" s="427" customFormat="1" ht="12" hidden="1" customHeight="1">
      <c r="A18434" s="426"/>
    </row>
    <row r="18435" spans="1:1" s="427" customFormat="1" ht="12" hidden="1" customHeight="1">
      <c r="A18435" s="426"/>
    </row>
    <row r="18436" spans="1:1" s="427" customFormat="1" ht="12" hidden="1" customHeight="1">
      <c r="A18436" s="426"/>
    </row>
    <row r="18437" spans="1:1" s="427" customFormat="1" ht="12" hidden="1" customHeight="1">
      <c r="A18437" s="426"/>
    </row>
    <row r="18438" spans="1:1" s="427" customFormat="1" ht="12" hidden="1" customHeight="1">
      <c r="A18438" s="426"/>
    </row>
    <row r="18439" spans="1:1" s="427" customFormat="1" ht="12" hidden="1" customHeight="1">
      <c r="A18439" s="426"/>
    </row>
    <row r="18440" spans="1:1" s="427" customFormat="1" ht="12" hidden="1" customHeight="1">
      <c r="A18440" s="426"/>
    </row>
    <row r="18441" spans="1:1" s="427" customFormat="1" ht="12" hidden="1" customHeight="1">
      <c r="A18441" s="426"/>
    </row>
    <row r="18442" spans="1:1" s="427" customFormat="1" ht="12" hidden="1" customHeight="1">
      <c r="A18442" s="426"/>
    </row>
    <row r="18443" spans="1:1" s="427" customFormat="1" ht="12" hidden="1" customHeight="1">
      <c r="A18443" s="426"/>
    </row>
    <row r="18444" spans="1:1" s="427" customFormat="1" ht="12" hidden="1" customHeight="1">
      <c r="A18444" s="426"/>
    </row>
    <row r="18445" spans="1:1" s="427" customFormat="1" ht="12" hidden="1" customHeight="1">
      <c r="A18445" s="426"/>
    </row>
    <row r="18446" spans="1:1" s="427" customFormat="1" ht="12" hidden="1" customHeight="1">
      <c r="A18446" s="426"/>
    </row>
    <row r="18447" spans="1:1" s="427" customFormat="1" ht="12" hidden="1" customHeight="1">
      <c r="A18447" s="426"/>
    </row>
    <row r="18448" spans="1:1" s="427" customFormat="1" ht="12" hidden="1" customHeight="1">
      <c r="A18448" s="426"/>
    </row>
    <row r="18449" spans="1:1" s="427" customFormat="1" ht="12" hidden="1" customHeight="1">
      <c r="A18449" s="426"/>
    </row>
    <row r="18450" spans="1:1" s="427" customFormat="1" ht="12" hidden="1" customHeight="1">
      <c r="A18450" s="426"/>
    </row>
    <row r="18451" spans="1:1" s="427" customFormat="1" ht="12" hidden="1" customHeight="1">
      <c r="A18451" s="426"/>
    </row>
    <row r="18452" spans="1:1" s="427" customFormat="1" ht="12" hidden="1" customHeight="1">
      <c r="A18452" s="426"/>
    </row>
    <row r="18453" spans="1:1" s="427" customFormat="1" ht="12" hidden="1" customHeight="1">
      <c r="A18453" s="426"/>
    </row>
    <row r="18454" spans="1:1" s="427" customFormat="1" ht="12" hidden="1" customHeight="1">
      <c r="A18454" s="426"/>
    </row>
    <row r="18455" spans="1:1" s="427" customFormat="1" ht="12" hidden="1" customHeight="1">
      <c r="A18455" s="426"/>
    </row>
    <row r="18456" spans="1:1" s="427" customFormat="1" ht="12" hidden="1" customHeight="1">
      <c r="A18456" s="426"/>
    </row>
    <row r="18457" spans="1:1" s="427" customFormat="1" ht="12" hidden="1" customHeight="1">
      <c r="A18457" s="426"/>
    </row>
    <row r="18458" spans="1:1" s="427" customFormat="1" ht="12" hidden="1" customHeight="1">
      <c r="A18458" s="426"/>
    </row>
    <row r="18459" spans="1:1" s="427" customFormat="1" ht="12" hidden="1" customHeight="1">
      <c r="A18459" s="426"/>
    </row>
    <row r="18460" spans="1:1" s="427" customFormat="1" ht="12" hidden="1" customHeight="1">
      <c r="A18460" s="426"/>
    </row>
    <row r="18461" spans="1:1" s="427" customFormat="1" ht="12" hidden="1" customHeight="1">
      <c r="A18461" s="426"/>
    </row>
    <row r="18462" spans="1:1" s="427" customFormat="1" ht="12" hidden="1" customHeight="1">
      <c r="A18462" s="426"/>
    </row>
    <row r="18463" spans="1:1" s="427" customFormat="1" ht="12" hidden="1" customHeight="1">
      <c r="A18463" s="426"/>
    </row>
    <row r="18464" spans="1:1" s="427" customFormat="1" ht="12" hidden="1" customHeight="1">
      <c r="A18464" s="426"/>
    </row>
    <row r="18465" spans="1:1" s="427" customFormat="1" ht="12" hidden="1" customHeight="1">
      <c r="A18465" s="426"/>
    </row>
    <row r="18466" spans="1:1" s="427" customFormat="1" ht="12" hidden="1" customHeight="1">
      <c r="A18466" s="426"/>
    </row>
    <row r="18467" spans="1:1" s="427" customFormat="1" ht="12" hidden="1" customHeight="1">
      <c r="A18467" s="426"/>
    </row>
    <row r="18468" spans="1:1" s="427" customFormat="1" ht="12" hidden="1" customHeight="1">
      <c r="A18468" s="426"/>
    </row>
    <row r="18469" spans="1:1" s="427" customFormat="1" ht="12" hidden="1" customHeight="1">
      <c r="A18469" s="426"/>
    </row>
    <row r="18470" spans="1:1" s="427" customFormat="1" ht="12" hidden="1" customHeight="1">
      <c r="A18470" s="426"/>
    </row>
    <row r="18471" spans="1:1" s="427" customFormat="1" ht="12" hidden="1" customHeight="1">
      <c r="A18471" s="426"/>
    </row>
    <row r="18472" spans="1:1" s="427" customFormat="1" ht="12" hidden="1" customHeight="1">
      <c r="A18472" s="426"/>
    </row>
    <row r="18473" spans="1:1" s="427" customFormat="1" ht="12" hidden="1" customHeight="1">
      <c r="A18473" s="426"/>
    </row>
    <row r="18474" spans="1:1" s="427" customFormat="1" ht="12" hidden="1" customHeight="1">
      <c r="A18474" s="426"/>
    </row>
    <row r="18475" spans="1:1" s="427" customFormat="1" ht="12" hidden="1" customHeight="1">
      <c r="A18475" s="426"/>
    </row>
    <row r="18476" spans="1:1" s="427" customFormat="1" ht="12" hidden="1" customHeight="1">
      <c r="A18476" s="426"/>
    </row>
    <row r="18477" spans="1:1" s="427" customFormat="1" ht="12" hidden="1" customHeight="1">
      <c r="A18477" s="426"/>
    </row>
    <row r="18478" spans="1:1" s="427" customFormat="1" ht="12" hidden="1" customHeight="1">
      <c r="A18478" s="426"/>
    </row>
    <row r="18479" spans="1:1" s="427" customFormat="1" ht="12" hidden="1" customHeight="1">
      <c r="A18479" s="426"/>
    </row>
    <row r="18480" spans="1:1" s="427" customFormat="1" ht="12" hidden="1" customHeight="1">
      <c r="A18480" s="426"/>
    </row>
    <row r="18481" spans="1:1" s="427" customFormat="1" ht="12" hidden="1" customHeight="1">
      <c r="A18481" s="426"/>
    </row>
    <row r="18482" spans="1:1" s="427" customFormat="1" ht="12" hidden="1" customHeight="1">
      <c r="A18482" s="426"/>
    </row>
    <row r="18483" spans="1:1" s="427" customFormat="1" ht="12" hidden="1" customHeight="1">
      <c r="A18483" s="426"/>
    </row>
    <row r="18484" spans="1:1" s="427" customFormat="1" ht="12" hidden="1" customHeight="1">
      <c r="A18484" s="426"/>
    </row>
    <row r="18485" spans="1:1" s="427" customFormat="1" ht="12" hidden="1" customHeight="1">
      <c r="A18485" s="426"/>
    </row>
    <row r="18486" spans="1:1" s="427" customFormat="1" ht="12" hidden="1" customHeight="1">
      <c r="A18486" s="426"/>
    </row>
    <row r="18487" spans="1:1" s="427" customFormat="1" ht="12" hidden="1" customHeight="1">
      <c r="A18487" s="426"/>
    </row>
    <row r="18488" spans="1:1" s="427" customFormat="1" ht="12" hidden="1" customHeight="1">
      <c r="A18488" s="426"/>
    </row>
    <row r="18489" spans="1:1" s="427" customFormat="1" ht="12" hidden="1" customHeight="1">
      <c r="A18489" s="426"/>
    </row>
    <row r="18490" spans="1:1" s="427" customFormat="1" ht="12" hidden="1" customHeight="1">
      <c r="A18490" s="426"/>
    </row>
    <row r="18491" spans="1:1" s="427" customFormat="1" ht="12" hidden="1" customHeight="1">
      <c r="A18491" s="426"/>
    </row>
    <row r="18492" spans="1:1" s="427" customFormat="1" ht="12" hidden="1" customHeight="1">
      <c r="A18492" s="426"/>
    </row>
    <row r="18493" spans="1:1" s="427" customFormat="1" ht="12" hidden="1" customHeight="1">
      <c r="A18493" s="426"/>
    </row>
    <row r="18494" spans="1:1" s="427" customFormat="1" ht="12" hidden="1" customHeight="1">
      <c r="A18494" s="426"/>
    </row>
    <row r="18495" spans="1:1" s="427" customFormat="1" ht="12" hidden="1" customHeight="1">
      <c r="A18495" s="426"/>
    </row>
    <row r="18496" spans="1:1" s="427" customFormat="1" ht="12" hidden="1" customHeight="1">
      <c r="A18496" s="426"/>
    </row>
    <row r="18497" spans="1:1" s="427" customFormat="1" ht="12" hidden="1" customHeight="1">
      <c r="A18497" s="426"/>
    </row>
    <row r="18498" spans="1:1" s="427" customFormat="1" ht="12" hidden="1" customHeight="1">
      <c r="A18498" s="426"/>
    </row>
    <row r="18499" spans="1:1" s="427" customFormat="1" ht="12" hidden="1" customHeight="1">
      <c r="A18499" s="426"/>
    </row>
    <row r="18500" spans="1:1" s="427" customFormat="1" ht="12" hidden="1" customHeight="1">
      <c r="A18500" s="426"/>
    </row>
    <row r="18501" spans="1:1" s="427" customFormat="1" ht="12" hidden="1" customHeight="1">
      <c r="A18501" s="426"/>
    </row>
    <row r="18502" spans="1:1" s="427" customFormat="1" ht="12" hidden="1" customHeight="1">
      <c r="A18502" s="426"/>
    </row>
    <row r="18503" spans="1:1" s="427" customFormat="1" ht="12" hidden="1" customHeight="1">
      <c r="A18503" s="426"/>
    </row>
    <row r="18504" spans="1:1" s="427" customFormat="1" ht="12" hidden="1" customHeight="1">
      <c r="A18504" s="426"/>
    </row>
    <row r="18505" spans="1:1" s="427" customFormat="1" ht="12" hidden="1" customHeight="1">
      <c r="A18505" s="426"/>
    </row>
    <row r="18506" spans="1:1" s="427" customFormat="1" ht="12" hidden="1" customHeight="1">
      <c r="A18506" s="426"/>
    </row>
    <row r="18507" spans="1:1" s="427" customFormat="1" ht="12" hidden="1" customHeight="1">
      <c r="A18507" s="426"/>
    </row>
    <row r="18508" spans="1:1" s="427" customFormat="1" ht="12" hidden="1" customHeight="1">
      <c r="A18508" s="426"/>
    </row>
    <row r="18509" spans="1:1" s="427" customFormat="1" ht="12" hidden="1" customHeight="1">
      <c r="A18509" s="426"/>
    </row>
    <row r="18510" spans="1:1" s="427" customFormat="1" ht="12" hidden="1" customHeight="1">
      <c r="A18510" s="426"/>
    </row>
    <row r="18511" spans="1:1" s="427" customFormat="1" ht="12" hidden="1" customHeight="1">
      <c r="A18511" s="426"/>
    </row>
    <row r="18512" spans="1:1" s="427" customFormat="1" ht="12" hidden="1" customHeight="1">
      <c r="A18512" s="426"/>
    </row>
    <row r="18513" spans="1:1" s="427" customFormat="1" ht="12" hidden="1" customHeight="1">
      <c r="A18513" s="426"/>
    </row>
    <row r="18514" spans="1:1" s="427" customFormat="1" ht="12" hidden="1" customHeight="1">
      <c r="A18514" s="426"/>
    </row>
    <row r="18515" spans="1:1" s="427" customFormat="1" ht="12" hidden="1" customHeight="1">
      <c r="A18515" s="426"/>
    </row>
    <row r="18516" spans="1:1" s="427" customFormat="1" ht="12" hidden="1" customHeight="1">
      <c r="A18516" s="426"/>
    </row>
    <row r="18517" spans="1:1" s="427" customFormat="1" ht="12" hidden="1" customHeight="1">
      <c r="A18517" s="426"/>
    </row>
    <row r="18518" spans="1:1" s="427" customFormat="1" ht="12" hidden="1" customHeight="1">
      <c r="A18518" s="426"/>
    </row>
    <row r="18519" spans="1:1" s="427" customFormat="1" ht="12" hidden="1" customHeight="1">
      <c r="A18519" s="426"/>
    </row>
    <row r="18520" spans="1:1" s="427" customFormat="1" ht="12" hidden="1" customHeight="1">
      <c r="A18520" s="426"/>
    </row>
    <row r="18521" spans="1:1" s="427" customFormat="1" ht="12" hidden="1" customHeight="1">
      <c r="A18521" s="426"/>
    </row>
    <row r="18522" spans="1:1" s="427" customFormat="1" ht="12" hidden="1" customHeight="1">
      <c r="A18522" s="426"/>
    </row>
    <row r="18523" spans="1:1" s="427" customFormat="1" ht="12" hidden="1" customHeight="1">
      <c r="A18523" s="426"/>
    </row>
    <row r="18524" spans="1:1" s="427" customFormat="1" ht="12" hidden="1" customHeight="1">
      <c r="A18524" s="426"/>
    </row>
    <row r="18525" spans="1:1" s="427" customFormat="1" ht="12" hidden="1" customHeight="1">
      <c r="A18525" s="426"/>
    </row>
    <row r="18526" spans="1:1" s="427" customFormat="1" ht="12" hidden="1" customHeight="1">
      <c r="A18526" s="426"/>
    </row>
    <row r="18527" spans="1:1" s="427" customFormat="1" ht="12" hidden="1" customHeight="1">
      <c r="A18527" s="426"/>
    </row>
    <row r="18528" spans="1:1" s="427" customFormat="1" ht="12" hidden="1" customHeight="1">
      <c r="A18528" s="426"/>
    </row>
    <row r="18529" spans="1:1" s="427" customFormat="1" ht="12" hidden="1" customHeight="1">
      <c r="A18529" s="426"/>
    </row>
    <row r="18530" spans="1:1" s="427" customFormat="1" ht="12" hidden="1" customHeight="1">
      <c r="A18530" s="426"/>
    </row>
    <row r="18531" spans="1:1" s="427" customFormat="1" ht="12" hidden="1" customHeight="1">
      <c r="A18531" s="426"/>
    </row>
    <row r="18532" spans="1:1" s="427" customFormat="1" ht="12" hidden="1" customHeight="1">
      <c r="A18532" s="426"/>
    </row>
    <row r="18533" spans="1:1" s="427" customFormat="1" ht="12" hidden="1" customHeight="1">
      <c r="A18533" s="426"/>
    </row>
    <row r="18534" spans="1:1" s="427" customFormat="1" ht="12" hidden="1" customHeight="1">
      <c r="A18534" s="426"/>
    </row>
    <row r="18535" spans="1:1" s="427" customFormat="1" ht="12" hidden="1" customHeight="1">
      <c r="A18535" s="426"/>
    </row>
    <row r="18536" spans="1:1" s="427" customFormat="1" ht="12" hidden="1" customHeight="1">
      <c r="A18536" s="426"/>
    </row>
    <row r="18537" spans="1:1" s="427" customFormat="1" ht="12" hidden="1" customHeight="1">
      <c r="A18537" s="426"/>
    </row>
    <row r="18538" spans="1:1" s="427" customFormat="1" ht="12" hidden="1" customHeight="1">
      <c r="A18538" s="426"/>
    </row>
    <row r="18539" spans="1:1" s="427" customFormat="1" ht="12" hidden="1" customHeight="1">
      <c r="A18539" s="426"/>
    </row>
    <row r="18540" spans="1:1" s="427" customFormat="1" ht="12" hidden="1" customHeight="1">
      <c r="A18540" s="426"/>
    </row>
    <row r="18541" spans="1:1" s="427" customFormat="1" ht="12" hidden="1" customHeight="1">
      <c r="A18541" s="426"/>
    </row>
    <row r="18542" spans="1:1" s="427" customFormat="1" ht="12" hidden="1" customHeight="1">
      <c r="A18542" s="426"/>
    </row>
    <row r="18543" spans="1:1" s="427" customFormat="1" ht="12" hidden="1" customHeight="1">
      <c r="A18543" s="426"/>
    </row>
    <row r="18544" spans="1:1" s="427" customFormat="1" ht="12" hidden="1" customHeight="1">
      <c r="A18544" s="426"/>
    </row>
    <row r="18545" spans="1:1" s="427" customFormat="1" ht="12" hidden="1" customHeight="1">
      <c r="A18545" s="426"/>
    </row>
    <row r="18546" spans="1:1" s="427" customFormat="1" ht="12" hidden="1" customHeight="1">
      <c r="A18546" s="426"/>
    </row>
    <row r="18547" spans="1:1" s="427" customFormat="1" ht="12" hidden="1" customHeight="1">
      <c r="A18547" s="426"/>
    </row>
    <row r="18548" spans="1:1" s="427" customFormat="1" ht="12" hidden="1" customHeight="1">
      <c r="A18548" s="426"/>
    </row>
    <row r="18549" spans="1:1" s="427" customFormat="1" ht="12" hidden="1" customHeight="1">
      <c r="A18549" s="426"/>
    </row>
    <row r="18550" spans="1:1" s="427" customFormat="1" ht="12" hidden="1" customHeight="1">
      <c r="A18550" s="426"/>
    </row>
    <row r="18551" spans="1:1" s="427" customFormat="1" ht="12" hidden="1" customHeight="1">
      <c r="A18551" s="426"/>
    </row>
    <row r="18552" spans="1:1" s="427" customFormat="1" ht="12" hidden="1" customHeight="1">
      <c r="A18552" s="426"/>
    </row>
    <row r="18553" spans="1:1" s="427" customFormat="1" ht="12" hidden="1" customHeight="1">
      <c r="A18553" s="426"/>
    </row>
    <row r="18554" spans="1:1" s="427" customFormat="1" ht="12" hidden="1" customHeight="1">
      <c r="A18554" s="426"/>
    </row>
    <row r="18555" spans="1:1" s="427" customFormat="1" ht="12" hidden="1" customHeight="1">
      <c r="A18555" s="426"/>
    </row>
    <row r="18556" spans="1:1" s="427" customFormat="1" ht="12" hidden="1" customHeight="1">
      <c r="A18556" s="426"/>
    </row>
    <row r="18557" spans="1:1" s="427" customFormat="1" ht="12" hidden="1" customHeight="1">
      <c r="A18557" s="426"/>
    </row>
    <row r="18558" spans="1:1" s="427" customFormat="1" ht="12" hidden="1" customHeight="1">
      <c r="A18558" s="426"/>
    </row>
    <row r="18559" spans="1:1" s="427" customFormat="1" ht="12" hidden="1" customHeight="1">
      <c r="A18559" s="426"/>
    </row>
    <row r="18560" spans="1:1" s="427" customFormat="1" ht="12" hidden="1" customHeight="1">
      <c r="A18560" s="426"/>
    </row>
    <row r="18561" spans="1:1" s="427" customFormat="1" ht="12" hidden="1" customHeight="1">
      <c r="A18561" s="426"/>
    </row>
    <row r="18562" spans="1:1" s="427" customFormat="1" ht="12" hidden="1" customHeight="1">
      <c r="A18562" s="426"/>
    </row>
    <row r="18563" spans="1:1" s="427" customFormat="1" ht="12" hidden="1" customHeight="1">
      <c r="A18563" s="426"/>
    </row>
    <row r="18564" spans="1:1" s="427" customFormat="1" ht="12" hidden="1" customHeight="1">
      <c r="A18564" s="426"/>
    </row>
    <row r="18565" spans="1:1" s="427" customFormat="1" ht="12" hidden="1" customHeight="1">
      <c r="A18565" s="426"/>
    </row>
    <row r="18566" spans="1:1" s="427" customFormat="1" ht="12" hidden="1" customHeight="1">
      <c r="A18566" s="426"/>
    </row>
    <row r="18567" spans="1:1" s="427" customFormat="1" ht="12" hidden="1" customHeight="1">
      <c r="A18567" s="426"/>
    </row>
    <row r="18568" spans="1:1" s="427" customFormat="1" ht="12" hidden="1" customHeight="1">
      <c r="A18568" s="426"/>
    </row>
    <row r="18569" spans="1:1" s="427" customFormat="1" ht="12" hidden="1" customHeight="1">
      <c r="A18569" s="426"/>
    </row>
    <row r="18570" spans="1:1" s="427" customFormat="1" ht="12" hidden="1" customHeight="1">
      <c r="A18570" s="426"/>
    </row>
    <row r="18571" spans="1:1" s="427" customFormat="1" ht="12" hidden="1" customHeight="1">
      <c r="A18571" s="426"/>
    </row>
    <row r="18572" spans="1:1" s="427" customFormat="1" ht="12" hidden="1" customHeight="1">
      <c r="A18572" s="426"/>
    </row>
    <row r="18573" spans="1:1" s="427" customFormat="1" ht="12" hidden="1" customHeight="1">
      <c r="A18573" s="426"/>
    </row>
    <row r="18574" spans="1:1" s="427" customFormat="1" ht="12" hidden="1" customHeight="1">
      <c r="A18574" s="426"/>
    </row>
    <row r="18575" spans="1:1" s="427" customFormat="1" ht="12" hidden="1" customHeight="1">
      <c r="A18575" s="426"/>
    </row>
    <row r="18576" spans="1:1" s="427" customFormat="1" ht="12" hidden="1" customHeight="1">
      <c r="A18576" s="426"/>
    </row>
    <row r="18577" spans="1:1" s="427" customFormat="1" ht="12" hidden="1" customHeight="1">
      <c r="A18577" s="426"/>
    </row>
    <row r="18578" spans="1:1" s="427" customFormat="1" ht="12" hidden="1" customHeight="1">
      <c r="A18578" s="426"/>
    </row>
    <row r="18579" spans="1:1" s="427" customFormat="1" ht="12" hidden="1" customHeight="1">
      <c r="A18579" s="426"/>
    </row>
    <row r="18580" spans="1:1" s="427" customFormat="1" ht="12" hidden="1" customHeight="1">
      <c r="A18580" s="426"/>
    </row>
    <row r="18581" spans="1:1" s="427" customFormat="1" ht="12" hidden="1" customHeight="1">
      <c r="A18581" s="426"/>
    </row>
    <row r="18582" spans="1:1" s="427" customFormat="1" ht="12" hidden="1" customHeight="1">
      <c r="A18582" s="426"/>
    </row>
    <row r="18583" spans="1:1" s="427" customFormat="1" ht="12" hidden="1" customHeight="1">
      <c r="A18583" s="426"/>
    </row>
    <row r="18584" spans="1:1" s="427" customFormat="1" ht="12" hidden="1" customHeight="1">
      <c r="A18584" s="426"/>
    </row>
    <row r="18585" spans="1:1" s="427" customFormat="1" ht="12" hidden="1" customHeight="1">
      <c r="A18585" s="426"/>
    </row>
    <row r="18586" spans="1:1" s="427" customFormat="1" ht="12" hidden="1" customHeight="1">
      <c r="A18586" s="426"/>
    </row>
    <row r="18587" spans="1:1" s="427" customFormat="1" ht="12" hidden="1" customHeight="1">
      <c r="A18587" s="426"/>
    </row>
    <row r="18588" spans="1:1" s="427" customFormat="1" ht="12" hidden="1" customHeight="1">
      <c r="A18588" s="426"/>
    </row>
    <row r="18589" spans="1:1" s="427" customFormat="1" ht="12" hidden="1" customHeight="1">
      <c r="A18589" s="426"/>
    </row>
    <row r="18590" spans="1:1" s="427" customFormat="1" ht="12" hidden="1" customHeight="1">
      <c r="A18590" s="426"/>
    </row>
    <row r="18591" spans="1:1" s="427" customFormat="1" ht="12" hidden="1" customHeight="1">
      <c r="A18591" s="426"/>
    </row>
    <row r="18592" spans="1:1" s="427" customFormat="1" ht="12" hidden="1" customHeight="1">
      <c r="A18592" s="426"/>
    </row>
    <row r="18593" spans="1:1" s="427" customFormat="1" ht="12" hidden="1" customHeight="1">
      <c r="A18593" s="426"/>
    </row>
    <row r="18594" spans="1:1" s="427" customFormat="1" ht="12" hidden="1" customHeight="1">
      <c r="A18594" s="426"/>
    </row>
    <row r="18595" spans="1:1" s="427" customFormat="1" ht="12" hidden="1" customHeight="1">
      <c r="A18595" s="426"/>
    </row>
    <row r="18596" spans="1:1" s="427" customFormat="1" ht="12" hidden="1" customHeight="1">
      <c r="A18596" s="426"/>
    </row>
    <row r="18597" spans="1:1" s="427" customFormat="1" ht="12" hidden="1" customHeight="1">
      <c r="A18597" s="426"/>
    </row>
    <row r="18598" spans="1:1" s="427" customFormat="1" ht="12" hidden="1" customHeight="1">
      <c r="A18598" s="426"/>
    </row>
    <row r="18599" spans="1:1" s="427" customFormat="1" ht="12" hidden="1" customHeight="1">
      <c r="A18599" s="426"/>
    </row>
    <row r="18600" spans="1:1" s="427" customFormat="1" ht="12" hidden="1" customHeight="1">
      <c r="A18600" s="426"/>
    </row>
    <row r="18601" spans="1:1" s="427" customFormat="1" ht="12" hidden="1" customHeight="1">
      <c r="A18601" s="426"/>
    </row>
    <row r="18602" spans="1:1" s="427" customFormat="1" ht="12" hidden="1" customHeight="1">
      <c r="A18602" s="426"/>
    </row>
    <row r="18603" spans="1:1" s="427" customFormat="1" ht="12" hidden="1" customHeight="1">
      <c r="A18603" s="426"/>
    </row>
    <row r="18604" spans="1:1" s="427" customFormat="1" ht="12" hidden="1" customHeight="1">
      <c r="A18604" s="426"/>
    </row>
    <row r="18605" spans="1:1" s="427" customFormat="1" ht="12" hidden="1" customHeight="1">
      <c r="A18605" s="426"/>
    </row>
    <row r="18606" spans="1:1" s="427" customFormat="1" ht="12" hidden="1" customHeight="1">
      <c r="A18606" s="426"/>
    </row>
    <row r="18607" spans="1:1" s="427" customFormat="1" ht="12" hidden="1" customHeight="1">
      <c r="A18607" s="426"/>
    </row>
    <row r="18608" spans="1:1" s="427" customFormat="1" ht="12" hidden="1" customHeight="1">
      <c r="A18608" s="426"/>
    </row>
    <row r="18609" spans="1:1" s="427" customFormat="1" ht="12" hidden="1" customHeight="1">
      <c r="A18609" s="426"/>
    </row>
    <row r="18610" spans="1:1" s="427" customFormat="1" ht="12" hidden="1" customHeight="1">
      <c r="A18610" s="426"/>
    </row>
    <row r="18611" spans="1:1" s="427" customFormat="1" ht="12" hidden="1" customHeight="1">
      <c r="A18611" s="426"/>
    </row>
    <row r="18612" spans="1:1" s="427" customFormat="1" ht="12" hidden="1" customHeight="1">
      <c r="A18612" s="426"/>
    </row>
    <row r="18613" spans="1:1" s="427" customFormat="1" ht="12" hidden="1" customHeight="1">
      <c r="A18613" s="426"/>
    </row>
    <row r="18614" spans="1:1" s="427" customFormat="1" ht="12" hidden="1" customHeight="1">
      <c r="A18614" s="426"/>
    </row>
    <row r="18615" spans="1:1" s="427" customFormat="1" ht="12" hidden="1" customHeight="1">
      <c r="A18615" s="426"/>
    </row>
    <row r="18616" spans="1:1" s="427" customFormat="1" ht="12" hidden="1" customHeight="1">
      <c r="A18616" s="426"/>
    </row>
    <row r="18617" spans="1:1" s="427" customFormat="1" ht="12" hidden="1" customHeight="1">
      <c r="A18617" s="426"/>
    </row>
    <row r="18618" spans="1:1" s="427" customFormat="1" ht="12" hidden="1" customHeight="1">
      <c r="A18618" s="426"/>
    </row>
    <row r="18619" spans="1:1" s="427" customFormat="1" ht="12" hidden="1" customHeight="1">
      <c r="A18619" s="426"/>
    </row>
    <row r="18620" spans="1:1" s="427" customFormat="1" ht="12" hidden="1" customHeight="1">
      <c r="A18620" s="426"/>
    </row>
    <row r="18621" spans="1:1" s="427" customFormat="1" ht="12" hidden="1" customHeight="1">
      <c r="A18621" s="426"/>
    </row>
    <row r="18622" spans="1:1" s="427" customFormat="1" ht="12" hidden="1" customHeight="1">
      <c r="A18622" s="426"/>
    </row>
    <row r="18623" spans="1:1" s="427" customFormat="1" ht="12" hidden="1" customHeight="1">
      <c r="A18623" s="426"/>
    </row>
    <row r="18624" spans="1:1" s="427" customFormat="1" ht="12" hidden="1" customHeight="1">
      <c r="A18624" s="426"/>
    </row>
    <row r="18625" spans="1:1" s="427" customFormat="1" ht="12" hidden="1" customHeight="1">
      <c r="A18625" s="426"/>
    </row>
    <row r="18626" spans="1:1" s="427" customFormat="1" ht="12" hidden="1" customHeight="1">
      <c r="A18626" s="426"/>
    </row>
    <row r="18627" spans="1:1" s="427" customFormat="1" ht="12" hidden="1" customHeight="1">
      <c r="A18627" s="426"/>
    </row>
    <row r="18628" spans="1:1" s="427" customFormat="1" ht="12" hidden="1" customHeight="1">
      <c r="A18628" s="426"/>
    </row>
    <row r="18629" spans="1:1" s="427" customFormat="1" ht="12" hidden="1" customHeight="1">
      <c r="A18629" s="426"/>
    </row>
    <row r="18630" spans="1:1" s="427" customFormat="1" ht="12" hidden="1" customHeight="1">
      <c r="A18630" s="426"/>
    </row>
    <row r="18631" spans="1:1" s="427" customFormat="1" ht="12" hidden="1" customHeight="1">
      <c r="A18631" s="426"/>
    </row>
    <row r="18632" spans="1:1" s="427" customFormat="1" ht="12" hidden="1" customHeight="1">
      <c r="A18632" s="426"/>
    </row>
    <row r="18633" spans="1:1" s="427" customFormat="1" ht="12" hidden="1" customHeight="1">
      <c r="A18633" s="426"/>
    </row>
    <row r="18634" spans="1:1" s="427" customFormat="1" ht="12" hidden="1" customHeight="1">
      <c r="A18634" s="426"/>
    </row>
    <row r="18635" spans="1:1" s="427" customFormat="1" ht="12" hidden="1" customHeight="1">
      <c r="A18635" s="426"/>
    </row>
    <row r="18636" spans="1:1" s="427" customFormat="1" ht="12" hidden="1" customHeight="1">
      <c r="A18636" s="426"/>
    </row>
    <row r="18637" spans="1:1" s="427" customFormat="1" ht="12" hidden="1" customHeight="1">
      <c r="A18637" s="426"/>
    </row>
    <row r="18638" spans="1:1" s="427" customFormat="1" ht="12" hidden="1" customHeight="1">
      <c r="A18638" s="426"/>
    </row>
    <row r="18639" spans="1:1" s="427" customFormat="1" ht="12" hidden="1" customHeight="1">
      <c r="A18639" s="426"/>
    </row>
    <row r="18640" spans="1:1" s="427" customFormat="1" ht="12" hidden="1" customHeight="1">
      <c r="A18640" s="426"/>
    </row>
    <row r="18641" spans="1:1" s="427" customFormat="1" ht="12" hidden="1" customHeight="1">
      <c r="A18641" s="426"/>
    </row>
    <row r="18642" spans="1:1" s="427" customFormat="1" ht="12" hidden="1" customHeight="1">
      <c r="A18642" s="426"/>
    </row>
    <row r="18643" spans="1:1" s="427" customFormat="1" ht="12" hidden="1" customHeight="1">
      <c r="A18643" s="426"/>
    </row>
    <row r="18644" spans="1:1" s="427" customFormat="1" ht="12" hidden="1" customHeight="1">
      <c r="A18644" s="426"/>
    </row>
    <row r="18645" spans="1:1" s="427" customFormat="1" ht="12" hidden="1" customHeight="1">
      <c r="A18645" s="426"/>
    </row>
    <row r="18646" spans="1:1" s="427" customFormat="1" ht="12" hidden="1" customHeight="1">
      <c r="A18646" s="426"/>
    </row>
    <row r="18647" spans="1:1" s="427" customFormat="1" ht="12" hidden="1" customHeight="1">
      <c r="A18647" s="426"/>
    </row>
    <row r="18648" spans="1:1" s="427" customFormat="1" ht="12" hidden="1" customHeight="1">
      <c r="A18648" s="426"/>
    </row>
    <row r="18649" spans="1:1" s="427" customFormat="1" ht="12" hidden="1" customHeight="1">
      <c r="A18649" s="426"/>
    </row>
    <row r="18650" spans="1:1" s="427" customFormat="1" ht="12" hidden="1" customHeight="1">
      <c r="A18650" s="426"/>
    </row>
    <row r="18651" spans="1:1" s="427" customFormat="1" ht="12" hidden="1" customHeight="1">
      <c r="A18651" s="426"/>
    </row>
    <row r="18652" spans="1:1" s="427" customFormat="1" ht="12" hidden="1" customHeight="1">
      <c r="A18652" s="426"/>
    </row>
    <row r="18653" spans="1:1" s="427" customFormat="1" ht="12" hidden="1" customHeight="1">
      <c r="A18653" s="426"/>
    </row>
    <row r="18654" spans="1:1" s="427" customFormat="1" ht="12" hidden="1" customHeight="1">
      <c r="A18654" s="426"/>
    </row>
    <row r="18655" spans="1:1" s="427" customFormat="1" ht="12" hidden="1" customHeight="1">
      <c r="A18655" s="426"/>
    </row>
    <row r="18656" spans="1:1" s="427" customFormat="1" ht="12" hidden="1" customHeight="1">
      <c r="A18656" s="426"/>
    </row>
    <row r="18657" spans="1:1" s="427" customFormat="1" ht="12" hidden="1" customHeight="1">
      <c r="A18657" s="426"/>
    </row>
    <row r="18658" spans="1:1" s="427" customFormat="1" ht="12" hidden="1" customHeight="1">
      <c r="A18658" s="426"/>
    </row>
    <row r="18659" spans="1:1" s="427" customFormat="1" ht="12" hidden="1" customHeight="1">
      <c r="A18659" s="426"/>
    </row>
    <row r="18660" spans="1:1" s="427" customFormat="1" ht="12" hidden="1" customHeight="1">
      <c r="A18660" s="426"/>
    </row>
    <row r="18661" spans="1:1" s="427" customFormat="1" ht="12" hidden="1" customHeight="1">
      <c r="A18661" s="426"/>
    </row>
    <row r="18662" spans="1:1" s="427" customFormat="1" ht="12" hidden="1" customHeight="1">
      <c r="A18662" s="426"/>
    </row>
    <row r="18663" spans="1:1" s="427" customFormat="1" ht="12" hidden="1" customHeight="1">
      <c r="A18663" s="426"/>
    </row>
    <row r="18664" spans="1:1" s="427" customFormat="1" ht="12" hidden="1" customHeight="1">
      <c r="A18664" s="426"/>
    </row>
    <row r="18665" spans="1:1" s="427" customFormat="1" ht="12" hidden="1" customHeight="1">
      <c r="A18665" s="426"/>
    </row>
    <row r="18666" spans="1:1" s="427" customFormat="1" ht="12" hidden="1" customHeight="1">
      <c r="A18666" s="426"/>
    </row>
    <row r="18667" spans="1:1" s="427" customFormat="1" ht="12" hidden="1" customHeight="1">
      <c r="A18667" s="426"/>
    </row>
    <row r="18668" spans="1:1" s="427" customFormat="1" ht="12" hidden="1" customHeight="1">
      <c r="A18668" s="426"/>
    </row>
    <row r="18669" spans="1:1" s="427" customFormat="1" ht="12" hidden="1" customHeight="1">
      <c r="A18669" s="426"/>
    </row>
    <row r="18670" spans="1:1" s="427" customFormat="1" ht="12" hidden="1" customHeight="1">
      <c r="A18670" s="426"/>
    </row>
    <row r="18671" spans="1:1" s="427" customFormat="1" ht="12" hidden="1" customHeight="1">
      <c r="A18671" s="426"/>
    </row>
    <row r="18672" spans="1:1" s="427" customFormat="1" ht="12" hidden="1" customHeight="1">
      <c r="A18672" s="426"/>
    </row>
    <row r="18673" spans="1:1" s="427" customFormat="1" ht="12" hidden="1" customHeight="1">
      <c r="A18673" s="426"/>
    </row>
    <row r="18674" spans="1:1" s="427" customFormat="1" ht="12" hidden="1" customHeight="1">
      <c r="A18674" s="426"/>
    </row>
    <row r="18675" spans="1:1" s="427" customFormat="1" ht="12" hidden="1" customHeight="1">
      <c r="A18675" s="426"/>
    </row>
    <row r="18676" spans="1:1" s="427" customFormat="1" ht="12" hidden="1" customHeight="1">
      <c r="A18676" s="426"/>
    </row>
    <row r="18677" spans="1:1" s="427" customFormat="1" ht="12" hidden="1" customHeight="1">
      <c r="A18677" s="426"/>
    </row>
    <row r="18678" spans="1:1" s="427" customFormat="1" ht="12" hidden="1" customHeight="1">
      <c r="A18678" s="426"/>
    </row>
    <row r="18679" spans="1:1" s="427" customFormat="1" ht="12" hidden="1" customHeight="1">
      <c r="A18679" s="426"/>
    </row>
    <row r="18680" spans="1:1" s="427" customFormat="1" ht="12" hidden="1" customHeight="1">
      <c r="A18680" s="426"/>
    </row>
    <row r="18681" spans="1:1" s="427" customFormat="1" ht="12" hidden="1" customHeight="1">
      <c r="A18681" s="426"/>
    </row>
    <row r="18682" spans="1:1" s="427" customFormat="1" ht="12" hidden="1" customHeight="1">
      <c r="A18682" s="426"/>
    </row>
    <row r="18683" spans="1:1" s="427" customFormat="1" ht="12" hidden="1" customHeight="1">
      <c r="A18683" s="426"/>
    </row>
    <row r="18684" spans="1:1" s="427" customFormat="1" ht="12" hidden="1" customHeight="1">
      <c r="A18684" s="426"/>
    </row>
    <row r="18685" spans="1:1" s="427" customFormat="1" ht="12" hidden="1" customHeight="1">
      <c r="A18685" s="426"/>
    </row>
    <row r="18686" spans="1:1" s="427" customFormat="1" ht="12" hidden="1" customHeight="1">
      <c r="A18686" s="426"/>
    </row>
    <row r="18687" spans="1:1" s="427" customFormat="1" ht="12" hidden="1" customHeight="1">
      <c r="A18687" s="426"/>
    </row>
    <row r="18688" spans="1:1" s="427" customFormat="1" ht="12" hidden="1" customHeight="1">
      <c r="A18688" s="426"/>
    </row>
    <row r="18689" spans="1:1" s="427" customFormat="1" ht="12" hidden="1" customHeight="1">
      <c r="A18689" s="426"/>
    </row>
    <row r="18690" spans="1:1" s="427" customFormat="1" ht="12" hidden="1" customHeight="1">
      <c r="A18690" s="426"/>
    </row>
    <row r="18691" spans="1:1" s="427" customFormat="1" ht="12" hidden="1" customHeight="1">
      <c r="A18691" s="426"/>
    </row>
    <row r="18692" spans="1:1" s="427" customFormat="1" ht="12" hidden="1" customHeight="1">
      <c r="A18692" s="426"/>
    </row>
    <row r="18693" spans="1:1" s="427" customFormat="1" ht="12" hidden="1" customHeight="1">
      <c r="A18693" s="426"/>
    </row>
    <row r="18694" spans="1:1" s="427" customFormat="1" ht="12" hidden="1" customHeight="1">
      <c r="A18694" s="426"/>
    </row>
    <row r="18695" spans="1:1" s="427" customFormat="1" ht="12" hidden="1" customHeight="1">
      <c r="A18695" s="426"/>
    </row>
    <row r="18696" spans="1:1" s="427" customFormat="1" ht="12" hidden="1" customHeight="1">
      <c r="A18696" s="426"/>
    </row>
    <row r="18697" spans="1:1" s="427" customFormat="1" ht="12" hidden="1" customHeight="1">
      <c r="A18697" s="426"/>
    </row>
    <row r="18698" spans="1:1" s="427" customFormat="1" ht="12" hidden="1" customHeight="1">
      <c r="A18698" s="426"/>
    </row>
    <row r="18699" spans="1:1" s="427" customFormat="1" ht="12" hidden="1" customHeight="1">
      <c r="A18699" s="426"/>
    </row>
    <row r="18700" spans="1:1" s="427" customFormat="1" ht="12" hidden="1" customHeight="1">
      <c r="A18700" s="426"/>
    </row>
    <row r="18701" spans="1:1" s="427" customFormat="1" ht="12" hidden="1" customHeight="1">
      <c r="A18701" s="426"/>
    </row>
    <row r="18702" spans="1:1" s="427" customFormat="1" ht="12" hidden="1" customHeight="1">
      <c r="A18702" s="426"/>
    </row>
    <row r="18703" spans="1:1" s="427" customFormat="1" ht="12" hidden="1" customHeight="1">
      <c r="A18703" s="426"/>
    </row>
    <row r="18704" spans="1:1" s="427" customFormat="1" ht="12" hidden="1" customHeight="1">
      <c r="A18704" s="426"/>
    </row>
    <row r="18705" spans="1:1" s="427" customFormat="1" ht="12" hidden="1" customHeight="1">
      <c r="A18705" s="426"/>
    </row>
    <row r="18706" spans="1:1" s="427" customFormat="1" ht="12" hidden="1" customHeight="1">
      <c r="A18706" s="426"/>
    </row>
    <row r="18707" spans="1:1" s="427" customFormat="1" ht="12" hidden="1" customHeight="1">
      <c r="A18707" s="426"/>
    </row>
    <row r="18708" spans="1:1" s="427" customFormat="1" ht="12" hidden="1" customHeight="1">
      <c r="A18708" s="426"/>
    </row>
    <row r="18709" spans="1:1" s="427" customFormat="1" ht="12" hidden="1" customHeight="1">
      <c r="A18709" s="426"/>
    </row>
    <row r="18710" spans="1:1" s="427" customFormat="1" ht="12" hidden="1" customHeight="1">
      <c r="A18710" s="426"/>
    </row>
    <row r="18711" spans="1:1" s="427" customFormat="1" ht="12" hidden="1" customHeight="1">
      <c r="A18711" s="426"/>
    </row>
    <row r="18712" spans="1:1" s="427" customFormat="1" ht="12" hidden="1" customHeight="1">
      <c r="A18712" s="426"/>
    </row>
    <row r="18713" spans="1:1" s="427" customFormat="1" ht="12" hidden="1" customHeight="1">
      <c r="A18713" s="426"/>
    </row>
    <row r="18714" spans="1:1" s="427" customFormat="1" ht="12" hidden="1" customHeight="1">
      <c r="A18714" s="426"/>
    </row>
    <row r="18715" spans="1:1" s="427" customFormat="1" ht="12" hidden="1" customHeight="1">
      <c r="A18715" s="426"/>
    </row>
    <row r="18716" spans="1:1" s="427" customFormat="1" ht="12" hidden="1" customHeight="1">
      <c r="A18716" s="426"/>
    </row>
    <row r="18717" spans="1:1" s="427" customFormat="1" ht="12" hidden="1" customHeight="1">
      <c r="A18717" s="426"/>
    </row>
    <row r="18718" spans="1:1" s="427" customFormat="1" ht="12" hidden="1" customHeight="1">
      <c r="A18718" s="426"/>
    </row>
    <row r="18719" spans="1:1" s="427" customFormat="1" ht="12" hidden="1" customHeight="1">
      <c r="A18719" s="426"/>
    </row>
    <row r="18720" spans="1:1" s="427" customFormat="1" ht="12" hidden="1" customHeight="1">
      <c r="A18720" s="426"/>
    </row>
    <row r="18721" spans="1:1" s="427" customFormat="1" ht="12" hidden="1" customHeight="1">
      <c r="A18721" s="426"/>
    </row>
    <row r="18722" spans="1:1" s="427" customFormat="1" ht="12" hidden="1" customHeight="1">
      <c r="A18722" s="426"/>
    </row>
    <row r="18723" spans="1:1" s="427" customFormat="1" ht="12" hidden="1" customHeight="1">
      <c r="A18723" s="426"/>
    </row>
    <row r="18724" spans="1:1" s="427" customFormat="1" ht="12" hidden="1" customHeight="1">
      <c r="A18724" s="426"/>
    </row>
    <row r="18725" spans="1:1" s="427" customFormat="1" ht="12" hidden="1" customHeight="1">
      <c r="A18725" s="426"/>
    </row>
    <row r="18726" spans="1:1" s="427" customFormat="1" ht="12" hidden="1" customHeight="1">
      <c r="A18726" s="426"/>
    </row>
    <row r="18727" spans="1:1" s="427" customFormat="1" ht="12" hidden="1" customHeight="1">
      <c r="A18727" s="426"/>
    </row>
    <row r="18728" spans="1:1" s="427" customFormat="1" ht="12" hidden="1" customHeight="1">
      <c r="A18728" s="426"/>
    </row>
    <row r="18729" spans="1:1" s="427" customFormat="1" ht="12" hidden="1" customHeight="1">
      <c r="A18729" s="426"/>
    </row>
    <row r="18730" spans="1:1" s="427" customFormat="1" ht="12" hidden="1" customHeight="1">
      <c r="A18730" s="426"/>
    </row>
    <row r="18731" spans="1:1" s="427" customFormat="1" ht="12" hidden="1" customHeight="1">
      <c r="A18731" s="426"/>
    </row>
    <row r="18732" spans="1:1" s="427" customFormat="1" ht="12" hidden="1" customHeight="1">
      <c r="A18732" s="426"/>
    </row>
    <row r="18733" spans="1:1" s="427" customFormat="1" ht="12" hidden="1" customHeight="1">
      <c r="A18733" s="426"/>
    </row>
    <row r="18734" spans="1:1" s="427" customFormat="1" ht="12" hidden="1" customHeight="1">
      <c r="A18734" s="426"/>
    </row>
    <row r="18735" spans="1:1" s="427" customFormat="1" ht="12" hidden="1" customHeight="1">
      <c r="A18735" s="426"/>
    </row>
    <row r="18736" spans="1:1" s="427" customFormat="1" ht="12" hidden="1" customHeight="1">
      <c r="A18736" s="426"/>
    </row>
    <row r="18737" spans="1:1" s="427" customFormat="1" ht="12" hidden="1" customHeight="1">
      <c r="A18737" s="426"/>
    </row>
    <row r="18738" spans="1:1" s="427" customFormat="1" ht="12" hidden="1" customHeight="1">
      <c r="A18738" s="426"/>
    </row>
    <row r="18739" spans="1:1" s="427" customFormat="1" ht="12" hidden="1" customHeight="1">
      <c r="A18739" s="426"/>
    </row>
    <row r="18740" spans="1:1" s="427" customFormat="1" ht="12" hidden="1" customHeight="1">
      <c r="A18740" s="426"/>
    </row>
    <row r="18741" spans="1:1" s="427" customFormat="1" ht="12" hidden="1" customHeight="1">
      <c r="A18741" s="426"/>
    </row>
    <row r="18742" spans="1:1" s="427" customFormat="1" ht="12" hidden="1" customHeight="1">
      <c r="A18742" s="426"/>
    </row>
    <row r="18743" spans="1:1" s="427" customFormat="1" ht="12" hidden="1" customHeight="1">
      <c r="A18743" s="426"/>
    </row>
    <row r="18744" spans="1:1" s="427" customFormat="1" ht="12" hidden="1" customHeight="1">
      <c r="A18744" s="426"/>
    </row>
    <row r="18745" spans="1:1" s="427" customFormat="1" ht="12" hidden="1" customHeight="1">
      <c r="A18745" s="426"/>
    </row>
    <row r="18746" spans="1:1" s="427" customFormat="1" ht="12" hidden="1" customHeight="1">
      <c r="A18746" s="426"/>
    </row>
    <row r="18747" spans="1:1" s="427" customFormat="1" ht="12" hidden="1" customHeight="1">
      <c r="A18747" s="426"/>
    </row>
    <row r="18748" spans="1:1" s="427" customFormat="1" ht="12" hidden="1" customHeight="1">
      <c r="A18748" s="426"/>
    </row>
    <row r="18749" spans="1:1" s="427" customFormat="1" ht="12" hidden="1" customHeight="1">
      <c r="A18749" s="426"/>
    </row>
    <row r="18750" spans="1:1" s="427" customFormat="1" ht="12" hidden="1" customHeight="1">
      <c r="A18750" s="426"/>
    </row>
    <row r="18751" spans="1:1" s="427" customFormat="1" ht="12" hidden="1" customHeight="1">
      <c r="A18751" s="426"/>
    </row>
    <row r="18752" spans="1:1" s="427" customFormat="1" ht="12" hidden="1" customHeight="1">
      <c r="A18752" s="426"/>
    </row>
    <row r="18753" spans="1:1" s="427" customFormat="1" ht="12" hidden="1" customHeight="1">
      <c r="A18753" s="426"/>
    </row>
    <row r="18754" spans="1:1" s="427" customFormat="1" ht="12" hidden="1" customHeight="1">
      <c r="A18754" s="426"/>
    </row>
    <row r="18755" spans="1:1" s="427" customFormat="1" ht="12" hidden="1" customHeight="1">
      <c r="A18755" s="426"/>
    </row>
    <row r="18756" spans="1:1" s="427" customFormat="1" ht="12" hidden="1" customHeight="1">
      <c r="A18756" s="426"/>
    </row>
    <row r="18757" spans="1:1" s="427" customFormat="1" ht="12" hidden="1" customHeight="1">
      <c r="A18757" s="426"/>
    </row>
    <row r="18758" spans="1:1" s="427" customFormat="1" ht="12" hidden="1" customHeight="1">
      <c r="A18758" s="426"/>
    </row>
    <row r="18759" spans="1:1" s="427" customFormat="1" ht="12" hidden="1" customHeight="1">
      <c r="A18759" s="426"/>
    </row>
    <row r="18760" spans="1:1" s="427" customFormat="1" ht="12" hidden="1" customHeight="1">
      <c r="A18760" s="426"/>
    </row>
    <row r="18761" spans="1:1" s="427" customFormat="1" ht="12" hidden="1" customHeight="1">
      <c r="A18761" s="426"/>
    </row>
    <row r="18762" spans="1:1" s="427" customFormat="1" ht="12" hidden="1" customHeight="1">
      <c r="A18762" s="426"/>
    </row>
    <row r="18763" spans="1:1" s="427" customFormat="1" ht="12" hidden="1" customHeight="1">
      <c r="A18763" s="426"/>
    </row>
    <row r="18764" spans="1:1" s="427" customFormat="1" ht="12" hidden="1" customHeight="1">
      <c r="A18764" s="426"/>
    </row>
    <row r="18765" spans="1:1" s="427" customFormat="1" ht="12" hidden="1" customHeight="1">
      <c r="A18765" s="426"/>
    </row>
    <row r="18766" spans="1:1" s="427" customFormat="1" ht="12" hidden="1" customHeight="1">
      <c r="A18766" s="426"/>
    </row>
    <row r="18767" spans="1:1" s="427" customFormat="1" ht="12" hidden="1" customHeight="1">
      <c r="A18767" s="426"/>
    </row>
    <row r="18768" spans="1:1" s="427" customFormat="1" ht="12" hidden="1" customHeight="1">
      <c r="A18768" s="426"/>
    </row>
    <row r="18769" spans="1:1" s="427" customFormat="1" ht="12" hidden="1" customHeight="1">
      <c r="A18769" s="426"/>
    </row>
    <row r="18770" spans="1:1" s="427" customFormat="1" ht="12" hidden="1" customHeight="1">
      <c r="A18770" s="426"/>
    </row>
    <row r="18771" spans="1:1" s="427" customFormat="1" ht="12" hidden="1" customHeight="1">
      <c r="A18771" s="426"/>
    </row>
    <row r="18772" spans="1:1" s="427" customFormat="1" ht="12" hidden="1" customHeight="1">
      <c r="A18772" s="426"/>
    </row>
    <row r="18773" spans="1:1" s="427" customFormat="1" ht="12" hidden="1" customHeight="1">
      <c r="A18773" s="426"/>
    </row>
    <row r="18774" spans="1:1" s="427" customFormat="1" ht="12" hidden="1" customHeight="1">
      <c r="A18774" s="426"/>
    </row>
    <row r="18775" spans="1:1" s="427" customFormat="1" ht="12" hidden="1" customHeight="1">
      <c r="A18775" s="426"/>
    </row>
    <row r="18776" spans="1:1" s="427" customFormat="1" ht="12" hidden="1" customHeight="1">
      <c r="A18776" s="426"/>
    </row>
    <row r="18777" spans="1:1" s="427" customFormat="1" ht="12" hidden="1" customHeight="1">
      <c r="A18777" s="426"/>
    </row>
    <row r="18778" spans="1:1" s="427" customFormat="1" ht="12" hidden="1" customHeight="1">
      <c r="A18778" s="426"/>
    </row>
    <row r="18779" spans="1:1" s="427" customFormat="1" ht="12" hidden="1" customHeight="1">
      <c r="A18779" s="426"/>
    </row>
    <row r="18780" spans="1:1" s="427" customFormat="1" ht="12" hidden="1" customHeight="1">
      <c r="A18780" s="426"/>
    </row>
    <row r="18781" spans="1:1" s="427" customFormat="1" ht="12" hidden="1" customHeight="1">
      <c r="A18781" s="426"/>
    </row>
    <row r="18782" spans="1:1" s="427" customFormat="1" ht="12" hidden="1" customHeight="1">
      <c r="A18782" s="426"/>
    </row>
    <row r="18783" spans="1:1" s="427" customFormat="1" ht="12" hidden="1" customHeight="1">
      <c r="A18783" s="426"/>
    </row>
    <row r="18784" spans="1:1" s="427" customFormat="1" ht="12" hidden="1" customHeight="1">
      <c r="A18784" s="426"/>
    </row>
    <row r="18785" spans="1:1" s="427" customFormat="1" ht="12" hidden="1" customHeight="1">
      <c r="A18785" s="426"/>
    </row>
    <row r="18786" spans="1:1" s="427" customFormat="1" ht="12" hidden="1" customHeight="1">
      <c r="A18786" s="426"/>
    </row>
    <row r="18787" spans="1:1" s="427" customFormat="1" ht="12" hidden="1" customHeight="1">
      <c r="A18787" s="426"/>
    </row>
    <row r="18788" spans="1:1" s="427" customFormat="1" ht="12" hidden="1" customHeight="1">
      <c r="A18788" s="426"/>
    </row>
    <row r="18789" spans="1:1" s="427" customFormat="1" ht="12" hidden="1" customHeight="1">
      <c r="A18789" s="426"/>
    </row>
    <row r="18790" spans="1:1" s="427" customFormat="1" ht="12" hidden="1" customHeight="1">
      <c r="A18790" s="426"/>
    </row>
    <row r="18791" spans="1:1" s="427" customFormat="1" ht="12" hidden="1" customHeight="1">
      <c r="A18791" s="426"/>
    </row>
    <row r="18792" spans="1:1" s="427" customFormat="1" ht="12" hidden="1" customHeight="1">
      <c r="A18792" s="426"/>
    </row>
    <row r="18793" spans="1:1" s="427" customFormat="1" ht="12" hidden="1" customHeight="1">
      <c r="A18793" s="426"/>
    </row>
    <row r="18794" spans="1:1" s="427" customFormat="1" ht="12" hidden="1" customHeight="1">
      <c r="A18794" s="426"/>
    </row>
    <row r="18795" spans="1:1" s="427" customFormat="1" ht="12" hidden="1" customHeight="1">
      <c r="A18795" s="426"/>
    </row>
    <row r="18796" spans="1:1" s="427" customFormat="1" ht="12" hidden="1" customHeight="1">
      <c r="A18796" s="426"/>
    </row>
    <row r="18797" spans="1:1" s="427" customFormat="1" ht="12" hidden="1" customHeight="1">
      <c r="A18797" s="426"/>
    </row>
    <row r="18798" spans="1:1" s="427" customFormat="1" ht="12" hidden="1" customHeight="1">
      <c r="A18798" s="426"/>
    </row>
    <row r="18799" spans="1:1" s="427" customFormat="1" ht="12" hidden="1" customHeight="1">
      <c r="A18799" s="426"/>
    </row>
    <row r="18800" spans="1:1" s="427" customFormat="1" ht="12" hidden="1" customHeight="1">
      <c r="A18800" s="426"/>
    </row>
    <row r="18801" spans="1:1" s="427" customFormat="1" ht="12" hidden="1" customHeight="1">
      <c r="A18801" s="426"/>
    </row>
    <row r="18802" spans="1:1" s="427" customFormat="1" ht="12" hidden="1" customHeight="1">
      <c r="A18802" s="426"/>
    </row>
    <row r="18803" spans="1:1" s="427" customFormat="1" ht="12" hidden="1" customHeight="1">
      <c r="A18803" s="426"/>
    </row>
    <row r="18804" spans="1:1" s="427" customFormat="1" ht="12" hidden="1" customHeight="1">
      <c r="A18804" s="426"/>
    </row>
    <row r="18805" spans="1:1" s="427" customFormat="1" ht="12" hidden="1" customHeight="1">
      <c r="A18805" s="426"/>
    </row>
    <row r="18806" spans="1:1" s="427" customFormat="1" ht="12" hidden="1" customHeight="1">
      <c r="A18806" s="426"/>
    </row>
    <row r="18807" spans="1:1" s="427" customFormat="1" ht="12" hidden="1" customHeight="1">
      <c r="A18807" s="426"/>
    </row>
    <row r="18808" spans="1:1" s="427" customFormat="1" ht="12" hidden="1" customHeight="1">
      <c r="A18808" s="426"/>
    </row>
    <row r="18809" spans="1:1" s="427" customFormat="1" ht="12" hidden="1" customHeight="1">
      <c r="A18809" s="426"/>
    </row>
    <row r="18810" spans="1:1" s="427" customFormat="1" ht="12" hidden="1" customHeight="1">
      <c r="A18810" s="426"/>
    </row>
    <row r="18811" spans="1:1" s="427" customFormat="1" ht="12" hidden="1" customHeight="1">
      <c r="A18811" s="426"/>
    </row>
    <row r="18812" spans="1:1" s="427" customFormat="1" ht="12" hidden="1" customHeight="1">
      <c r="A18812" s="426"/>
    </row>
    <row r="18813" spans="1:1" s="427" customFormat="1" ht="12" hidden="1" customHeight="1">
      <c r="A18813" s="426"/>
    </row>
    <row r="18814" spans="1:1" s="427" customFormat="1" ht="12" hidden="1" customHeight="1">
      <c r="A18814" s="426"/>
    </row>
    <row r="18815" spans="1:1" s="427" customFormat="1" ht="12" hidden="1" customHeight="1">
      <c r="A18815" s="426"/>
    </row>
    <row r="18816" spans="1:1" s="427" customFormat="1" ht="12" hidden="1" customHeight="1">
      <c r="A18816" s="426"/>
    </row>
    <row r="18817" spans="1:1" s="427" customFormat="1" ht="12" hidden="1" customHeight="1">
      <c r="A18817" s="426"/>
    </row>
    <row r="18818" spans="1:1" s="427" customFormat="1" ht="12" hidden="1" customHeight="1">
      <c r="A18818" s="426"/>
    </row>
    <row r="18819" spans="1:1" s="427" customFormat="1" ht="12" hidden="1" customHeight="1">
      <c r="A18819" s="426"/>
    </row>
    <row r="18820" spans="1:1" s="427" customFormat="1" ht="12" hidden="1" customHeight="1">
      <c r="A18820" s="426"/>
    </row>
    <row r="18821" spans="1:1" s="427" customFormat="1" ht="12" hidden="1" customHeight="1">
      <c r="A18821" s="426"/>
    </row>
    <row r="18822" spans="1:1" s="427" customFormat="1" ht="12" hidden="1" customHeight="1">
      <c r="A18822" s="426"/>
    </row>
    <row r="18823" spans="1:1" s="427" customFormat="1" ht="12" hidden="1" customHeight="1">
      <c r="A18823" s="426"/>
    </row>
    <row r="18824" spans="1:1" s="427" customFormat="1" ht="12" hidden="1" customHeight="1">
      <c r="A18824" s="426"/>
    </row>
    <row r="18825" spans="1:1" s="427" customFormat="1" ht="12" hidden="1" customHeight="1">
      <c r="A18825" s="426"/>
    </row>
    <row r="18826" spans="1:1" s="427" customFormat="1" ht="12" hidden="1" customHeight="1">
      <c r="A18826" s="426"/>
    </row>
    <row r="18827" spans="1:1" s="427" customFormat="1" ht="12" hidden="1" customHeight="1">
      <c r="A18827" s="426"/>
    </row>
    <row r="18828" spans="1:1" s="427" customFormat="1" ht="12" hidden="1" customHeight="1">
      <c r="A18828" s="426"/>
    </row>
    <row r="18829" spans="1:1" s="427" customFormat="1" ht="12" hidden="1" customHeight="1">
      <c r="A18829" s="426"/>
    </row>
    <row r="18830" spans="1:1" s="427" customFormat="1" ht="12" hidden="1" customHeight="1">
      <c r="A18830" s="426"/>
    </row>
    <row r="18831" spans="1:1" s="427" customFormat="1" ht="12" hidden="1" customHeight="1">
      <c r="A18831" s="426"/>
    </row>
    <row r="18832" spans="1:1" s="427" customFormat="1" ht="12" hidden="1" customHeight="1">
      <c r="A18832" s="426"/>
    </row>
    <row r="18833" spans="1:1" s="427" customFormat="1" ht="12" hidden="1" customHeight="1">
      <c r="A18833" s="426"/>
    </row>
    <row r="18834" spans="1:1" s="427" customFormat="1" ht="12" hidden="1" customHeight="1">
      <c r="A18834" s="426"/>
    </row>
    <row r="18835" spans="1:1" s="427" customFormat="1" ht="12" hidden="1" customHeight="1">
      <c r="A18835" s="426"/>
    </row>
    <row r="18836" spans="1:1" s="427" customFormat="1" ht="12" hidden="1" customHeight="1">
      <c r="A18836" s="426"/>
    </row>
    <row r="18837" spans="1:1" s="427" customFormat="1" ht="12" hidden="1" customHeight="1">
      <c r="A18837" s="426"/>
    </row>
    <row r="18838" spans="1:1" s="427" customFormat="1" ht="12" hidden="1" customHeight="1">
      <c r="A18838" s="426"/>
    </row>
    <row r="18839" spans="1:1" s="427" customFormat="1" ht="12" hidden="1" customHeight="1">
      <c r="A18839" s="426"/>
    </row>
    <row r="18840" spans="1:1" s="427" customFormat="1" ht="12" hidden="1" customHeight="1">
      <c r="A18840" s="426"/>
    </row>
    <row r="18841" spans="1:1" s="427" customFormat="1" ht="12" hidden="1" customHeight="1">
      <c r="A18841" s="426"/>
    </row>
    <row r="18842" spans="1:1" s="427" customFormat="1" ht="12" hidden="1" customHeight="1">
      <c r="A18842" s="426"/>
    </row>
    <row r="18843" spans="1:1" s="427" customFormat="1" ht="12" hidden="1" customHeight="1">
      <c r="A18843" s="426"/>
    </row>
    <row r="18844" spans="1:1" s="427" customFormat="1" ht="12" hidden="1" customHeight="1">
      <c r="A18844" s="426"/>
    </row>
    <row r="18845" spans="1:1" s="427" customFormat="1" ht="12" hidden="1" customHeight="1">
      <c r="A18845" s="426"/>
    </row>
    <row r="18846" spans="1:1" s="427" customFormat="1" ht="12" hidden="1" customHeight="1">
      <c r="A18846" s="426"/>
    </row>
    <row r="18847" spans="1:1" s="427" customFormat="1" ht="12" hidden="1" customHeight="1">
      <c r="A18847" s="426"/>
    </row>
    <row r="18848" spans="1:1" s="427" customFormat="1" ht="12" hidden="1" customHeight="1">
      <c r="A18848" s="426"/>
    </row>
    <row r="18849" spans="1:1" s="427" customFormat="1" ht="12" hidden="1" customHeight="1">
      <c r="A18849" s="426"/>
    </row>
    <row r="18850" spans="1:1" s="427" customFormat="1" ht="12" hidden="1" customHeight="1">
      <c r="A18850" s="426"/>
    </row>
    <row r="18851" spans="1:1" s="427" customFormat="1" ht="12" hidden="1" customHeight="1">
      <c r="A18851" s="426"/>
    </row>
    <row r="18852" spans="1:1" s="427" customFormat="1" ht="12" hidden="1" customHeight="1">
      <c r="A18852" s="426"/>
    </row>
    <row r="18853" spans="1:1" s="427" customFormat="1" ht="12" hidden="1" customHeight="1">
      <c r="A18853" s="426"/>
    </row>
    <row r="18854" spans="1:1" s="427" customFormat="1" ht="12" hidden="1" customHeight="1">
      <c r="A18854" s="426"/>
    </row>
    <row r="18855" spans="1:1" s="427" customFormat="1" ht="12" hidden="1" customHeight="1">
      <c r="A18855" s="426"/>
    </row>
    <row r="18856" spans="1:1" s="427" customFormat="1" ht="12" hidden="1" customHeight="1">
      <c r="A18856" s="426"/>
    </row>
    <row r="18857" spans="1:1" s="427" customFormat="1" ht="12" hidden="1" customHeight="1">
      <c r="A18857" s="426"/>
    </row>
    <row r="18858" spans="1:1" s="427" customFormat="1" ht="12" hidden="1" customHeight="1">
      <c r="A18858" s="426"/>
    </row>
    <row r="18859" spans="1:1" s="427" customFormat="1" ht="12" hidden="1" customHeight="1">
      <c r="A18859" s="426"/>
    </row>
    <row r="18860" spans="1:1" s="427" customFormat="1" ht="12" hidden="1" customHeight="1">
      <c r="A18860" s="426"/>
    </row>
    <row r="18861" spans="1:1" s="427" customFormat="1" ht="12" hidden="1" customHeight="1">
      <c r="A18861" s="426"/>
    </row>
    <row r="18862" spans="1:1" s="427" customFormat="1" ht="12" hidden="1" customHeight="1">
      <c r="A18862" s="426"/>
    </row>
    <row r="18863" spans="1:1" s="427" customFormat="1" ht="12" hidden="1" customHeight="1">
      <c r="A18863" s="426"/>
    </row>
    <row r="18864" spans="1:1" s="427" customFormat="1" ht="12" hidden="1" customHeight="1">
      <c r="A18864" s="426"/>
    </row>
    <row r="18865" spans="1:1" s="427" customFormat="1" ht="12" hidden="1" customHeight="1">
      <c r="A18865" s="426"/>
    </row>
    <row r="18866" spans="1:1" s="427" customFormat="1" ht="12" hidden="1" customHeight="1">
      <c r="A18866" s="426"/>
    </row>
    <row r="18867" spans="1:1" s="427" customFormat="1" ht="12" hidden="1" customHeight="1">
      <c r="A18867" s="426"/>
    </row>
    <row r="18868" spans="1:1" s="427" customFormat="1" ht="12" hidden="1" customHeight="1">
      <c r="A18868" s="426"/>
    </row>
    <row r="18869" spans="1:1" s="427" customFormat="1" ht="12" hidden="1" customHeight="1">
      <c r="A18869" s="426"/>
    </row>
    <row r="18870" spans="1:1" s="427" customFormat="1" ht="12" hidden="1" customHeight="1">
      <c r="A18870" s="426"/>
    </row>
    <row r="18871" spans="1:1" s="427" customFormat="1" ht="12" hidden="1" customHeight="1">
      <c r="A18871" s="426"/>
    </row>
    <row r="18872" spans="1:1" s="427" customFormat="1" ht="12" hidden="1" customHeight="1">
      <c r="A18872" s="426"/>
    </row>
    <row r="18873" spans="1:1" s="427" customFormat="1" ht="12" hidden="1" customHeight="1">
      <c r="A18873" s="426"/>
    </row>
    <row r="18874" spans="1:1" s="427" customFormat="1" ht="12" hidden="1" customHeight="1">
      <c r="A18874" s="426"/>
    </row>
    <row r="18875" spans="1:1" s="427" customFormat="1" ht="12" hidden="1" customHeight="1">
      <c r="A18875" s="426"/>
    </row>
    <row r="18876" spans="1:1" s="427" customFormat="1" ht="12" hidden="1" customHeight="1">
      <c r="A18876" s="426"/>
    </row>
    <row r="18877" spans="1:1" s="427" customFormat="1" ht="12" hidden="1" customHeight="1">
      <c r="A18877" s="426"/>
    </row>
    <row r="18878" spans="1:1" s="427" customFormat="1" ht="12" hidden="1" customHeight="1">
      <c r="A18878" s="426"/>
    </row>
    <row r="18879" spans="1:1" s="427" customFormat="1" ht="12" hidden="1" customHeight="1">
      <c r="A18879" s="426"/>
    </row>
    <row r="18880" spans="1:1" s="427" customFormat="1" ht="12" hidden="1" customHeight="1">
      <c r="A18880" s="426"/>
    </row>
    <row r="18881" spans="1:1" s="427" customFormat="1" ht="12" hidden="1" customHeight="1">
      <c r="A18881" s="426"/>
    </row>
    <row r="18882" spans="1:1" s="427" customFormat="1" ht="12" hidden="1" customHeight="1">
      <c r="A18882" s="426"/>
    </row>
    <row r="18883" spans="1:1" s="427" customFormat="1" ht="12" hidden="1" customHeight="1">
      <c r="A18883" s="426"/>
    </row>
    <row r="18884" spans="1:1" s="427" customFormat="1" ht="12" hidden="1" customHeight="1">
      <c r="A18884" s="426"/>
    </row>
    <row r="18885" spans="1:1" s="427" customFormat="1" ht="12" hidden="1" customHeight="1">
      <c r="A18885" s="426"/>
    </row>
    <row r="18886" spans="1:1" s="427" customFormat="1" ht="12" hidden="1" customHeight="1">
      <c r="A18886" s="426"/>
    </row>
    <row r="18887" spans="1:1" s="427" customFormat="1" ht="12" hidden="1" customHeight="1">
      <c r="A18887" s="426"/>
    </row>
    <row r="18888" spans="1:1" s="427" customFormat="1" ht="12" hidden="1" customHeight="1">
      <c r="A18888" s="426"/>
    </row>
    <row r="18889" spans="1:1" s="427" customFormat="1" ht="12" hidden="1" customHeight="1">
      <c r="A18889" s="426"/>
    </row>
    <row r="18890" spans="1:1" s="427" customFormat="1" ht="12" hidden="1" customHeight="1">
      <c r="A18890" s="426"/>
    </row>
    <row r="18891" spans="1:1" s="427" customFormat="1" ht="12" hidden="1" customHeight="1">
      <c r="A18891" s="426"/>
    </row>
    <row r="18892" spans="1:1" s="427" customFormat="1" ht="12" hidden="1" customHeight="1">
      <c r="A18892" s="426"/>
    </row>
    <row r="18893" spans="1:1" s="427" customFormat="1" ht="12" hidden="1" customHeight="1">
      <c r="A18893" s="426"/>
    </row>
    <row r="18894" spans="1:1" s="427" customFormat="1" ht="12" hidden="1" customHeight="1">
      <c r="A18894" s="426"/>
    </row>
    <row r="18895" spans="1:1" s="427" customFormat="1" ht="12" hidden="1" customHeight="1">
      <c r="A18895" s="426"/>
    </row>
    <row r="18896" spans="1:1" s="427" customFormat="1" ht="12" hidden="1" customHeight="1">
      <c r="A18896" s="426"/>
    </row>
    <row r="18897" spans="1:1" s="427" customFormat="1" ht="12" hidden="1" customHeight="1">
      <c r="A18897" s="426"/>
    </row>
    <row r="18898" spans="1:1" s="427" customFormat="1" ht="12" hidden="1" customHeight="1">
      <c r="A18898" s="426"/>
    </row>
    <row r="18899" spans="1:1" s="427" customFormat="1" ht="12" hidden="1" customHeight="1">
      <c r="A18899" s="426"/>
    </row>
    <row r="18900" spans="1:1" s="427" customFormat="1" ht="12" hidden="1" customHeight="1">
      <c r="A18900" s="426"/>
    </row>
    <row r="18901" spans="1:1" s="427" customFormat="1" ht="12" hidden="1" customHeight="1">
      <c r="A18901" s="426"/>
    </row>
    <row r="18902" spans="1:1" s="427" customFormat="1" ht="12" hidden="1" customHeight="1">
      <c r="A18902" s="426"/>
    </row>
    <row r="18903" spans="1:1" s="427" customFormat="1" ht="12" hidden="1" customHeight="1">
      <c r="A18903" s="426"/>
    </row>
    <row r="18904" spans="1:1" s="427" customFormat="1" ht="12" hidden="1" customHeight="1">
      <c r="A18904" s="426"/>
    </row>
    <row r="18905" spans="1:1" s="427" customFormat="1" ht="12" hidden="1" customHeight="1">
      <c r="A18905" s="426"/>
    </row>
    <row r="18906" spans="1:1" s="427" customFormat="1" ht="12" hidden="1" customHeight="1">
      <c r="A18906" s="426"/>
    </row>
    <row r="18907" spans="1:1" s="427" customFormat="1" ht="12" hidden="1" customHeight="1">
      <c r="A18907" s="426"/>
    </row>
    <row r="18908" spans="1:1" s="427" customFormat="1" ht="12" hidden="1" customHeight="1">
      <c r="A18908" s="426"/>
    </row>
    <row r="18909" spans="1:1" s="427" customFormat="1" ht="12" hidden="1" customHeight="1">
      <c r="A18909" s="426"/>
    </row>
    <row r="18910" spans="1:1" s="427" customFormat="1" ht="12" hidden="1" customHeight="1">
      <c r="A18910" s="426"/>
    </row>
    <row r="18911" spans="1:1" s="427" customFormat="1" ht="12" hidden="1" customHeight="1">
      <c r="A18911" s="426"/>
    </row>
    <row r="18912" spans="1:1" s="427" customFormat="1" ht="12" hidden="1" customHeight="1">
      <c r="A18912" s="426"/>
    </row>
    <row r="18913" spans="1:1" s="427" customFormat="1" ht="12" hidden="1" customHeight="1">
      <c r="A18913" s="426"/>
    </row>
    <row r="18914" spans="1:1" s="427" customFormat="1" ht="12" hidden="1" customHeight="1">
      <c r="A18914" s="426"/>
    </row>
    <row r="18915" spans="1:1" s="427" customFormat="1" ht="12" hidden="1" customHeight="1">
      <c r="A18915" s="426"/>
    </row>
    <row r="18916" spans="1:1" s="427" customFormat="1" ht="12" hidden="1" customHeight="1">
      <c r="A18916" s="426"/>
    </row>
    <row r="18917" spans="1:1" s="427" customFormat="1" ht="12" hidden="1" customHeight="1">
      <c r="A18917" s="426"/>
    </row>
    <row r="18918" spans="1:1" s="427" customFormat="1" ht="12" hidden="1" customHeight="1">
      <c r="A18918" s="426"/>
    </row>
    <row r="18919" spans="1:1" s="427" customFormat="1" ht="12" hidden="1" customHeight="1">
      <c r="A18919" s="426"/>
    </row>
    <row r="18920" spans="1:1" s="427" customFormat="1" ht="12" hidden="1" customHeight="1">
      <c r="A18920" s="426"/>
    </row>
    <row r="18921" spans="1:1" s="427" customFormat="1" ht="12" hidden="1" customHeight="1">
      <c r="A18921" s="426"/>
    </row>
    <row r="18922" spans="1:1" s="427" customFormat="1" ht="12" hidden="1" customHeight="1">
      <c r="A18922" s="426"/>
    </row>
    <row r="18923" spans="1:1" s="427" customFormat="1" ht="12" hidden="1" customHeight="1">
      <c r="A18923" s="426"/>
    </row>
    <row r="18924" spans="1:1" s="427" customFormat="1" ht="12" hidden="1" customHeight="1">
      <c r="A18924" s="426"/>
    </row>
    <row r="18925" spans="1:1" s="427" customFormat="1" ht="12" hidden="1" customHeight="1">
      <c r="A18925" s="426"/>
    </row>
    <row r="18926" spans="1:1" s="427" customFormat="1" ht="12" hidden="1" customHeight="1">
      <c r="A18926" s="426"/>
    </row>
    <row r="18927" spans="1:1" s="427" customFormat="1" ht="12" hidden="1" customHeight="1">
      <c r="A18927" s="426"/>
    </row>
    <row r="18928" spans="1:1" s="427" customFormat="1" ht="12" hidden="1" customHeight="1">
      <c r="A18928" s="426"/>
    </row>
    <row r="18929" spans="1:1" s="427" customFormat="1" ht="12" hidden="1" customHeight="1">
      <c r="A18929" s="426"/>
    </row>
    <row r="18930" spans="1:1" s="427" customFormat="1" ht="12" hidden="1" customHeight="1">
      <c r="A18930" s="426"/>
    </row>
    <row r="18931" spans="1:1" s="427" customFormat="1" ht="12" hidden="1" customHeight="1">
      <c r="A18931" s="426"/>
    </row>
    <row r="18932" spans="1:1" s="427" customFormat="1" ht="12" hidden="1" customHeight="1">
      <c r="A18932" s="426"/>
    </row>
    <row r="18933" spans="1:1" s="427" customFormat="1" ht="12" hidden="1" customHeight="1">
      <c r="A18933" s="426"/>
    </row>
    <row r="18934" spans="1:1" s="427" customFormat="1" ht="12" hidden="1" customHeight="1">
      <c r="A18934" s="426"/>
    </row>
    <row r="18935" spans="1:1" s="427" customFormat="1" ht="12" hidden="1" customHeight="1">
      <c r="A18935" s="426"/>
    </row>
    <row r="18936" spans="1:1" s="427" customFormat="1" ht="12" hidden="1" customHeight="1">
      <c r="A18936" s="426"/>
    </row>
    <row r="18937" spans="1:1" s="427" customFormat="1" ht="12" hidden="1" customHeight="1">
      <c r="A18937" s="426"/>
    </row>
    <row r="18938" spans="1:1" s="427" customFormat="1" ht="12" hidden="1" customHeight="1">
      <c r="A18938" s="426"/>
    </row>
    <row r="18939" spans="1:1" s="427" customFormat="1" ht="12" hidden="1" customHeight="1">
      <c r="A18939" s="426"/>
    </row>
    <row r="18940" spans="1:1" s="427" customFormat="1" ht="12" hidden="1" customHeight="1">
      <c r="A18940" s="426"/>
    </row>
    <row r="18941" spans="1:1" s="427" customFormat="1" ht="12" hidden="1" customHeight="1">
      <c r="A18941" s="426"/>
    </row>
    <row r="18942" spans="1:1" s="427" customFormat="1" ht="12" hidden="1" customHeight="1">
      <c r="A18942" s="426"/>
    </row>
    <row r="18943" spans="1:1" s="427" customFormat="1" ht="12" hidden="1" customHeight="1">
      <c r="A18943" s="426"/>
    </row>
    <row r="18944" spans="1:1" s="427" customFormat="1" ht="12" hidden="1" customHeight="1">
      <c r="A18944" s="426"/>
    </row>
    <row r="18945" spans="1:1" s="427" customFormat="1" ht="12" hidden="1" customHeight="1">
      <c r="A18945" s="426"/>
    </row>
    <row r="18946" spans="1:1" s="427" customFormat="1" ht="12" hidden="1" customHeight="1">
      <c r="A18946" s="426"/>
    </row>
    <row r="18947" spans="1:1" s="427" customFormat="1" ht="12" hidden="1" customHeight="1">
      <c r="A18947" s="426"/>
    </row>
    <row r="18948" spans="1:1" s="427" customFormat="1" ht="12" hidden="1" customHeight="1">
      <c r="A18948" s="426"/>
    </row>
    <row r="18949" spans="1:1" s="427" customFormat="1" ht="12" hidden="1" customHeight="1">
      <c r="A18949" s="426"/>
    </row>
    <row r="18950" spans="1:1" s="427" customFormat="1" ht="12" hidden="1" customHeight="1">
      <c r="A18950" s="426"/>
    </row>
    <row r="18951" spans="1:1" s="427" customFormat="1" ht="12" hidden="1" customHeight="1">
      <c r="A18951" s="426"/>
    </row>
    <row r="18952" spans="1:1" s="427" customFormat="1" ht="12" hidden="1" customHeight="1">
      <c r="A18952" s="426"/>
    </row>
    <row r="18953" spans="1:1" s="427" customFormat="1" ht="12" hidden="1" customHeight="1">
      <c r="A18953" s="426"/>
    </row>
    <row r="18954" spans="1:1" s="427" customFormat="1" ht="12" hidden="1" customHeight="1">
      <c r="A18954" s="426"/>
    </row>
    <row r="18955" spans="1:1" s="427" customFormat="1" ht="12" hidden="1" customHeight="1">
      <c r="A18955" s="426"/>
    </row>
    <row r="18956" spans="1:1" s="427" customFormat="1" ht="12" hidden="1" customHeight="1">
      <c r="A18956" s="426"/>
    </row>
    <row r="18957" spans="1:1" s="427" customFormat="1" ht="12" hidden="1" customHeight="1">
      <c r="A18957" s="426"/>
    </row>
    <row r="18958" spans="1:1" s="427" customFormat="1" ht="12" hidden="1" customHeight="1">
      <c r="A18958" s="426"/>
    </row>
    <row r="18959" spans="1:1" s="427" customFormat="1" ht="12" hidden="1" customHeight="1">
      <c r="A18959" s="426"/>
    </row>
    <row r="18960" spans="1:1" s="427" customFormat="1" ht="12" hidden="1" customHeight="1">
      <c r="A18960" s="426"/>
    </row>
    <row r="18961" spans="1:1" s="427" customFormat="1" ht="12" hidden="1" customHeight="1">
      <c r="A18961" s="426"/>
    </row>
    <row r="18962" spans="1:1" s="427" customFormat="1" ht="12" hidden="1" customHeight="1">
      <c r="A18962" s="426"/>
    </row>
    <row r="18963" spans="1:1" s="427" customFormat="1" ht="12" hidden="1" customHeight="1">
      <c r="A18963" s="426"/>
    </row>
    <row r="18964" spans="1:1" s="427" customFormat="1" ht="12" hidden="1" customHeight="1">
      <c r="A18964" s="426"/>
    </row>
    <row r="18965" spans="1:1" s="427" customFormat="1" ht="12" hidden="1" customHeight="1">
      <c r="A18965" s="426"/>
    </row>
    <row r="18966" spans="1:1" s="427" customFormat="1" ht="12" hidden="1" customHeight="1">
      <c r="A18966" s="426"/>
    </row>
    <row r="18967" spans="1:1" s="427" customFormat="1" ht="12" hidden="1" customHeight="1">
      <c r="A18967" s="426"/>
    </row>
    <row r="18968" spans="1:1" s="427" customFormat="1" ht="12" hidden="1" customHeight="1">
      <c r="A18968" s="426"/>
    </row>
    <row r="18969" spans="1:1" s="427" customFormat="1" ht="12" hidden="1" customHeight="1">
      <c r="A18969" s="426"/>
    </row>
    <row r="18970" spans="1:1" s="427" customFormat="1" ht="12" hidden="1" customHeight="1">
      <c r="A18970" s="426"/>
    </row>
    <row r="18971" spans="1:1" s="427" customFormat="1" ht="12" hidden="1" customHeight="1">
      <c r="A18971" s="426"/>
    </row>
    <row r="18972" spans="1:1" s="427" customFormat="1" ht="12" hidden="1" customHeight="1">
      <c r="A18972" s="426"/>
    </row>
    <row r="18973" spans="1:1" s="427" customFormat="1" ht="12" hidden="1" customHeight="1">
      <c r="A18973" s="426"/>
    </row>
    <row r="18974" spans="1:1" s="427" customFormat="1" ht="12" hidden="1" customHeight="1">
      <c r="A18974" s="426"/>
    </row>
    <row r="18975" spans="1:1" s="427" customFormat="1" ht="12" hidden="1" customHeight="1">
      <c r="A18975" s="426"/>
    </row>
    <row r="18976" spans="1:1" s="427" customFormat="1" ht="12" hidden="1" customHeight="1">
      <c r="A18976" s="426"/>
    </row>
    <row r="18977" spans="1:1" s="427" customFormat="1" ht="12" hidden="1" customHeight="1">
      <c r="A18977" s="426"/>
    </row>
    <row r="18978" spans="1:1" s="427" customFormat="1" ht="12" hidden="1" customHeight="1">
      <c r="A18978" s="426"/>
    </row>
    <row r="18979" spans="1:1" s="427" customFormat="1" ht="12" hidden="1" customHeight="1">
      <c r="A18979" s="426"/>
    </row>
    <row r="18980" spans="1:1" s="427" customFormat="1" ht="12" hidden="1" customHeight="1">
      <c r="A18980" s="426"/>
    </row>
    <row r="18981" spans="1:1" s="427" customFormat="1" ht="12" hidden="1" customHeight="1">
      <c r="A18981" s="426"/>
    </row>
    <row r="18982" spans="1:1" s="427" customFormat="1" ht="12" hidden="1" customHeight="1">
      <c r="A18982" s="426"/>
    </row>
    <row r="18983" spans="1:1" s="427" customFormat="1" ht="12" hidden="1" customHeight="1">
      <c r="A18983" s="426"/>
    </row>
    <row r="18984" spans="1:1" s="427" customFormat="1" ht="12" hidden="1" customHeight="1">
      <c r="A18984" s="426"/>
    </row>
    <row r="18985" spans="1:1" s="427" customFormat="1" ht="12" hidden="1" customHeight="1">
      <c r="A18985" s="426"/>
    </row>
    <row r="18986" spans="1:1" s="427" customFormat="1" ht="12" hidden="1" customHeight="1">
      <c r="A18986" s="426"/>
    </row>
    <row r="18987" spans="1:1" s="427" customFormat="1" ht="12" hidden="1" customHeight="1">
      <c r="A18987" s="426"/>
    </row>
    <row r="18988" spans="1:1" s="427" customFormat="1" ht="12" hidden="1" customHeight="1">
      <c r="A18988" s="426"/>
    </row>
    <row r="18989" spans="1:1" s="427" customFormat="1" ht="12" hidden="1" customHeight="1">
      <c r="A18989" s="426"/>
    </row>
    <row r="18990" spans="1:1" s="427" customFormat="1" ht="12" hidden="1" customHeight="1">
      <c r="A18990" s="426"/>
    </row>
    <row r="18991" spans="1:1" s="427" customFormat="1" ht="12" hidden="1" customHeight="1">
      <c r="A18991" s="426"/>
    </row>
    <row r="18992" spans="1:1" s="427" customFormat="1" ht="12" hidden="1" customHeight="1">
      <c r="A18992" s="426"/>
    </row>
    <row r="18993" spans="1:1" s="427" customFormat="1" ht="12" hidden="1" customHeight="1">
      <c r="A18993" s="426"/>
    </row>
    <row r="18994" spans="1:1" s="427" customFormat="1" ht="12" hidden="1" customHeight="1">
      <c r="A18994" s="426"/>
    </row>
    <row r="18995" spans="1:1" s="427" customFormat="1" ht="12" hidden="1" customHeight="1">
      <c r="A18995" s="426"/>
    </row>
    <row r="18996" spans="1:1" s="427" customFormat="1" ht="12" hidden="1" customHeight="1">
      <c r="A18996" s="426"/>
    </row>
    <row r="18997" spans="1:1" s="427" customFormat="1" ht="12" hidden="1" customHeight="1">
      <c r="A18997" s="426"/>
    </row>
    <row r="18998" spans="1:1" s="427" customFormat="1" ht="12" hidden="1" customHeight="1">
      <c r="A18998" s="426"/>
    </row>
    <row r="18999" spans="1:1" s="427" customFormat="1" ht="12" hidden="1" customHeight="1">
      <c r="A18999" s="426"/>
    </row>
    <row r="19000" spans="1:1" s="427" customFormat="1" ht="12" hidden="1" customHeight="1">
      <c r="A19000" s="426"/>
    </row>
    <row r="19001" spans="1:1" s="427" customFormat="1" ht="12" hidden="1" customHeight="1">
      <c r="A19001" s="426"/>
    </row>
    <row r="19002" spans="1:1" s="427" customFormat="1" ht="12" hidden="1" customHeight="1">
      <c r="A19002" s="426"/>
    </row>
    <row r="19003" spans="1:1" s="427" customFormat="1" ht="12" hidden="1" customHeight="1">
      <c r="A19003" s="426"/>
    </row>
    <row r="19004" spans="1:1" s="427" customFormat="1" ht="12" hidden="1" customHeight="1">
      <c r="A19004" s="426"/>
    </row>
    <row r="19005" spans="1:1" s="427" customFormat="1" ht="12" hidden="1" customHeight="1">
      <c r="A19005" s="426"/>
    </row>
    <row r="19006" spans="1:1" s="427" customFormat="1" ht="12" hidden="1" customHeight="1">
      <c r="A19006" s="426"/>
    </row>
    <row r="19007" spans="1:1" s="427" customFormat="1" ht="12" hidden="1" customHeight="1">
      <c r="A19007" s="426"/>
    </row>
    <row r="19008" spans="1:1" s="427" customFormat="1" ht="12" hidden="1" customHeight="1">
      <c r="A19008" s="426"/>
    </row>
    <row r="19009" spans="1:1" s="427" customFormat="1" ht="12" hidden="1" customHeight="1">
      <c r="A19009" s="426"/>
    </row>
    <row r="19010" spans="1:1" s="427" customFormat="1" ht="12" hidden="1" customHeight="1">
      <c r="A19010" s="426"/>
    </row>
    <row r="19011" spans="1:1" s="427" customFormat="1" ht="12" hidden="1" customHeight="1">
      <c r="A19011" s="426"/>
    </row>
    <row r="19012" spans="1:1" s="427" customFormat="1" ht="12" hidden="1" customHeight="1">
      <c r="A19012" s="426"/>
    </row>
    <row r="19013" spans="1:1" s="427" customFormat="1" ht="12" hidden="1" customHeight="1">
      <c r="A19013" s="426"/>
    </row>
    <row r="19014" spans="1:1" s="427" customFormat="1" ht="12" hidden="1" customHeight="1">
      <c r="A19014" s="426"/>
    </row>
    <row r="19015" spans="1:1" s="427" customFormat="1" ht="12" hidden="1" customHeight="1">
      <c r="A19015" s="426"/>
    </row>
    <row r="19016" spans="1:1" s="427" customFormat="1" ht="12" hidden="1" customHeight="1">
      <c r="A19016" s="426"/>
    </row>
    <row r="19017" spans="1:1" s="427" customFormat="1" ht="12" hidden="1" customHeight="1">
      <c r="A19017" s="426"/>
    </row>
    <row r="19018" spans="1:1" s="427" customFormat="1" ht="12" hidden="1" customHeight="1">
      <c r="A19018" s="426"/>
    </row>
    <row r="19019" spans="1:1" s="427" customFormat="1" ht="12" hidden="1" customHeight="1">
      <c r="A19019" s="426"/>
    </row>
    <row r="19020" spans="1:1" s="427" customFormat="1" ht="12" hidden="1" customHeight="1">
      <c r="A19020" s="426"/>
    </row>
    <row r="19021" spans="1:1" s="427" customFormat="1" ht="12" hidden="1" customHeight="1">
      <c r="A19021" s="426"/>
    </row>
    <row r="19022" spans="1:1" s="427" customFormat="1" ht="12" hidden="1" customHeight="1">
      <c r="A19022" s="426"/>
    </row>
    <row r="19023" spans="1:1" s="427" customFormat="1" ht="12" hidden="1" customHeight="1">
      <c r="A19023" s="426"/>
    </row>
    <row r="19024" spans="1:1" s="427" customFormat="1" ht="12" hidden="1" customHeight="1">
      <c r="A19024" s="426"/>
    </row>
    <row r="19025" spans="1:1" s="427" customFormat="1" ht="12" hidden="1" customHeight="1">
      <c r="A19025" s="426"/>
    </row>
    <row r="19026" spans="1:1" s="427" customFormat="1" ht="12" hidden="1" customHeight="1">
      <c r="A19026" s="426"/>
    </row>
    <row r="19027" spans="1:1" s="427" customFormat="1" ht="12" hidden="1" customHeight="1">
      <c r="A19027" s="426"/>
    </row>
    <row r="19028" spans="1:1" s="427" customFormat="1" ht="12" hidden="1" customHeight="1">
      <c r="A19028" s="426"/>
    </row>
    <row r="19029" spans="1:1" s="427" customFormat="1" ht="12" hidden="1" customHeight="1">
      <c r="A19029" s="426"/>
    </row>
    <row r="19030" spans="1:1" s="427" customFormat="1" ht="12" hidden="1" customHeight="1">
      <c r="A19030" s="426"/>
    </row>
    <row r="19031" spans="1:1" s="427" customFormat="1" ht="12" hidden="1" customHeight="1">
      <c r="A19031" s="426"/>
    </row>
    <row r="19032" spans="1:1" s="427" customFormat="1" ht="12" hidden="1" customHeight="1">
      <c r="A19032" s="426"/>
    </row>
    <row r="19033" spans="1:1" s="427" customFormat="1" ht="12" hidden="1" customHeight="1">
      <c r="A19033" s="426"/>
    </row>
    <row r="19034" spans="1:1" s="427" customFormat="1" ht="12" hidden="1" customHeight="1">
      <c r="A19034" s="426"/>
    </row>
    <row r="19035" spans="1:1" s="427" customFormat="1" ht="12" hidden="1" customHeight="1">
      <c r="A19035" s="426"/>
    </row>
    <row r="19036" spans="1:1" s="427" customFormat="1" ht="12" hidden="1" customHeight="1">
      <c r="A19036" s="426"/>
    </row>
    <row r="19037" spans="1:1" s="427" customFormat="1" ht="12" hidden="1" customHeight="1">
      <c r="A19037" s="426"/>
    </row>
    <row r="19038" spans="1:1" s="427" customFormat="1" ht="12" hidden="1" customHeight="1">
      <c r="A19038" s="426"/>
    </row>
    <row r="19039" spans="1:1" s="427" customFormat="1" ht="12" hidden="1" customHeight="1">
      <c r="A19039" s="426"/>
    </row>
    <row r="19040" spans="1:1" s="427" customFormat="1" ht="12" hidden="1" customHeight="1">
      <c r="A19040" s="426"/>
    </row>
    <row r="19041" spans="1:1" s="427" customFormat="1" ht="12" hidden="1" customHeight="1">
      <c r="A19041" s="426"/>
    </row>
    <row r="19042" spans="1:1" s="427" customFormat="1" ht="12" hidden="1" customHeight="1">
      <c r="A19042" s="426"/>
    </row>
    <row r="19043" spans="1:1" s="427" customFormat="1" ht="12" hidden="1" customHeight="1">
      <c r="A19043" s="426"/>
    </row>
    <row r="19044" spans="1:1" s="427" customFormat="1" ht="12" hidden="1" customHeight="1">
      <c r="A19044" s="426"/>
    </row>
    <row r="19045" spans="1:1" s="427" customFormat="1" ht="12" hidden="1" customHeight="1">
      <c r="A19045" s="426"/>
    </row>
    <row r="19046" spans="1:1" s="427" customFormat="1" ht="12" hidden="1" customHeight="1">
      <c r="A19046" s="426"/>
    </row>
    <row r="19047" spans="1:1" s="427" customFormat="1" ht="12" hidden="1" customHeight="1">
      <c r="A19047" s="426"/>
    </row>
    <row r="19048" spans="1:1" s="427" customFormat="1" ht="12" hidden="1" customHeight="1">
      <c r="A19048" s="426"/>
    </row>
    <row r="19049" spans="1:1" s="427" customFormat="1" ht="12" hidden="1" customHeight="1">
      <c r="A19049" s="426"/>
    </row>
    <row r="19050" spans="1:1" s="427" customFormat="1" ht="12" hidden="1" customHeight="1">
      <c r="A19050" s="426"/>
    </row>
    <row r="19051" spans="1:1" s="427" customFormat="1" ht="12" hidden="1" customHeight="1">
      <c r="A19051" s="426"/>
    </row>
    <row r="19052" spans="1:1" s="427" customFormat="1" ht="12" hidden="1" customHeight="1">
      <c r="A19052" s="426"/>
    </row>
    <row r="19053" spans="1:1" s="427" customFormat="1" ht="12" hidden="1" customHeight="1">
      <c r="A19053" s="426"/>
    </row>
    <row r="19054" spans="1:1" s="427" customFormat="1" ht="12" hidden="1" customHeight="1">
      <c r="A19054" s="426"/>
    </row>
    <row r="19055" spans="1:1" s="427" customFormat="1" ht="12" hidden="1" customHeight="1">
      <c r="A19055" s="426"/>
    </row>
    <row r="19056" spans="1:1" s="427" customFormat="1" ht="12" hidden="1" customHeight="1">
      <c r="A19056" s="426"/>
    </row>
    <row r="19057" spans="1:1" s="427" customFormat="1" ht="12" hidden="1" customHeight="1">
      <c r="A19057" s="426"/>
    </row>
    <row r="19058" spans="1:1" s="427" customFormat="1" ht="12" hidden="1" customHeight="1">
      <c r="A19058" s="426"/>
    </row>
    <row r="19059" spans="1:1" s="427" customFormat="1" ht="12" hidden="1" customHeight="1">
      <c r="A19059" s="426"/>
    </row>
    <row r="19060" spans="1:1" s="427" customFormat="1" ht="12" hidden="1" customHeight="1">
      <c r="A19060" s="426"/>
    </row>
    <row r="19061" spans="1:1" s="427" customFormat="1" ht="12" hidden="1" customHeight="1">
      <c r="A19061" s="426"/>
    </row>
    <row r="19062" spans="1:1" s="427" customFormat="1" ht="12" hidden="1" customHeight="1">
      <c r="A19062" s="426"/>
    </row>
    <row r="19063" spans="1:1" s="427" customFormat="1" ht="12" hidden="1" customHeight="1">
      <c r="A19063" s="426"/>
    </row>
    <row r="19064" spans="1:1" s="427" customFormat="1" ht="12" hidden="1" customHeight="1">
      <c r="A19064" s="426"/>
    </row>
    <row r="19065" spans="1:1" s="427" customFormat="1" ht="12" hidden="1" customHeight="1">
      <c r="A19065" s="426"/>
    </row>
    <row r="19066" spans="1:1" s="427" customFormat="1" ht="12" hidden="1" customHeight="1">
      <c r="A19066" s="426"/>
    </row>
    <row r="19067" spans="1:1" s="427" customFormat="1" ht="12" hidden="1" customHeight="1">
      <c r="A19067" s="426"/>
    </row>
    <row r="19068" spans="1:1" s="427" customFormat="1" ht="12" hidden="1" customHeight="1">
      <c r="A19068" s="426"/>
    </row>
    <row r="19069" spans="1:1" s="427" customFormat="1" ht="12" hidden="1" customHeight="1">
      <c r="A19069" s="426"/>
    </row>
    <row r="19070" spans="1:1" s="427" customFormat="1" ht="12" hidden="1" customHeight="1">
      <c r="A19070" s="426"/>
    </row>
    <row r="19071" spans="1:1" s="427" customFormat="1" ht="12" hidden="1" customHeight="1">
      <c r="A19071" s="426"/>
    </row>
    <row r="19072" spans="1:1" s="427" customFormat="1" ht="12" hidden="1" customHeight="1">
      <c r="A19072" s="426"/>
    </row>
    <row r="19073" spans="1:1" s="427" customFormat="1" ht="12" hidden="1" customHeight="1">
      <c r="A19073" s="426"/>
    </row>
    <row r="19074" spans="1:1" s="427" customFormat="1" ht="12" hidden="1" customHeight="1">
      <c r="A19074" s="426"/>
    </row>
    <row r="19075" spans="1:1" s="427" customFormat="1" ht="12" hidden="1" customHeight="1">
      <c r="A19075" s="426"/>
    </row>
    <row r="19076" spans="1:1" s="427" customFormat="1" ht="12" hidden="1" customHeight="1">
      <c r="A19076" s="426"/>
    </row>
    <row r="19077" spans="1:1" s="427" customFormat="1" ht="12" hidden="1" customHeight="1">
      <c r="A19077" s="426"/>
    </row>
    <row r="19078" spans="1:1" s="427" customFormat="1" ht="12" hidden="1" customHeight="1">
      <c r="A19078" s="426"/>
    </row>
    <row r="19079" spans="1:1" s="427" customFormat="1" ht="12" hidden="1" customHeight="1">
      <c r="A19079" s="426"/>
    </row>
    <row r="19080" spans="1:1" s="427" customFormat="1" ht="12" hidden="1" customHeight="1">
      <c r="A19080" s="426"/>
    </row>
    <row r="19081" spans="1:1" s="427" customFormat="1" ht="12" hidden="1" customHeight="1">
      <c r="A19081" s="426"/>
    </row>
    <row r="19082" spans="1:1" s="427" customFormat="1" ht="12" hidden="1" customHeight="1">
      <c r="A19082" s="426"/>
    </row>
    <row r="19083" spans="1:1" s="427" customFormat="1" ht="12" hidden="1" customHeight="1">
      <c r="A19083" s="426"/>
    </row>
    <row r="19084" spans="1:1" s="427" customFormat="1" ht="12" hidden="1" customHeight="1">
      <c r="A19084" s="426"/>
    </row>
    <row r="19085" spans="1:1" s="427" customFormat="1" ht="12" hidden="1" customHeight="1">
      <c r="A19085" s="426"/>
    </row>
    <row r="19086" spans="1:1" s="427" customFormat="1" ht="12" hidden="1" customHeight="1">
      <c r="A19086" s="426"/>
    </row>
    <row r="19087" spans="1:1" s="427" customFormat="1" ht="12" hidden="1" customHeight="1">
      <c r="A19087" s="426"/>
    </row>
    <row r="19088" spans="1:1" s="427" customFormat="1" ht="12" hidden="1" customHeight="1">
      <c r="A19088" s="426"/>
    </row>
    <row r="19089" spans="1:1" s="427" customFormat="1" ht="12" hidden="1" customHeight="1">
      <c r="A19089" s="426"/>
    </row>
    <row r="19090" spans="1:1" s="427" customFormat="1" ht="12" hidden="1" customHeight="1">
      <c r="A19090" s="426"/>
    </row>
    <row r="19091" spans="1:1" s="427" customFormat="1" ht="12" hidden="1" customHeight="1">
      <c r="A19091" s="426"/>
    </row>
    <row r="19092" spans="1:1" s="427" customFormat="1" ht="12" hidden="1" customHeight="1">
      <c r="A19092" s="426"/>
    </row>
    <row r="19093" spans="1:1" s="427" customFormat="1" ht="12" hidden="1" customHeight="1">
      <c r="A19093" s="426"/>
    </row>
    <row r="19094" spans="1:1" s="427" customFormat="1" ht="12" hidden="1" customHeight="1">
      <c r="A19094" s="426"/>
    </row>
    <row r="19095" spans="1:1" s="427" customFormat="1" ht="12" hidden="1" customHeight="1">
      <c r="A19095" s="426"/>
    </row>
    <row r="19096" spans="1:1" s="427" customFormat="1" ht="12" hidden="1" customHeight="1">
      <c r="A19096" s="426"/>
    </row>
    <row r="19097" spans="1:1" s="427" customFormat="1" ht="12" hidden="1" customHeight="1">
      <c r="A19097" s="426"/>
    </row>
    <row r="19098" spans="1:1" s="427" customFormat="1" ht="12" hidden="1" customHeight="1">
      <c r="A19098" s="426"/>
    </row>
    <row r="19099" spans="1:1" s="427" customFormat="1" ht="12" hidden="1" customHeight="1">
      <c r="A19099" s="426"/>
    </row>
    <row r="19100" spans="1:1" s="427" customFormat="1" ht="12" hidden="1" customHeight="1">
      <c r="A19100" s="426"/>
    </row>
    <row r="19101" spans="1:1" s="427" customFormat="1" ht="12" hidden="1" customHeight="1">
      <c r="A19101" s="426"/>
    </row>
    <row r="19102" spans="1:1" s="427" customFormat="1" ht="12" hidden="1" customHeight="1">
      <c r="A19102" s="426"/>
    </row>
    <row r="19103" spans="1:1" s="427" customFormat="1" ht="12" hidden="1" customHeight="1">
      <c r="A19103" s="426"/>
    </row>
    <row r="19104" spans="1:1" s="427" customFormat="1" ht="12" hidden="1" customHeight="1">
      <c r="A19104" s="426"/>
    </row>
    <row r="19105" spans="1:1" s="427" customFormat="1" ht="12" hidden="1" customHeight="1">
      <c r="A19105" s="426"/>
    </row>
    <row r="19106" spans="1:1" s="427" customFormat="1" ht="12" hidden="1" customHeight="1">
      <c r="A19106" s="426"/>
    </row>
    <row r="19107" spans="1:1" s="427" customFormat="1" ht="12" hidden="1" customHeight="1">
      <c r="A19107" s="426"/>
    </row>
    <row r="19108" spans="1:1" s="427" customFormat="1" ht="12" hidden="1" customHeight="1">
      <c r="A19108" s="426"/>
    </row>
    <row r="19109" spans="1:1" s="427" customFormat="1" ht="12" hidden="1" customHeight="1">
      <c r="A19109" s="426"/>
    </row>
    <row r="19110" spans="1:1" s="427" customFormat="1" ht="12" hidden="1" customHeight="1">
      <c r="A19110" s="426"/>
    </row>
    <row r="19111" spans="1:1" s="427" customFormat="1" ht="12" hidden="1" customHeight="1">
      <c r="A19111" s="426"/>
    </row>
    <row r="19112" spans="1:1" s="427" customFormat="1" ht="12" hidden="1" customHeight="1">
      <c r="A19112" s="426"/>
    </row>
    <row r="19113" spans="1:1" s="427" customFormat="1" ht="12" hidden="1" customHeight="1">
      <c r="A19113" s="426"/>
    </row>
    <row r="19114" spans="1:1" s="427" customFormat="1" ht="12" hidden="1" customHeight="1">
      <c r="A19114" s="426"/>
    </row>
    <row r="19115" spans="1:1" s="427" customFormat="1" ht="12" hidden="1" customHeight="1">
      <c r="A19115" s="426"/>
    </row>
    <row r="19116" spans="1:1" s="427" customFormat="1" ht="12" hidden="1" customHeight="1">
      <c r="A19116" s="426"/>
    </row>
    <row r="19117" spans="1:1" s="427" customFormat="1" ht="12" hidden="1" customHeight="1">
      <c r="A19117" s="426"/>
    </row>
    <row r="19118" spans="1:1" s="427" customFormat="1" ht="12" hidden="1" customHeight="1">
      <c r="A19118" s="426"/>
    </row>
    <row r="19119" spans="1:1" s="427" customFormat="1" ht="12" hidden="1" customHeight="1">
      <c r="A19119" s="426"/>
    </row>
    <row r="19120" spans="1:1" s="427" customFormat="1" ht="12" hidden="1" customHeight="1">
      <c r="A19120" s="426"/>
    </row>
    <row r="19121" spans="1:1" s="427" customFormat="1" ht="12" hidden="1" customHeight="1">
      <c r="A19121" s="426"/>
    </row>
    <row r="19122" spans="1:1" s="427" customFormat="1" ht="12" hidden="1" customHeight="1">
      <c r="A19122" s="426"/>
    </row>
    <row r="19123" spans="1:1" s="427" customFormat="1" ht="12" hidden="1" customHeight="1">
      <c r="A19123" s="426"/>
    </row>
    <row r="19124" spans="1:1" s="427" customFormat="1" ht="12" hidden="1" customHeight="1">
      <c r="A19124" s="426"/>
    </row>
    <row r="19125" spans="1:1" s="427" customFormat="1" ht="12" hidden="1" customHeight="1">
      <c r="A19125" s="426"/>
    </row>
    <row r="19126" spans="1:1" s="427" customFormat="1" ht="12" hidden="1" customHeight="1">
      <c r="A19126" s="426"/>
    </row>
    <row r="19127" spans="1:1" s="427" customFormat="1" ht="12" hidden="1" customHeight="1">
      <c r="A19127" s="426"/>
    </row>
    <row r="19128" spans="1:1" s="427" customFormat="1" ht="12" hidden="1" customHeight="1">
      <c r="A19128" s="426"/>
    </row>
    <row r="19129" spans="1:1" s="427" customFormat="1" ht="12" hidden="1" customHeight="1">
      <c r="A19129" s="426"/>
    </row>
    <row r="19130" spans="1:1" s="427" customFormat="1" ht="12" hidden="1" customHeight="1">
      <c r="A19130" s="426"/>
    </row>
    <row r="19131" spans="1:1" s="427" customFormat="1" ht="12" hidden="1" customHeight="1">
      <c r="A19131" s="426"/>
    </row>
    <row r="19132" spans="1:1" s="427" customFormat="1" ht="12" hidden="1" customHeight="1">
      <c r="A19132" s="426"/>
    </row>
    <row r="19133" spans="1:1" s="427" customFormat="1" ht="12" hidden="1" customHeight="1">
      <c r="A19133" s="426"/>
    </row>
    <row r="19134" spans="1:1" s="427" customFormat="1" ht="12" hidden="1" customHeight="1">
      <c r="A19134" s="426"/>
    </row>
    <row r="19135" spans="1:1" s="427" customFormat="1" ht="12" hidden="1" customHeight="1">
      <c r="A19135" s="426"/>
    </row>
    <row r="19136" spans="1:1" s="427" customFormat="1" ht="12" hidden="1" customHeight="1">
      <c r="A19136" s="426"/>
    </row>
    <row r="19137" spans="1:1" s="427" customFormat="1" ht="12" hidden="1" customHeight="1">
      <c r="A19137" s="426"/>
    </row>
    <row r="19138" spans="1:1" s="427" customFormat="1" ht="12" hidden="1" customHeight="1">
      <c r="A19138" s="426"/>
    </row>
    <row r="19139" spans="1:1" s="427" customFormat="1" ht="12" hidden="1" customHeight="1">
      <c r="A19139" s="426"/>
    </row>
    <row r="19140" spans="1:1" s="427" customFormat="1" ht="12" hidden="1" customHeight="1">
      <c r="A19140" s="426"/>
    </row>
    <row r="19141" spans="1:1" s="427" customFormat="1" ht="12" hidden="1" customHeight="1">
      <c r="A19141" s="426"/>
    </row>
    <row r="19142" spans="1:1" s="427" customFormat="1" ht="12" hidden="1" customHeight="1">
      <c r="A19142" s="426"/>
    </row>
    <row r="19143" spans="1:1" s="427" customFormat="1" ht="12" hidden="1" customHeight="1">
      <c r="A19143" s="426"/>
    </row>
    <row r="19144" spans="1:1" s="427" customFormat="1" ht="12" hidden="1" customHeight="1">
      <c r="A19144" s="426"/>
    </row>
    <row r="19145" spans="1:1" s="427" customFormat="1" ht="12" hidden="1" customHeight="1">
      <c r="A19145" s="426"/>
    </row>
    <row r="19146" spans="1:1" s="427" customFormat="1" ht="12" hidden="1" customHeight="1">
      <c r="A19146" s="426"/>
    </row>
    <row r="19147" spans="1:1" s="427" customFormat="1" ht="12" hidden="1" customHeight="1">
      <c r="A19147" s="426"/>
    </row>
    <row r="19148" spans="1:1" s="427" customFormat="1" ht="12" hidden="1" customHeight="1">
      <c r="A19148" s="426"/>
    </row>
    <row r="19149" spans="1:1" s="427" customFormat="1" ht="12" hidden="1" customHeight="1">
      <c r="A19149" s="426"/>
    </row>
    <row r="19150" spans="1:1" s="427" customFormat="1" ht="12" hidden="1" customHeight="1">
      <c r="A19150" s="426"/>
    </row>
    <row r="19151" spans="1:1" s="427" customFormat="1" ht="12" hidden="1" customHeight="1">
      <c r="A19151" s="426"/>
    </row>
    <row r="19152" spans="1:1" s="427" customFormat="1" ht="12" hidden="1" customHeight="1">
      <c r="A19152" s="426"/>
    </row>
    <row r="19153" spans="1:1" s="427" customFormat="1" ht="12" hidden="1" customHeight="1">
      <c r="A19153" s="426"/>
    </row>
    <row r="19154" spans="1:1" s="427" customFormat="1" ht="12" hidden="1" customHeight="1">
      <c r="A19154" s="426"/>
    </row>
    <row r="19155" spans="1:1" s="427" customFormat="1" ht="12" hidden="1" customHeight="1">
      <c r="A19155" s="426"/>
    </row>
    <row r="19156" spans="1:1" s="427" customFormat="1" ht="12" hidden="1" customHeight="1">
      <c r="A19156" s="426"/>
    </row>
    <row r="19157" spans="1:1" s="427" customFormat="1" ht="12" hidden="1" customHeight="1">
      <c r="A19157" s="426"/>
    </row>
    <row r="19158" spans="1:1" s="427" customFormat="1" ht="12" hidden="1" customHeight="1">
      <c r="A19158" s="426"/>
    </row>
    <row r="19159" spans="1:1" s="427" customFormat="1" ht="12" hidden="1" customHeight="1">
      <c r="A19159" s="426"/>
    </row>
    <row r="19160" spans="1:1" s="427" customFormat="1" ht="12" hidden="1" customHeight="1">
      <c r="A19160" s="426"/>
    </row>
    <row r="19161" spans="1:1" s="427" customFormat="1" ht="12" hidden="1" customHeight="1">
      <c r="A19161" s="426"/>
    </row>
    <row r="19162" spans="1:1" s="427" customFormat="1" ht="12" hidden="1" customHeight="1">
      <c r="A19162" s="426"/>
    </row>
    <row r="19163" spans="1:1" s="427" customFormat="1" ht="12" hidden="1" customHeight="1">
      <c r="A19163" s="426"/>
    </row>
    <row r="19164" spans="1:1" s="427" customFormat="1" ht="12" hidden="1" customHeight="1">
      <c r="A19164" s="426"/>
    </row>
    <row r="19165" spans="1:1" s="427" customFormat="1" ht="12" hidden="1" customHeight="1">
      <c r="A19165" s="426"/>
    </row>
    <row r="19166" spans="1:1" s="427" customFormat="1" ht="12" hidden="1" customHeight="1">
      <c r="A19166" s="426"/>
    </row>
    <row r="19167" spans="1:1" s="427" customFormat="1" ht="12" hidden="1" customHeight="1">
      <c r="A19167" s="426"/>
    </row>
    <row r="19168" spans="1:1" s="427" customFormat="1" ht="12" hidden="1" customHeight="1">
      <c r="A19168" s="426"/>
    </row>
    <row r="19169" spans="1:1" s="427" customFormat="1" ht="12" hidden="1" customHeight="1">
      <c r="A19169" s="426"/>
    </row>
    <row r="19170" spans="1:1" s="427" customFormat="1" ht="12" hidden="1" customHeight="1">
      <c r="A19170" s="426"/>
    </row>
    <row r="19171" spans="1:1" s="427" customFormat="1" ht="12" hidden="1" customHeight="1">
      <c r="A19171" s="426"/>
    </row>
    <row r="19172" spans="1:1" s="427" customFormat="1" ht="12" hidden="1" customHeight="1">
      <c r="A19172" s="426"/>
    </row>
    <row r="19173" spans="1:1" s="427" customFormat="1" ht="12" hidden="1" customHeight="1">
      <c r="A19173" s="426"/>
    </row>
    <row r="19174" spans="1:1" s="427" customFormat="1" ht="12" hidden="1" customHeight="1">
      <c r="A19174" s="426"/>
    </row>
    <row r="19175" spans="1:1" s="427" customFormat="1" ht="12" hidden="1" customHeight="1">
      <c r="A19175" s="426"/>
    </row>
    <row r="19176" spans="1:1" s="427" customFormat="1" ht="12" hidden="1" customHeight="1">
      <c r="A19176" s="426"/>
    </row>
    <row r="19177" spans="1:1" s="427" customFormat="1" ht="12" hidden="1" customHeight="1">
      <c r="A19177" s="426"/>
    </row>
    <row r="19178" spans="1:1" s="427" customFormat="1" ht="12" hidden="1" customHeight="1">
      <c r="A19178" s="426"/>
    </row>
    <row r="19179" spans="1:1" s="427" customFormat="1" ht="12" hidden="1" customHeight="1">
      <c r="A19179" s="426"/>
    </row>
    <row r="19180" spans="1:1" s="427" customFormat="1" ht="12" hidden="1" customHeight="1">
      <c r="A19180" s="426"/>
    </row>
    <row r="19181" spans="1:1" s="427" customFormat="1" ht="12" hidden="1" customHeight="1">
      <c r="A19181" s="426"/>
    </row>
    <row r="19182" spans="1:1" s="427" customFormat="1" ht="12" hidden="1" customHeight="1">
      <c r="A19182" s="426"/>
    </row>
    <row r="19183" spans="1:1" s="427" customFormat="1" ht="12" hidden="1" customHeight="1">
      <c r="A19183" s="426"/>
    </row>
    <row r="19184" spans="1:1" s="427" customFormat="1" ht="12" hidden="1" customHeight="1">
      <c r="A19184" s="426"/>
    </row>
    <row r="19185" spans="1:1" s="427" customFormat="1" ht="12" hidden="1" customHeight="1">
      <c r="A19185" s="426"/>
    </row>
    <row r="19186" spans="1:1" s="427" customFormat="1" ht="12" hidden="1" customHeight="1">
      <c r="A19186" s="426"/>
    </row>
    <row r="19187" spans="1:1" s="427" customFormat="1" ht="12" hidden="1" customHeight="1">
      <c r="A19187" s="426"/>
    </row>
    <row r="19188" spans="1:1" s="427" customFormat="1" ht="12" hidden="1" customHeight="1">
      <c r="A19188" s="426"/>
    </row>
    <row r="19189" spans="1:1" s="427" customFormat="1" ht="12" hidden="1" customHeight="1">
      <c r="A19189" s="426"/>
    </row>
    <row r="19190" spans="1:1" s="427" customFormat="1" ht="12" hidden="1" customHeight="1">
      <c r="A19190" s="426"/>
    </row>
    <row r="19191" spans="1:1" s="427" customFormat="1" ht="12" hidden="1" customHeight="1">
      <c r="A19191" s="426"/>
    </row>
    <row r="19192" spans="1:1" s="427" customFormat="1" ht="12" hidden="1" customHeight="1">
      <c r="A19192" s="426"/>
    </row>
    <row r="19193" spans="1:1" s="427" customFormat="1" ht="12" hidden="1" customHeight="1">
      <c r="A19193" s="426"/>
    </row>
    <row r="19194" spans="1:1" s="427" customFormat="1" ht="12" hidden="1" customHeight="1">
      <c r="A19194" s="426"/>
    </row>
    <row r="19195" spans="1:1" s="427" customFormat="1" ht="12" hidden="1" customHeight="1">
      <c r="A19195" s="426"/>
    </row>
    <row r="19196" spans="1:1" s="427" customFormat="1" ht="12" hidden="1" customHeight="1">
      <c r="A19196" s="426"/>
    </row>
    <row r="19197" spans="1:1" s="427" customFormat="1" ht="12" hidden="1" customHeight="1">
      <c r="A19197" s="426"/>
    </row>
    <row r="19198" spans="1:1" s="427" customFormat="1" ht="12" hidden="1" customHeight="1">
      <c r="A19198" s="426"/>
    </row>
    <row r="19199" spans="1:1" s="427" customFormat="1" ht="12" hidden="1" customHeight="1">
      <c r="A19199" s="426"/>
    </row>
    <row r="19200" spans="1:1" s="427" customFormat="1" ht="12" hidden="1" customHeight="1">
      <c r="A19200" s="426"/>
    </row>
    <row r="19201" spans="1:1" s="427" customFormat="1" ht="12" hidden="1" customHeight="1">
      <c r="A19201" s="426"/>
    </row>
    <row r="19202" spans="1:1" s="427" customFormat="1" ht="12" hidden="1" customHeight="1">
      <c r="A19202" s="426"/>
    </row>
    <row r="19203" spans="1:1" s="427" customFormat="1" ht="12" hidden="1" customHeight="1">
      <c r="A19203" s="426"/>
    </row>
    <row r="19204" spans="1:1" s="427" customFormat="1" ht="12" hidden="1" customHeight="1">
      <c r="A19204" s="426"/>
    </row>
    <row r="19205" spans="1:1" s="427" customFormat="1" ht="12" hidden="1" customHeight="1">
      <c r="A19205" s="426"/>
    </row>
    <row r="19206" spans="1:1" s="427" customFormat="1" ht="12" hidden="1" customHeight="1">
      <c r="A19206" s="426"/>
    </row>
    <row r="19207" spans="1:1" s="427" customFormat="1" ht="12" hidden="1" customHeight="1">
      <c r="A19207" s="426"/>
    </row>
    <row r="19208" spans="1:1" s="427" customFormat="1" ht="12" hidden="1" customHeight="1">
      <c r="A19208" s="426"/>
    </row>
    <row r="19209" spans="1:1" s="427" customFormat="1" ht="12" hidden="1" customHeight="1">
      <c r="A19209" s="426"/>
    </row>
    <row r="19210" spans="1:1" s="427" customFormat="1" ht="12" hidden="1" customHeight="1">
      <c r="A19210" s="426"/>
    </row>
    <row r="19211" spans="1:1" s="427" customFormat="1" ht="12" hidden="1" customHeight="1">
      <c r="A19211" s="426"/>
    </row>
    <row r="19212" spans="1:1" s="427" customFormat="1" ht="12" hidden="1" customHeight="1">
      <c r="A19212" s="426"/>
    </row>
    <row r="19213" spans="1:1" s="427" customFormat="1" ht="12" hidden="1" customHeight="1">
      <c r="A19213" s="426"/>
    </row>
    <row r="19214" spans="1:1" s="427" customFormat="1" ht="12" hidden="1" customHeight="1">
      <c r="A19214" s="426"/>
    </row>
    <row r="19215" spans="1:1" s="427" customFormat="1" ht="12" hidden="1" customHeight="1">
      <c r="A19215" s="426"/>
    </row>
    <row r="19216" spans="1:1" s="427" customFormat="1" ht="12" hidden="1" customHeight="1">
      <c r="A19216" s="426"/>
    </row>
    <row r="19217" spans="1:1" s="427" customFormat="1" ht="12" hidden="1" customHeight="1">
      <c r="A19217" s="426"/>
    </row>
    <row r="19218" spans="1:1" s="427" customFormat="1" ht="12" hidden="1" customHeight="1">
      <c r="A19218" s="426"/>
    </row>
    <row r="19219" spans="1:1" s="427" customFormat="1" ht="12" hidden="1" customHeight="1">
      <c r="A19219" s="426"/>
    </row>
    <row r="19220" spans="1:1" s="427" customFormat="1" ht="12" hidden="1" customHeight="1">
      <c r="A19220" s="426"/>
    </row>
    <row r="19221" spans="1:1" s="427" customFormat="1" ht="12" hidden="1" customHeight="1">
      <c r="A19221" s="426"/>
    </row>
    <row r="19222" spans="1:1" s="427" customFormat="1" ht="12" hidden="1" customHeight="1">
      <c r="A19222" s="426"/>
    </row>
    <row r="19223" spans="1:1" s="427" customFormat="1" ht="12" hidden="1" customHeight="1">
      <c r="A19223" s="426"/>
    </row>
    <row r="19224" spans="1:1" s="427" customFormat="1" ht="12" hidden="1" customHeight="1">
      <c r="A19224" s="426"/>
    </row>
    <row r="19225" spans="1:1" s="427" customFormat="1" ht="12" hidden="1" customHeight="1">
      <c r="A19225" s="426"/>
    </row>
    <row r="19226" spans="1:1" s="427" customFormat="1" ht="12" hidden="1" customHeight="1">
      <c r="A19226" s="426"/>
    </row>
    <row r="19227" spans="1:1" s="427" customFormat="1" ht="12" hidden="1" customHeight="1">
      <c r="A19227" s="426"/>
    </row>
    <row r="19228" spans="1:1" s="427" customFormat="1" ht="12" hidden="1" customHeight="1">
      <c r="A19228" s="426"/>
    </row>
    <row r="19229" spans="1:1" s="427" customFormat="1" ht="12" hidden="1" customHeight="1">
      <c r="A19229" s="426"/>
    </row>
    <row r="19230" spans="1:1" s="427" customFormat="1" ht="12" hidden="1" customHeight="1">
      <c r="A19230" s="426"/>
    </row>
    <row r="19231" spans="1:1" s="427" customFormat="1" ht="12" hidden="1" customHeight="1">
      <c r="A19231" s="426"/>
    </row>
    <row r="19232" spans="1:1" s="427" customFormat="1" ht="12" hidden="1" customHeight="1">
      <c r="A19232" s="426"/>
    </row>
    <row r="19233" spans="1:1" s="427" customFormat="1" ht="12" hidden="1" customHeight="1">
      <c r="A19233" s="426"/>
    </row>
    <row r="19234" spans="1:1" s="427" customFormat="1" ht="12" hidden="1" customHeight="1">
      <c r="A19234" s="426"/>
    </row>
    <row r="19235" spans="1:1" s="427" customFormat="1" ht="12" hidden="1" customHeight="1">
      <c r="A19235" s="426"/>
    </row>
    <row r="19236" spans="1:1" s="427" customFormat="1" ht="12" hidden="1" customHeight="1">
      <c r="A19236" s="426"/>
    </row>
    <row r="19237" spans="1:1" s="427" customFormat="1" ht="12" hidden="1" customHeight="1">
      <c r="A19237" s="426"/>
    </row>
    <row r="19238" spans="1:1" s="427" customFormat="1" ht="12" hidden="1" customHeight="1">
      <c r="A19238" s="426"/>
    </row>
    <row r="19239" spans="1:1" s="427" customFormat="1" ht="12" hidden="1" customHeight="1">
      <c r="A19239" s="426"/>
    </row>
    <row r="19240" spans="1:1" s="427" customFormat="1" ht="12" hidden="1" customHeight="1">
      <c r="A19240" s="426"/>
    </row>
    <row r="19241" spans="1:1" s="427" customFormat="1" ht="12" hidden="1" customHeight="1">
      <c r="A19241" s="426"/>
    </row>
    <row r="19242" spans="1:1" s="427" customFormat="1" ht="12" hidden="1" customHeight="1">
      <c r="A19242" s="426"/>
    </row>
    <row r="19243" spans="1:1" s="427" customFormat="1" ht="12" hidden="1" customHeight="1">
      <c r="A19243" s="426"/>
    </row>
    <row r="19244" spans="1:1" s="427" customFormat="1" ht="12" hidden="1" customHeight="1">
      <c r="A19244" s="426"/>
    </row>
    <row r="19245" spans="1:1" s="427" customFormat="1" ht="12" hidden="1" customHeight="1">
      <c r="A19245" s="426"/>
    </row>
    <row r="19246" spans="1:1" s="427" customFormat="1" ht="12" hidden="1" customHeight="1">
      <c r="A19246" s="426"/>
    </row>
    <row r="19247" spans="1:1" s="427" customFormat="1" ht="12" hidden="1" customHeight="1">
      <c r="A19247" s="426"/>
    </row>
    <row r="19248" spans="1:1" s="427" customFormat="1" ht="12" hidden="1" customHeight="1">
      <c r="A19248" s="426"/>
    </row>
    <row r="19249" spans="1:1" s="427" customFormat="1" ht="12" hidden="1" customHeight="1">
      <c r="A19249" s="426"/>
    </row>
    <row r="19250" spans="1:1" s="427" customFormat="1" ht="12" hidden="1" customHeight="1">
      <c r="A19250" s="426"/>
    </row>
    <row r="19251" spans="1:1" s="427" customFormat="1" ht="12" hidden="1" customHeight="1">
      <c r="A19251" s="426"/>
    </row>
    <row r="19252" spans="1:1" s="427" customFormat="1" ht="12" hidden="1" customHeight="1">
      <c r="A19252" s="426"/>
    </row>
    <row r="19253" spans="1:1" s="427" customFormat="1" ht="12" hidden="1" customHeight="1">
      <c r="A19253" s="426"/>
    </row>
    <row r="19254" spans="1:1" s="427" customFormat="1" ht="12" hidden="1" customHeight="1">
      <c r="A19254" s="426"/>
    </row>
    <row r="19255" spans="1:1" s="427" customFormat="1" ht="12" hidden="1" customHeight="1">
      <c r="A19255" s="426"/>
    </row>
    <row r="19256" spans="1:1" s="427" customFormat="1" ht="12" hidden="1" customHeight="1">
      <c r="A19256" s="426"/>
    </row>
    <row r="19257" spans="1:1" s="427" customFormat="1" ht="12" hidden="1" customHeight="1">
      <c r="A19257" s="426"/>
    </row>
    <row r="19258" spans="1:1" s="427" customFormat="1" ht="12" hidden="1" customHeight="1">
      <c r="A19258" s="426"/>
    </row>
    <row r="19259" spans="1:1" s="427" customFormat="1" ht="12" hidden="1" customHeight="1">
      <c r="A19259" s="426"/>
    </row>
    <row r="19260" spans="1:1" s="427" customFormat="1" ht="12" hidden="1" customHeight="1">
      <c r="A19260" s="426"/>
    </row>
    <row r="19261" spans="1:1" s="427" customFormat="1" ht="12" hidden="1" customHeight="1">
      <c r="A19261" s="426"/>
    </row>
    <row r="19262" spans="1:1" s="427" customFormat="1" ht="12" hidden="1" customHeight="1">
      <c r="A19262" s="426"/>
    </row>
    <row r="19263" spans="1:1" s="427" customFormat="1" ht="12" hidden="1" customHeight="1">
      <c r="A19263" s="426"/>
    </row>
    <row r="19264" spans="1:1" s="427" customFormat="1" ht="12" hidden="1" customHeight="1">
      <c r="A19264" s="426"/>
    </row>
    <row r="19265" spans="1:1" s="427" customFormat="1" ht="12" hidden="1" customHeight="1">
      <c r="A19265" s="426"/>
    </row>
    <row r="19266" spans="1:1" s="427" customFormat="1" ht="12" hidden="1" customHeight="1">
      <c r="A19266" s="426"/>
    </row>
    <row r="19267" spans="1:1" s="427" customFormat="1" ht="12" hidden="1" customHeight="1">
      <c r="A19267" s="426"/>
    </row>
    <row r="19268" spans="1:1" s="427" customFormat="1" ht="12" hidden="1" customHeight="1">
      <c r="A19268" s="426"/>
    </row>
    <row r="19269" spans="1:1" s="427" customFormat="1" ht="12" hidden="1" customHeight="1">
      <c r="A19269" s="426"/>
    </row>
    <row r="19270" spans="1:1" s="427" customFormat="1" ht="12" hidden="1" customHeight="1">
      <c r="A19270" s="426"/>
    </row>
    <row r="19271" spans="1:1" s="427" customFormat="1" ht="12" hidden="1" customHeight="1">
      <c r="A19271" s="426"/>
    </row>
    <row r="19272" spans="1:1" s="427" customFormat="1" ht="12" hidden="1" customHeight="1">
      <c r="A19272" s="426"/>
    </row>
    <row r="19273" spans="1:1" s="427" customFormat="1" ht="12" hidden="1" customHeight="1">
      <c r="A19273" s="426"/>
    </row>
    <row r="19274" spans="1:1" s="427" customFormat="1" ht="12" hidden="1" customHeight="1">
      <c r="A19274" s="426"/>
    </row>
    <row r="19275" spans="1:1" s="427" customFormat="1" ht="12" hidden="1" customHeight="1">
      <c r="A19275" s="426"/>
    </row>
    <row r="19276" spans="1:1" s="427" customFormat="1" ht="12" hidden="1" customHeight="1">
      <c r="A19276" s="426"/>
    </row>
    <row r="19277" spans="1:1" s="427" customFormat="1" ht="12" hidden="1" customHeight="1">
      <c r="A19277" s="426"/>
    </row>
    <row r="19278" spans="1:1" s="427" customFormat="1" ht="12" hidden="1" customHeight="1">
      <c r="A19278" s="426"/>
    </row>
    <row r="19279" spans="1:1" s="427" customFormat="1" ht="12" hidden="1" customHeight="1">
      <c r="A19279" s="426"/>
    </row>
    <row r="19280" spans="1:1" s="427" customFormat="1" ht="12" hidden="1" customHeight="1">
      <c r="A19280" s="426"/>
    </row>
    <row r="19281" spans="1:1" s="427" customFormat="1" ht="12" hidden="1" customHeight="1">
      <c r="A19281" s="426"/>
    </row>
    <row r="19282" spans="1:1" s="427" customFormat="1" ht="12" hidden="1" customHeight="1">
      <c r="A19282" s="426"/>
    </row>
    <row r="19283" spans="1:1" s="427" customFormat="1" ht="12" hidden="1" customHeight="1">
      <c r="A19283" s="426"/>
    </row>
    <row r="19284" spans="1:1" s="427" customFormat="1" ht="12" hidden="1" customHeight="1">
      <c r="A19284" s="426"/>
    </row>
    <row r="19285" spans="1:1" s="427" customFormat="1" ht="12" hidden="1" customHeight="1">
      <c r="A19285" s="426"/>
    </row>
    <row r="19286" spans="1:1" s="427" customFormat="1" ht="12" hidden="1" customHeight="1">
      <c r="A19286" s="426"/>
    </row>
    <row r="19287" spans="1:1" s="427" customFormat="1" ht="12" hidden="1" customHeight="1">
      <c r="A19287" s="426"/>
    </row>
    <row r="19288" spans="1:1" s="427" customFormat="1" ht="12" hidden="1" customHeight="1">
      <c r="A19288" s="426"/>
    </row>
    <row r="19289" spans="1:1" s="427" customFormat="1" ht="12" hidden="1" customHeight="1">
      <c r="A19289" s="426"/>
    </row>
    <row r="19290" spans="1:1" s="427" customFormat="1" ht="12" hidden="1" customHeight="1">
      <c r="A19290" s="426"/>
    </row>
    <row r="19291" spans="1:1" s="427" customFormat="1" ht="12" hidden="1" customHeight="1">
      <c r="A19291" s="426"/>
    </row>
    <row r="19292" spans="1:1" s="427" customFormat="1" ht="12" hidden="1" customHeight="1">
      <c r="A19292" s="426"/>
    </row>
    <row r="19293" spans="1:1" s="427" customFormat="1" ht="12" hidden="1" customHeight="1">
      <c r="A19293" s="426"/>
    </row>
    <row r="19294" spans="1:1" s="427" customFormat="1" ht="12" hidden="1" customHeight="1">
      <c r="A19294" s="426"/>
    </row>
    <row r="19295" spans="1:1" s="427" customFormat="1" ht="12" hidden="1" customHeight="1">
      <c r="A19295" s="426"/>
    </row>
    <row r="19296" spans="1:1" s="427" customFormat="1" ht="12" hidden="1" customHeight="1">
      <c r="A19296" s="426"/>
    </row>
    <row r="19297" spans="1:1" s="427" customFormat="1" ht="12" hidden="1" customHeight="1">
      <c r="A19297" s="426"/>
    </row>
    <row r="19298" spans="1:1" s="427" customFormat="1" ht="12" hidden="1" customHeight="1">
      <c r="A19298" s="426"/>
    </row>
    <row r="19299" spans="1:1" s="427" customFormat="1" ht="12" hidden="1" customHeight="1">
      <c r="A19299" s="426"/>
    </row>
    <row r="19300" spans="1:1" s="427" customFormat="1" ht="12" hidden="1" customHeight="1">
      <c r="A19300" s="426"/>
    </row>
    <row r="19301" spans="1:1" s="427" customFormat="1" ht="12" hidden="1" customHeight="1">
      <c r="A19301" s="426"/>
    </row>
    <row r="19302" spans="1:1" s="427" customFormat="1" ht="12" hidden="1" customHeight="1">
      <c r="A19302" s="426"/>
    </row>
    <row r="19303" spans="1:1" s="427" customFormat="1" ht="12" hidden="1" customHeight="1">
      <c r="A19303" s="426"/>
    </row>
    <row r="19304" spans="1:1" s="427" customFormat="1" ht="12" hidden="1" customHeight="1">
      <c r="A19304" s="426"/>
    </row>
    <row r="19305" spans="1:1" s="427" customFormat="1" ht="12" hidden="1" customHeight="1">
      <c r="A19305" s="426"/>
    </row>
    <row r="19306" spans="1:1" s="427" customFormat="1" ht="12" hidden="1" customHeight="1">
      <c r="A19306" s="426"/>
    </row>
    <row r="19307" spans="1:1" s="427" customFormat="1" ht="12" hidden="1" customHeight="1">
      <c r="A19307" s="426"/>
    </row>
    <row r="19308" spans="1:1" s="427" customFormat="1" ht="12" hidden="1" customHeight="1">
      <c r="A19308" s="426"/>
    </row>
    <row r="19309" spans="1:1" s="427" customFormat="1" ht="12" hidden="1" customHeight="1">
      <c r="A19309" s="426"/>
    </row>
    <row r="19310" spans="1:1" s="427" customFormat="1" ht="12" hidden="1" customHeight="1">
      <c r="A19310" s="426"/>
    </row>
    <row r="19311" spans="1:1" s="427" customFormat="1" ht="12" hidden="1" customHeight="1">
      <c r="A19311" s="426"/>
    </row>
    <row r="19312" spans="1:1" s="427" customFormat="1" ht="12" hidden="1" customHeight="1">
      <c r="A19312" s="426"/>
    </row>
    <row r="19313" spans="1:1" s="427" customFormat="1" ht="12" hidden="1" customHeight="1">
      <c r="A19313" s="426"/>
    </row>
    <row r="19314" spans="1:1" s="427" customFormat="1" ht="12" hidden="1" customHeight="1">
      <c r="A19314" s="426"/>
    </row>
    <row r="19315" spans="1:1" s="427" customFormat="1" ht="12" hidden="1" customHeight="1">
      <c r="A19315" s="426"/>
    </row>
    <row r="19316" spans="1:1" s="427" customFormat="1" ht="12" hidden="1" customHeight="1">
      <c r="A19316" s="426"/>
    </row>
    <row r="19317" spans="1:1" s="427" customFormat="1" ht="12" hidden="1" customHeight="1">
      <c r="A19317" s="426"/>
    </row>
    <row r="19318" spans="1:1" s="427" customFormat="1" ht="12" hidden="1" customHeight="1">
      <c r="A19318" s="426"/>
    </row>
    <row r="19319" spans="1:1" s="427" customFormat="1" ht="12" hidden="1" customHeight="1">
      <c r="A19319" s="426"/>
    </row>
    <row r="19320" spans="1:1" s="427" customFormat="1" ht="12" hidden="1" customHeight="1">
      <c r="A19320" s="426"/>
    </row>
    <row r="19321" spans="1:1" s="427" customFormat="1" ht="12" hidden="1" customHeight="1">
      <c r="A19321" s="426"/>
    </row>
    <row r="19322" spans="1:1" s="427" customFormat="1" ht="12" hidden="1" customHeight="1">
      <c r="A19322" s="426"/>
    </row>
    <row r="19323" spans="1:1" s="427" customFormat="1" ht="12" hidden="1" customHeight="1">
      <c r="A19323" s="426"/>
    </row>
    <row r="19324" spans="1:1" s="427" customFormat="1" ht="12" hidden="1" customHeight="1">
      <c r="A19324" s="426"/>
    </row>
    <row r="19325" spans="1:1" s="427" customFormat="1" ht="12" hidden="1" customHeight="1">
      <c r="A19325" s="426"/>
    </row>
    <row r="19326" spans="1:1" s="427" customFormat="1" ht="12" hidden="1" customHeight="1">
      <c r="A19326" s="426"/>
    </row>
    <row r="19327" spans="1:1" s="427" customFormat="1" ht="12" hidden="1" customHeight="1">
      <c r="A19327" s="426"/>
    </row>
    <row r="19328" spans="1:1" s="427" customFormat="1" ht="12" hidden="1" customHeight="1">
      <c r="A19328" s="426"/>
    </row>
    <row r="19329" spans="1:1" s="427" customFormat="1" ht="12" hidden="1" customHeight="1">
      <c r="A19329" s="426"/>
    </row>
    <row r="19330" spans="1:1" s="427" customFormat="1" ht="12" hidden="1" customHeight="1">
      <c r="A19330" s="426"/>
    </row>
    <row r="19331" spans="1:1" s="427" customFormat="1" ht="12" hidden="1" customHeight="1">
      <c r="A19331" s="426"/>
    </row>
    <row r="19332" spans="1:1" s="427" customFormat="1" ht="12" hidden="1" customHeight="1">
      <c r="A19332" s="426"/>
    </row>
    <row r="19333" spans="1:1" s="427" customFormat="1" ht="12" hidden="1" customHeight="1">
      <c r="A19333" s="426"/>
    </row>
    <row r="19334" spans="1:1" s="427" customFormat="1" ht="12" hidden="1" customHeight="1">
      <c r="A19334" s="426"/>
    </row>
    <row r="19335" spans="1:1" s="427" customFormat="1" ht="12" hidden="1" customHeight="1">
      <c r="A19335" s="426"/>
    </row>
    <row r="19336" spans="1:1" s="427" customFormat="1" ht="12" hidden="1" customHeight="1">
      <c r="A19336" s="426"/>
    </row>
    <row r="19337" spans="1:1" s="427" customFormat="1" ht="12" hidden="1" customHeight="1">
      <c r="A19337" s="426"/>
    </row>
    <row r="19338" spans="1:1" s="427" customFormat="1" ht="12" hidden="1" customHeight="1">
      <c r="A19338" s="426"/>
    </row>
    <row r="19339" spans="1:1" s="427" customFormat="1" ht="12" hidden="1" customHeight="1">
      <c r="A19339" s="426"/>
    </row>
    <row r="19340" spans="1:1" s="427" customFormat="1" ht="12" hidden="1" customHeight="1">
      <c r="A19340" s="426"/>
    </row>
    <row r="19341" spans="1:1" s="427" customFormat="1" ht="12" hidden="1" customHeight="1">
      <c r="A19341" s="426"/>
    </row>
    <row r="19342" spans="1:1" s="427" customFormat="1" ht="12" hidden="1" customHeight="1">
      <c r="A19342" s="426"/>
    </row>
    <row r="19343" spans="1:1" s="427" customFormat="1" ht="12" hidden="1" customHeight="1">
      <c r="A19343" s="426"/>
    </row>
    <row r="19344" spans="1:1" s="427" customFormat="1" ht="12" hidden="1" customHeight="1">
      <c r="A19344" s="426"/>
    </row>
    <row r="19345" spans="1:1" s="427" customFormat="1" ht="12" hidden="1" customHeight="1">
      <c r="A19345" s="426"/>
    </row>
    <row r="19346" spans="1:1" s="427" customFormat="1" ht="12" hidden="1" customHeight="1">
      <c r="A19346" s="426"/>
    </row>
    <row r="19347" spans="1:1" s="427" customFormat="1" ht="12" hidden="1" customHeight="1">
      <c r="A19347" s="426"/>
    </row>
    <row r="19348" spans="1:1" s="427" customFormat="1" ht="12" hidden="1" customHeight="1">
      <c r="A19348" s="426"/>
    </row>
    <row r="19349" spans="1:1" s="427" customFormat="1" ht="12" hidden="1" customHeight="1">
      <c r="A19349" s="426"/>
    </row>
    <row r="19350" spans="1:1" s="427" customFormat="1" ht="12" hidden="1" customHeight="1">
      <c r="A19350" s="426"/>
    </row>
    <row r="19351" spans="1:1" s="427" customFormat="1" ht="12" hidden="1" customHeight="1">
      <c r="A19351" s="426"/>
    </row>
    <row r="19352" spans="1:1" s="427" customFormat="1" ht="12" hidden="1" customHeight="1">
      <c r="A19352" s="426"/>
    </row>
    <row r="19353" spans="1:1" s="427" customFormat="1" ht="12" hidden="1" customHeight="1">
      <c r="A19353" s="426"/>
    </row>
    <row r="19354" spans="1:1" s="427" customFormat="1" ht="12" hidden="1" customHeight="1">
      <c r="A19354" s="426"/>
    </row>
    <row r="19355" spans="1:1" s="427" customFormat="1" ht="12" hidden="1" customHeight="1">
      <c r="A19355" s="426"/>
    </row>
    <row r="19356" spans="1:1" s="427" customFormat="1" ht="12" hidden="1" customHeight="1">
      <c r="A19356" s="426"/>
    </row>
    <row r="19357" spans="1:1" s="427" customFormat="1" ht="12" hidden="1" customHeight="1">
      <c r="A19357" s="426"/>
    </row>
    <row r="19358" spans="1:1" s="427" customFormat="1" ht="12" hidden="1" customHeight="1">
      <c r="A19358" s="426"/>
    </row>
    <row r="19359" spans="1:1" s="427" customFormat="1" ht="12" hidden="1" customHeight="1">
      <c r="A19359" s="426"/>
    </row>
    <row r="19360" spans="1:1" s="427" customFormat="1" ht="12" hidden="1" customHeight="1">
      <c r="A19360" s="426"/>
    </row>
    <row r="19361" spans="1:1" s="427" customFormat="1" ht="12" hidden="1" customHeight="1">
      <c r="A19361" s="426"/>
    </row>
    <row r="19362" spans="1:1" s="427" customFormat="1" ht="12" hidden="1" customHeight="1">
      <c r="A19362" s="426"/>
    </row>
    <row r="19363" spans="1:1" s="427" customFormat="1" ht="12" hidden="1" customHeight="1">
      <c r="A19363" s="426"/>
    </row>
    <row r="19364" spans="1:1" s="427" customFormat="1" ht="12" hidden="1" customHeight="1">
      <c r="A19364" s="426"/>
    </row>
    <row r="19365" spans="1:1" s="427" customFormat="1" ht="12" hidden="1" customHeight="1">
      <c r="A19365" s="426"/>
    </row>
    <row r="19366" spans="1:1" s="427" customFormat="1" ht="12" hidden="1" customHeight="1">
      <c r="A19366" s="426"/>
    </row>
    <row r="19367" spans="1:1" s="427" customFormat="1" ht="12" hidden="1" customHeight="1">
      <c r="A19367" s="426"/>
    </row>
    <row r="19368" spans="1:1" s="427" customFormat="1" ht="12" hidden="1" customHeight="1">
      <c r="A19368" s="426"/>
    </row>
    <row r="19369" spans="1:1" s="427" customFormat="1" ht="12" hidden="1" customHeight="1">
      <c r="A19369" s="426"/>
    </row>
    <row r="19370" spans="1:1" s="427" customFormat="1" ht="12" hidden="1" customHeight="1">
      <c r="A19370" s="426"/>
    </row>
    <row r="19371" spans="1:1" s="427" customFormat="1" ht="12" hidden="1" customHeight="1">
      <c r="A19371" s="426"/>
    </row>
    <row r="19372" spans="1:1" s="427" customFormat="1" ht="12" hidden="1" customHeight="1">
      <c r="A19372" s="426"/>
    </row>
    <row r="19373" spans="1:1" s="427" customFormat="1" ht="12" hidden="1" customHeight="1">
      <c r="A19373" s="426"/>
    </row>
    <row r="19374" spans="1:1" s="427" customFormat="1" ht="12" hidden="1" customHeight="1">
      <c r="A19374" s="426"/>
    </row>
    <row r="19375" spans="1:1" s="427" customFormat="1" ht="12" hidden="1" customHeight="1">
      <c r="A19375" s="426"/>
    </row>
    <row r="19376" spans="1:1" s="427" customFormat="1" ht="12" hidden="1" customHeight="1">
      <c r="A19376" s="426"/>
    </row>
    <row r="19377" spans="1:1" s="427" customFormat="1" ht="12" hidden="1" customHeight="1">
      <c r="A19377" s="426"/>
    </row>
    <row r="19378" spans="1:1" s="427" customFormat="1" ht="12" hidden="1" customHeight="1">
      <c r="A19378" s="426"/>
    </row>
    <row r="19379" spans="1:1" s="427" customFormat="1" ht="12" hidden="1" customHeight="1">
      <c r="A19379" s="426"/>
    </row>
    <row r="19380" spans="1:1" s="427" customFormat="1" ht="12" hidden="1" customHeight="1">
      <c r="A19380" s="426"/>
    </row>
    <row r="19381" spans="1:1" s="427" customFormat="1" ht="12" hidden="1" customHeight="1">
      <c r="A19381" s="426"/>
    </row>
    <row r="19382" spans="1:1" s="427" customFormat="1" ht="12" hidden="1" customHeight="1">
      <c r="A19382" s="426"/>
    </row>
    <row r="19383" spans="1:1" s="427" customFormat="1" ht="12" hidden="1" customHeight="1">
      <c r="A19383" s="426"/>
    </row>
    <row r="19384" spans="1:1" s="427" customFormat="1" ht="12" hidden="1" customHeight="1">
      <c r="A19384" s="426"/>
    </row>
    <row r="19385" spans="1:1" s="427" customFormat="1" ht="12" hidden="1" customHeight="1">
      <c r="A19385" s="426"/>
    </row>
    <row r="19386" spans="1:1" s="427" customFormat="1" ht="12" hidden="1" customHeight="1">
      <c r="A19386" s="426"/>
    </row>
    <row r="19387" spans="1:1" s="427" customFormat="1" ht="12" hidden="1" customHeight="1">
      <c r="A19387" s="426"/>
    </row>
    <row r="19388" spans="1:1" s="427" customFormat="1" ht="12" hidden="1" customHeight="1">
      <c r="A19388" s="426"/>
    </row>
    <row r="19389" spans="1:1" s="427" customFormat="1" ht="12" hidden="1" customHeight="1">
      <c r="A19389" s="426"/>
    </row>
    <row r="19390" spans="1:1" s="427" customFormat="1" ht="12" hidden="1" customHeight="1">
      <c r="A19390" s="426"/>
    </row>
    <row r="19391" spans="1:1" s="427" customFormat="1" ht="12" hidden="1" customHeight="1">
      <c r="A19391" s="426"/>
    </row>
    <row r="19392" spans="1:1" s="427" customFormat="1" ht="12" hidden="1" customHeight="1">
      <c r="A19392" s="426"/>
    </row>
    <row r="19393" spans="1:1" s="427" customFormat="1" ht="12" hidden="1" customHeight="1">
      <c r="A19393" s="426"/>
    </row>
    <row r="19394" spans="1:1" s="427" customFormat="1" ht="12" hidden="1" customHeight="1">
      <c r="A19394" s="426"/>
    </row>
    <row r="19395" spans="1:1" s="427" customFormat="1" ht="12" hidden="1" customHeight="1">
      <c r="A19395" s="426"/>
    </row>
    <row r="19396" spans="1:1" s="427" customFormat="1" ht="12" hidden="1" customHeight="1">
      <c r="A19396" s="426"/>
    </row>
    <row r="19397" spans="1:1" s="427" customFormat="1" ht="12" hidden="1" customHeight="1">
      <c r="A19397" s="426"/>
    </row>
    <row r="19398" spans="1:1" s="427" customFormat="1" ht="12" hidden="1" customHeight="1">
      <c r="A19398" s="426"/>
    </row>
    <row r="19399" spans="1:1" s="427" customFormat="1" ht="12" hidden="1" customHeight="1">
      <c r="A19399" s="426"/>
    </row>
    <row r="19400" spans="1:1" s="427" customFormat="1" ht="12" hidden="1" customHeight="1">
      <c r="A19400" s="426"/>
    </row>
    <row r="19401" spans="1:1" s="427" customFormat="1" ht="12" hidden="1" customHeight="1">
      <c r="A19401" s="426"/>
    </row>
    <row r="19402" spans="1:1" s="427" customFormat="1" ht="12" hidden="1" customHeight="1">
      <c r="A19402" s="426"/>
    </row>
    <row r="19403" spans="1:1" s="427" customFormat="1" ht="12" hidden="1" customHeight="1">
      <c r="A19403" s="426"/>
    </row>
    <row r="19404" spans="1:1" s="427" customFormat="1" ht="12" hidden="1" customHeight="1">
      <c r="A19404" s="426"/>
    </row>
    <row r="19405" spans="1:1" s="427" customFormat="1" ht="12" hidden="1" customHeight="1">
      <c r="A19405" s="426"/>
    </row>
    <row r="19406" spans="1:1" s="427" customFormat="1" ht="12" hidden="1" customHeight="1">
      <c r="A19406" s="426"/>
    </row>
    <row r="19407" spans="1:1" s="427" customFormat="1" ht="12" hidden="1" customHeight="1">
      <c r="A19407" s="426"/>
    </row>
    <row r="19408" spans="1:1" s="427" customFormat="1" ht="12" hidden="1" customHeight="1">
      <c r="A19408" s="426"/>
    </row>
    <row r="19409" spans="1:1" s="427" customFormat="1" ht="12" hidden="1" customHeight="1">
      <c r="A19409" s="426"/>
    </row>
    <row r="19410" spans="1:1" s="427" customFormat="1" ht="12" hidden="1" customHeight="1">
      <c r="A19410" s="426"/>
    </row>
    <row r="19411" spans="1:1" s="427" customFormat="1" ht="12" hidden="1" customHeight="1">
      <c r="A19411" s="426"/>
    </row>
    <row r="19412" spans="1:1" s="427" customFormat="1" ht="12" hidden="1" customHeight="1">
      <c r="A19412" s="426"/>
    </row>
    <row r="19413" spans="1:1" s="427" customFormat="1" ht="12" hidden="1" customHeight="1">
      <c r="A19413" s="426"/>
    </row>
    <row r="19414" spans="1:1" s="427" customFormat="1" ht="12" hidden="1" customHeight="1">
      <c r="A19414" s="426"/>
    </row>
    <row r="19415" spans="1:1" s="427" customFormat="1" ht="12" hidden="1" customHeight="1">
      <c r="A19415" s="426"/>
    </row>
    <row r="19416" spans="1:1" s="427" customFormat="1" ht="12" hidden="1" customHeight="1">
      <c r="A19416" s="426"/>
    </row>
    <row r="19417" spans="1:1" s="427" customFormat="1" ht="12" hidden="1" customHeight="1">
      <c r="A19417" s="426"/>
    </row>
    <row r="19418" spans="1:1" s="427" customFormat="1" ht="12" hidden="1" customHeight="1">
      <c r="A19418" s="426"/>
    </row>
    <row r="19419" spans="1:1" s="427" customFormat="1" ht="12" hidden="1" customHeight="1">
      <c r="A19419" s="426"/>
    </row>
    <row r="19420" spans="1:1" s="427" customFormat="1" ht="12" hidden="1" customHeight="1">
      <c r="A19420" s="426"/>
    </row>
    <row r="19421" spans="1:1" s="427" customFormat="1" ht="12" hidden="1" customHeight="1">
      <c r="A19421" s="426"/>
    </row>
    <row r="19422" spans="1:1" s="427" customFormat="1" ht="12" hidden="1" customHeight="1">
      <c r="A19422" s="426"/>
    </row>
    <row r="19423" spans="1:1" s="427" customFormat="1" ht="12" hidden="1" customHeight="1">
      <c r="A19423" s="426"/>
    </row>
    <row r="19424" spans="1:1" s="427" customFormat="1" ht="12" hidden="1" customHeight="1">
      <c r="A19424" s="426"/>
    </row>
    <row r="19425" spans="1:1" s="427" customFormat="1" ht="12" hidden="1" customHeight="1">
      <c r="A19425" s="426"/>
    </row>
    <row r="19426" spans="1:1" s="427" customFormat="1" ht="12" hidden="1" customHeight="1">
      <c r="A19426" s="426"/>
    </row>
    <row r="19427" spans="1:1" s="427" customFormat="1" ht="12" hidden="1" customHeight="1">
      <c r="A19427" s="426"/>
    </row>
    <row r="19428" spans="1:1" s="427" customFormat="1" ht="12" hidden="1" customHeight="1">
      <c r="A19428" s="426"/>
    </row>
    <row r="19429" spans="1:1" s="427" customFormat="1" ht="12" hidden="1" customHeight="1">
      <c r="A19429" s="426"/>
    </row>
    <row r="19430" spans="1:1" s="427" customFormat="1" ht="12" hidden="1" customHeight="1">
      <c r="A19430" s="426"/>
    </row>
    <row r="19431" spans="1:1" s="427" customFormat="1" ht="12" hidden="1" customHeight="1">
      <c r="A19431" s="426"/>
    </row>
    <row r="19432" spans="1:1" s="427" customFormat="1" ht="12" hidden="1" customHeight="1">
      <c r="A19432" s="426"/>
    </row>
    <row r="19433" spans="1:1" s="427" customFormat="1" ht="12" hidden="1" customHeight="1">
      <c r="A19433" s="426"/>
    </row>
    <row r="19434" spans="1:1" s="427" customFormat="1" ht="12" hidden="1" customHeight="1">
      <c r="A19434" s="426"/>
    </row>
    <row r="19435" spans="1:1" s="427" customFormat="1" ht="12" hidden="1" customHeight="1">
      <c r="A19435" s="426"/>
    </row>
    <row r="19436" spans="1:1" s="427" customFormat="1" ht="12" hidden="1" customHeight="1">
      <c r="A19436" s="426"/>
    </row>
    <row r="19437" spans="1:1" s="427" customFormat="1" ht="12" hidden="1" customHeight="1">
      <c r="A19437" s="426"/>
    </row>
    <row r="19438" spans="1:1" s="427" customFormat="1" ht="12" hidden="1" customHeight="1">
      <c r="A19438" s="426"/>
    </row>
    <row r="19439" spans="1:1" s="427" customFormat="1" ht="12" hidden="1" customHeight="1">
      <c r="A19439" s="426"/>
    </row>
    <row r="19440" spans="1:1" s="427" customFormat="1" ht="12" hidden="1" customHeight="1">
      <c r="A19440" s="426"/>
    </row>
    <row r="19441" spans="1:1" s="427" customFormat="1" ht="12" hidden="1" customHeight="1">
      <c r="A19441" s="426"/>
    </row>
    <row r="19442" spans="1:1" s="427" customFormat="1" ht="12" hidden="1" customHeight="1">
      <c r="A19442" s="426"/>
    </row>
    <row r="19443" spans="1:1" s="427" customFormat="1" ht="12" hidden="1" customHeight="1">
      <c r="A19443" s="426"/>
    </row>
    <row r="19444" spans="1:1" s="427" customFormat="1" ht="12" hidden="1" customHeight="1">
      <c r="A19444" s="426"/>
    </row>
    <row r="19445" spans="1:1" s="427" customFormat="1" ht="12" hidden="1" customHeight="1">
      <c r="A19445" s="426"/>
    </row>
    <row r="19446" spans="1:1" s="427" customFormat="1" ht="12" hidden="1" customHeight="1">
      <c r="A19446" s="426"/>
    </row>
    <row r="19447" spans="1:1" s="427" customFormat="1" ht="12" hidden="1" customHeight="1">
      <c r="A19447" s="426"/>
    </row>
    <row r="19448" spans="1:1" s="427" customFormat="1" ht="12" hidden="1" customHeight="1">
      <c r="A19448" s="426"/>
    </row>
    <row r="19449" spans="1:1" s="427" customFormat="1" ht="12" hidden="1" customHeight="1">
      <c r="A19449" s="426"/>
    </row>
    <row r="19450" spans="1:1" s="427" customFormat="1" ht="12" hidden="1" customHeight="1">
      <c r="A19450" s="426"/>
    </row>
    <row r="19451" spans="1:1" s="427" customFormat="1" ht="12" hidden="1" customHeight="1">
      <c r="A19451" s="426"/>
    </row>
    <row r="19452" spans="1:1" s="427" customFormat="1" ht="12" hidden="1" customHeight="1">
      <c r="A19452" s="426"/>
    </row>
    <row r="19453" spans="1:1" s="427" customFormat="1" ht="12" hidden="1" customHeight="1">
      <c r="A19453" s="426"/>
    </row>
    <row r="19454" spans="1:1" s="427" customFormat="1" ht="12" hidden="1" customHeight="1">
      <c r="A19454" s="426"/>
    </row>
    <row r="19455" spans="1:1" s="427" customFormat="1" ht="12" hidden="1" customHeight="1">
      <c r="A19455" s="426"/>
    </row>
    <row r="19456" spans="1:1" s="427" customFormat="1" ht="12" hidden="1" customHeight="1">
      <c r="A19456" s="426"/>
    </row>
    <row r="19457" spans="1:1" s="427" customFormat="1" ht="12" hidden="1" customHeight="1">
      <c r="A19457" s="426"/>
    </row>
    <row r="19458" spans="1:1" s="427" customFormat="1" ht="12" hidden="1" customHeight="1">
      <c r="A19458" s="426"/>
    </row>
    <row r="19459" spans="1:1" s="427" customFormat="1" ht="12" hidden="1" customHeight="1">
      <c r="A19459" s="426"/>
    </row>
    <row r="19460" spans="1:1" s="427" customFormat="1" ht="12" hidden="1" customHeight="1">
      <c r="A19460" s="426"/>
    </row>
    <row r="19461" spans="1:1" s="427" customFormat="1" ht="12" hidden="1" customHeight="1">
      <c r="A19461" s="426"/>
    </row>
    <row r="19462" spans="1:1" s="427" customFormat="1" ht="12" hidden="1" customHeight="1">
      <c r="A19462" s="426"/>
    </row>
    <row r="19463" spans="1:1" s="427" customFormat="1" ht="12" hidden="1" customHeight="1">
      <c r="A19463" s="426"/>
    </row>
    <row r="19464" spans="1:1" s="427" customFormat="1" ht="12" hidden="1" customHeight="1">
      <c r="A19464" s="426"/>
    </row>
    <row r="19465" spans="1:1" s="427" customFormat="1" ht="12" hidden="1" customHeight="1">
      <c r="A19465" s="426"/>
    </row>
    <row r="19466" spans="1:1" s="427" customFormat="1" ht="12" hidden="1" customHeight="1">
      <c r="A19466" s="426"/>
    </row>
    <row r="19467" spans="1:1" s="427" customFormat="1" ht="12" hidden="1" customHeight="1">
      <c r="A19467" s="426"/>
    </row>
    <row r="19468" spans="1:1" s="427" customFormat="1" ht="12" hidden="1" customHeight="1">
      <c r="A19468" s="426"/>
    </row>
    <row r="19469" spans="1:1" s="427" customFormat="1" ht="12" hidden="1" customHeight="1">
      <c r="A19469" s="426"/>
    </row>
    <row r="19470" spans="1:1" s="427" customFormat="1" ht="12" hidden="1" customHeight="1">
      <c r="A19470" s="426"/>
    </row>
    <row r="19471" spans="1:1" s="427" customFormat="1" ht="12" hidden="1" customHeight="1">
      <c r="A19471" s="426"/>
    </row>
    <row r="19472" spans="1:1" s="427" customFormat="1" ht="12" hidden="1" customHeight="1">
      <c r="A19472" s="426"/>
    </row>
    <row r="19473" spans="1:1" s="427" customFormat="1" ht="12" hidden="1" customHeight="1">
      <c r="A19473" s="426"/>
    </row>
    <row r="19474" spans="1:1" s="427" customFormat="1" ht="12" hidden="1" customHeight="1">
      <c r="A19474" s="426"/>
    </row>
    <row r="19475" spans="1:1" s="427" customFormat="1" ht="12" hidden="1" customHeight="1">
      <c r="A19475" s="426"/>
    </row>
    <row r="19476" spans="1:1" s="427" customFormat="1" ht="12" hidden="1" customHeight="1">
      <c r="A19476" s="426"/>
    </row>
    <row r="19477" spans="1:1" s="427" customFormat="1" ht="12" hidden="1" customHeight="1">
      <c r="A19477" s="426"/>
    </row>
    <row r="19478" spans="1:1" s="427" customFormat="1" ht="12" hidden="1" customHeight="1">
      <c r="A19478" s="426"/>
    </row>
    <row r="19479" spans="1:1" s="427" customFormat="1" ht="12" hidden="1" customHeight="1">
      <c r="A19479" s="426"/>
    </row>
    <row r="19480" spans="1:1" s="427" customFormat="1" ht="12" hidden="1" customHeight="1">
      <c r="A19480" s="426"/>
    </row>
    <row r="19481" spans="1:1" s="427" customFormat="1" ht="12" hidden="1" customHeight="1">
      <c r="A19481" s="426"/>
    </row>
    <row r="19482" spans="1:1" s="427" customFormat="1" ht="12" hidden="1" customHeight="1">
      <c r="A19482" s="426"/>
    </row>
    <row r="19483" spans="1:1" s="427" customFormat="1" ht="12" hidden="1" customHeight="1">
      <c r="A19483" s="426"/>
    </row>
    <row r="19484" spans="1:1" s="427" customFormat="1" ht="12" hidden="1" customHeight="1">
      <c r="A19484" s="426"/>
    </row>
    <row r="19485" spans="1:1" s="427" customFormat="1" ht="12" hidden="1" customHeight="1">
      <c r="A19485" s="426"/>
    </row>
    <row r="19486" spans="1:1" s="427" customFormat="1" ht="12" hidden="1" customHeight="1">
      <c r="A19486" s="426"/>
    </row>
    <row r="19487" spans="1:1" s="427" customFormat="1" ht="12" hidden="1" customHeight="1">
      <c r="A19487" s="426"/>
    </row>
    <row r="19488" spans="1:1" s="427" customFormat="1" ht="12" hidden="1" customHeight="1">
      <c r="A19488" s="426"/>
    </row>
    <row r="19489" spans="1:1" s="427" customFormat="1" ht="12" hidden="1" customHeight="1">
      <c r="A19489" s="426"/>
    </row>
    <row r="19490" spans="1:1" s="427" customFormat="1" ht="12" hidden="1" customHeight="1">
      <c r="A19490" s="426"/>
    </row>
    <row r="19491" spans="1:1" s="427" customFormat="1" ht="12" hidden="1" customHeight="1">
      <c r="A19491" s="426"/>
    </row>
    <row r="19492" spans="1:1" s="427" customFormat="1" ht="12" hidden="1" customHeight="1">
      <c r="A19492" s="426"/>
    </row>
    <row r="19493" spans="1:1" s="427" customFormat="1" ht="12" hidden="1" customHeight="1">
      <c r="A19493" s="426"/>
    </row>
    <row r="19494" spans="1:1" s="427" customFormat="1" ht="12" hidden="1" customHeight="1">
      <c r="A19494" s="426"/>
    </row>
    <row r="19495" spans="1:1" s="427" customFormat="1" ht="12" hidden="1" customHeight="1">
      <c r="A19495" s="426"/>
    </row>
    <row r="19496" spans="1:1" s="427" customFormat="1" ht="12" hidden="1" customHeight="1">
      <c r="A19496" s="426"/>
    </row>
    <row r="19497" spans="1:1" s="427" customFormat="1" ht="12" hidden="1" customHeight="1">
      <c r="A19497" s="426"/>
    </row>
    <row r="19498" spans="1:1" s="427" customFormat="1" ht="12" hidden="1" customHeight="1">
      <c r="A19498" s="426"/>
    </row>
    <row r="19499" spans="1:1" s="427" customFormat="1" ht="12" hidden="1" customHeight="1">
      <c r="A19499" s="426"/>
    </row>
    <row r="19500" spans="1:1" s="427" customFormat="1" ht="12" hidden="1" customHeight="1">
      <c r="A19500" s="426"/>
    </row>
    <row r="19501" spans="1:1" s="427" customFormat="1" ht="12" hidden="1" customHeight="1">
      <c r="A19501" s="426"/>
    </row>
    <row r="19502" spans="1:1" s="427" customFormat="1" ht="12" hidden="1" customHeight="1">
      <c r="A19502" s="426"/>
    </row>
    <row r="19503" spans="1:1" s="427" customFormat="1" ht="12" hidden="1" customHeight="1">
      <c r="A19503" s="426"/>
    </row>
    <row r="19504" spans="1:1" s="427" customFormat="1" ht="12" hidden="1" customHeight="1">
      <c r="A19504" s="426"/>
    </row>
    <row r="19505" spans="1:1" s="427" customFormat="1" ht="12" hidden="1" customHeight="1">
      <c r="A19505" s="426"/>
    </row>
    <row r="19506" spans="1:1" s="427" customFormat="1" ht="12" hidden="1" customHeight="1">
      <c r="A19506" s="426"/>
    </row>
    <row r="19507" spans="1:1" s="427" customFormat="1" ht="12" hidden="1" customHeight="1">
      <c r="A19507" s="426"/>
    </row>
    <row r="19508" spans="1:1" s="427" customFormat="1" ht="12" hidden="1" customHeight="1">
      <c r="A19508" s="426"/>
    </row>
    <row r="19509" spans="1:1" s="427" customFormat="1" ht="12" hidden="1" customHeight="1">
      <c r="A19509" s="426"/>
    </row>
    <row r="19510" spans="1:1" s="427" customFormat="1" ht="12" hidden="1" customHeight="1">
      <c r="A19510" s="426"/>
    </row>
    <row r="19511" spans="1:1" s="427" customFormat="1" ht="12" hidden="1" customHeight="1">
      <c r="A19511" s="426"/>
    </row>
    <row r="19512" spans="1:1" s="427" customFormat="1" ht="12" hidden="1" customHeight="1">
      <c r="A19512" s="426"/>
    </row>
    <row r="19513" spans="1:1" s="427" customFormat="1" ht="12" hidden="1" customHeight="1">
      <c r="A19513" s="426"/>
    </row>
    <row r="19514" spans="1:1" s="427" customFormat="1" ht="12" hidden="1" customHeight="1">
      <c r="A19514" s="426"/>
    </row>
    <row r="19515" spans="1:1" s="427" customFormat="1" ht="12" hidden="1" customHeight="1">
      <c r="A19515" s="426"/>
    </row>
    <row r="19516" spans="1:1" s="427" customFormat="1" ht="12" hidden="1" customHeight="1">
      <c r="A19516" s="426"/>
    </row>
    <row r="19517" spans="1:1" s="427" customFormat="1" ht="12" hidden="1" customHeight="1">
      <c r="A19517" s="426"/>
    </row>
    <row r="19518" spans="1:1" s="427" customFormat="1" ht="12" hidden="1" customHeight="1">
      <c r="A19518" s="426"/>
    </row>
    <row r="19519" spans="1:1" s="427" customFormat="1" ht="12" hidden="1" customHeight="1">
      <c r="A19519" s="426"/>
    </row>
    <row r="19520" spans="1:1" s="427" customFormat="1" ht="12" hidden="1" customHeight="1">
      <c r="A19520" s="426"/>
    </row>
    <row r="19521" spans="1:1" s="427" customFormat="1" ht="12" hidden="1" customHeight="1">
      <c r="A19521" s="426"/>
    </row>
    <row r="19522" spans="1:1" s="427" customFormat="1" ht="12" hidden="1" customHeight="1">
      <c r="A19522" s="426"/>
    </row>
    <row r="19523" spans="1:1" s="427" customFormat="1" ht="12" hidden="1" customHeight="1">
      <c r="A19523" s="426"/>
    </row>
    <row r="19524" spans="1:1" s="427" customFormat="1" ht="12" hidden="1" customHeight="1">
      <c r="A19524" s="426"/>
    </row>
    <row r="19525" spans="1:1" s="427" customFormat="1" ht="12" hidden="1" customHeight="1">
      <c r="A19525" s="426"/>
    </row>
    <row r="19526" spans="1:1" s="427" customFormat="1" ht="12" hidden="1" customHeight="1">
      <c r="A19526" s="426"/>
    </row>
    <row r="19527" spans="1:1" s="427" customFormat="1" ht="12" hidden="1" customHeight="1">
      <c r="A19527" s="426"/>
    </row>
    <row r="19528" spans="1:1" s="427" customFormat="1" ht="12" hidden="1" customHeight="1">
      <c r="A19528" s="426"/>
    </row>
    <row r="19529" spans="1:1" s="427" customFormat="1" ht="12" hidden="1" customHeight="1">
      <c r="A19529" s="426"/>
    </row>
    <row r="19530" spans="1:1" s="427" customFormat="1" ht="12" hidden="1" customHeight="1">
      <c r="A19530" s="426"/>
    </row>
    <row r="19531" spans="1:1" s="427" customFormat="1" ht="12" hidden="1" customHeight="1">
      <c r="A19531" s="426"/>
    </row>
    <row r="19532" spans="1:1" s="427" customFormat="1" ht="12" hidden="1" customHeight="1">
      <c r="A19532" s="426"/>
    </row>
    <row r="19533" spans="1:1" s="427" customFormat="1" ht="12" hidden="1" customHeight="1">
      <c r="A19533" s="426"/>
    </row>
    <row r="19534" spans="1:1" s="427" customFormat="1" ht="12" hidden="1" customHeight="1">
      <c r="A19534" s="426"/>
    </row>
    <row r="19535" spans="1:1" s="427" customFormat="1" ht="12" hidden="1" customHeight="1">
      <c r="A19535" s="426"/>
    </row>
    <row r="19536" spans="1:1" s="427" customFormat="1" ht="12" hidden="1" customHeight="1">
      <c r="A19536" s="426"/>
    </row>
    <row r="19537" spans="1:1" s="427" customFormat="1" ht="12" hidden="1" customHeight="1">
      <c r="A19537" s="426"/>
    </row>
    <row r="19538" spans="1:1" s="427" customFormat="1" ht="12" hidden="1" customHeight="1">
      <c r="A19538" s="426"/>
    </row>
    <row r="19539" spans="1:1" s="427" customFormat="1" ht="12" hidden="1" customHeight="1">
      <c r="A19539" s="426"/>
    </row>
    <row r="19540" spans="1:1" s="427" customFormat="1" ht="12" hidden="1" customHeight="1">
      <c r="A19540" s="426"/>
    </row>
    <row r="19541" spans="1:1" s="427" customFormat="1" ht="12" hidden="1" customHeight="1">
      <c r="A19541" s="426"/>
    </row>
    <row r="19542" spans="1:1" s="427" customFormat="1" ht="12" hidden="1" customHeight="1">
      <c r="A19542" s="426"/>
    </row>
    <row r="19543" spans="1:1" s="427" customFormat="1" ht="12" hidden="1" customHeight="1">
      <c r="A19543" s="426"/>
    </row>
    <row r="19544" spans="1:1" s="427" customFormat="1" ht="12" hidden="1" customHeight="1">
      <c r="A19544" s="426"/>
    </row>
    <row r="19545" spans="1:1" s="427" customFormat="1" ht="12" hidden="1" customHeight="1">
      <c r="A19545" s="426"/>
    </row>
    <row r="19546" spans="1:1" s="427" customFormat="1" ht="12" hidden="1" customHeight="1">
      <c r="A19546" s="426"/>
    </row>
    <row r="19547" spans="1:1" s="427" customFormat="1" ht="12" hidden="1" customHeight="1">
      <c r="A19547" s="426"/>
    </row>
    <row r="19548" spans="1:1" s="427" customFormat="1" ht="12" hidden="1" customHeight="1">
      <c r="A19548" s="426"/>
    </row>
    <row r="19549" spans="1:1" s="427" customFormat="1" ht="12" hidden="1" customHeight="1">
      <c r="A19549" s="426"/>
    </row>
    <row r="19550" spans="1:1" s="427" customFormat="1" ht="12" hidden="1" customHeight="1">
      <c r="A19550" s="426"/>
    </row>
    <row r="19551" spans="1:1" s="427" customFormat="1" ht="12" hidden="1" customHeight="1">
      <c r="A19551" s="426"/>
    </row>
    <row r="19552" spans="1:1" s="427" customFormat="1" ht="12" hidden="1" customHeight="1">
      <c r="A19552" s="426"/>
    </row>
    <row r="19553" spans="1:1" s="427" customFormat="1" ht="12" hidden="1" customHeight="1">
      <c r="A19553" s="426"/>
    </row>
    <row r="19554" spans="1:1" s="427" customFormat="1" ht="12" hidden="1" customHeight="1">
      <c r="A19554" s="426"/>
    </row>
    <row r="19555" spans="1:1" s="427" customFormat="1" ht="12" hidden="1" customHeight="1">
      <c r="A19555" s="426"/>
    </row>
    <row r="19556" spans="1:1" s="427" customFormat="1" ht="12" hidden="1" customHeight="1">
      <c r="A19556" s="426"/>
    </row>
    <row r="19557" spans="1:1" s="427" customFormat="1" ht="12" hidden="1" customHeight="1">
      <c r="A19557" s="426"/>
    </row>
    <row r="19558" spans="1:1" s="427" customFormat="1" ht="12" hidden="1" customHeight="1">
      <c r="A19558" s="426"/>
    </row>
    <row r="19559" spans="1:1" s="427" customFormat="1" ht="12" hidden="1" customHeight="1">
      <c r="A19559" s="426"/>
    </row>
    <row r="19560" spans="1:1" s="427" customFormat="1" ht="12" hidden="1" customHeight="1">
      <c r="A19560" s="426"/>
    </row>
    <row r="19561" spans="1:1" s="427" customFormat="1" ht="12" hidden="1" customHeight="1">
      <c r="A19561" s="426"/>
    </row>
    <row r="19562" spans="1:1" s="427" customFormat="1" ht="12" hidden="1" customHeight="1">
      <c r="A19562" s="426"/>
    </row>
    <row r="19563" spans="1:1" s="427" customFormat="1" ht="12" hidden="1" customHeight="1">
      <c r="A19563" s="426"/>
    </row>
    <row r="19564" spans="1:1" s="427" customFormat="1" ht="12" hidden="1" customHeight="1">
      <c r="A19564" s="426"/>
    </row>
    <row r="19565" spans="1:1" s="427" customFormat="1" ht="12" hidden="1" customHeight="1">
      <c r="A19565" s="426"/>
    </row>
    <row r="19566" spans="1:1" s="427" customFormat="1" ht="12" hidden="1" customHeight="1">
      <c r="A19566" s="426"/>
    </row>
    <row r="19567" spans="1:1" s="427" customFormat="1" ht="12" hidden="1" customHeight="1">
      <c r="A19567" s="426"/>
    </row>
    <row r="19568" spans="1:1" s="427" customFormat="1" ht="12" hidden="1" customHeight="1">
      <c r="A19568" s="426"/>
    </row>
    <row r="19569" spans="1:1" s="427" customFormat="1" ht="12" hidden="1" customHeight="1">
      <c r="A19569" s="426"/>
    </row>
    <row r="19570" spans="1:1" s="427" customFormat="1" ht="12" hidden="1" customHeight="1">
      <c r="A19570" s="426"/>
    </row>
    <row r="19571" spans="1:1" s="427" customFormat="1" ht="12" hidden="1" customHeight="1">
      <c r="A19571" s="426"/>
    </row>
    <row r="19572" spans="1:1" s="427" customFormat="1" ht="12" hidden="1" customHeight="1">
      <c r="A19572" s="426"/>
    </row>
    <row r="19573" spans="1:1" s="427" customFormat="1" ht="12" hidden="1" customHeight="1">
      <c r="A19573" s="426"/>
    </row>
    <row r="19574" spans="1:1" s="427" customFormat="1" ht="12" hidden="1" customHeight="1">
      <c r="A19574" s="426"/>
    </row>
    <row r="19575" spans="1:1" s="427" customFormat="1" ht="12" hidden="1" customHeight="1">
      <c r="A19575" s="426"/>
    </row>
    <row r="19576" spans="1:1" s="427" customFormat="1" ht="12" hidden="1" customHeight="1">
      <c r="A19576" s="426"/>
    </row>
    <row r="19577" spans="1:1" s="427" customFormat="1" ht="12" hidden="1" customHeight="1">
      <c r="A19577" s="426"/>
    </row>
    <row r="19578" spans="1:1" s="427" customFormat="1" ht="12" hidden="1" customHeight="1">
      <c r="A19578" s="426"/>
    </row>
    <row r="19579" spans="1:1" s="427" customFormat="1" ht="12" hidden="1" customHeight="1">
      <c r="A19579" s="426"/>
    </row>
    <row r="19580" spans="1:1" s="427" customFormat="1" ht="12" hidden="1" customHeight="1">
      <c r="A19580" s="426"/>
    </row>
    <row r="19581" spans="1:1" s="427" customFormat="1" ht="12" hidden="1" customHeight="1">
      <c r="A19581" s="426"/>
    </row>
    <row r="19582" spans="1:1" s="427" customFormat="1" ht="12" hidden="1" customHeight="1">
      <c r="A19582" s="426"/>
    </row>
    <row r="19583" spans="1:1" s="427" customFormat="1" ht="12" hidden="1" customHeight="1">
      <c r="A19583" s="426"/>
    </row>
    <row r="19584" spans="1:1" s="427" customFormat="1" ht="12" hidden="1" customHeight="1">
      <c r="A19584" s="426"/>
    </row>
    <row r="19585" spans="1:1" s="427" customFormat="1" ht="12" hidden="1" customHeight="1">
      <c r="A19585" s="426"/>
    </row>
    <row r="19586" spans="1:1" s="427" customFormat="1" ht="12" hidden="1" customHeight="1">
      <c r="A19586" s="426"/>
    </row>
    <row r="19587" spans="1:1" s="427" customFormat="1" ht="12" hidden="1" customHeight="1">
      <c r="A19587" s="426"/>
    </row>
    <row r="19588" spans="1:1" s="427" customFormat="1" ht="12" hidden="1" customHeight="1">
      <c r="A19588" s="426"/>
    </row>
    <row r="19589" spans="1:1" s="427" customFormat="1" ht="12" hidden="1" customHeight="1">
      <c r="A19589" s="426"/>
    </row>
    <row r="19590" spans="1:1" s="427" customFormat="1" ht="12" hidden="1" customHeight="1">
      <c r="A19590" s="426"/>
    </row>
    <row r="19591" spans="1:1" s="427" customFormat="1" ht="12" hidden="1" customHeight="1">
      <c r="A19591" s="426"/>
    </row>
    <row r="19592" spans="1:1" s="427" customFormat="1" ht="12" hidden="1" customHeight="1">
      <c r="A19592" s="426"/>
    </row>
    <row r="19593" spans="1:1" s="427" customFormat="1" ht="12" hidden="1" customHeight="1">
      <c r="A19593" s="426"/>
    </row>
    <row r="19594" spans="1:1" s="427" customFormat="1" ht="12" hidden="1" customHeight="1">
      <c r="A19594" s="426"/>
    </row>
    <row r="19595" spans="1:1" s="427" customFormat="1" ht="12" hidden="1" customHeight="1">
      <c r="A19595" s="426"/>
    </row>
    <row r="19596" spans="1:1" s="427" customFormat="1" ht="12" hidden="1" customHeight="1">
      <c r="A19596" s="426"/>
    </row>
    <row r="19597" spans="1:1" s="427" customFormat="1" ht="12" hidden="1" customHeight="1">
      <c r="A19597" s="426"/>
    </row>
    <row r="19598" spans="1:1" s="427" customFormat="1" ht="12" hidden="1" customHeight="1">
      <c r="A19598" s="426"/>
    </row>
    <row r="19599" spans="1:1" s="427" customFormat="1" ht="12" hidden="1" customHeight="1">
      <c r="A19599" s="426"/>
    </row>
    <row r="19600" spans="1:1" s="427" customFormat="1" ht="12" hidden="1" customHeight="1">
      <c r="A19600" s="426"/>
    </row>
    <row r="19601" spans="1:1" s="427" customFormat="1" ht="12" hidden="1" customHeight="1">
      <c r="A19601" s="426"/>
    </row>
    <row r="19602" spans="1:1" s="427" customFormat="1" ht="12" hidden="1" customHeight="1">
      <c r="A19602" s="426"/>
    </row>
    <row r="19603" spans="1:1" s="427" customFormat="1" ht="12" hidden="1" customHeight="1">
      <c r="A19603" s="426"/>
    </row>
    <row r="19604" spans="1:1" s="427" customFormat="1" ht="12" hidden="1" customHeight="1">
      <c r="A19604" s="426"/>
    </row>
    <row r="19605" spans="1:1" s="427" customFormat="1" ht="12" hidden="1" customHeight="1">
      <c r="A19605" s="426"/>
    </row>
    <row r="19606" spans="1:1" s="427" customFormat="1" ht="12" hidden="1" customHeight="1">
      <c r="A19606" s="426"/>
    </row>
    <row r="19607" spans="1:1" s="427" customFormat="1" ht="12" hidden="1" customHeight="1">
      <c r="A19607" s="426"/>
    </row>
    <row r="19608" spans="1:1" s="427" customFormat="1" ht="12" hidden="1" customHeight="1">
      <c r="A19608" s="426"/>
    </row>
    <row r="19609" spans="1:1" s="427" customFormat="1" ht="12" hidden="1" customHeight="1">
      <c r="A19609" s="426"/>
    </row>
    <row r="19610" spans="1:1" s="427" customFormat="1" ht="12" hidden="1" customHeight="1">
      <c r="A19610" s="426"/>
    </row>
    <row r="19611" spans="1:1" s="427" customFormat="1" ht="12" hidden="1" customHeight="1">
      <c r="A19611" s="426"/>
    </row>
    <row r="19612" spans="1:1" s="427" customFormat="1" ht="12" hidden="1" customHeight="1">
      <c r="A19612" s="426"/>
    </row>
    <row r="19613" spans="1:1" s="427" customFormat="1" ht="12" hidden="1" customHeight="1">
      <c r="A19613" s="426"/>
    </row>
    <row r="19614" spans="1:1" s="427" customFormat="1" ht="12" hidden="1" customHeight="1">
      <c r="A19614" s="426"/>
    </row>
    <row r="19615" spans="1:1" s="427" customFormat="1" ht="12" hidden="1" customHeight="1">
      <c r="A19615" s="426"/>
    </row>
    <row r="19616" spans="1:1" s="427" customFormat="1" ht="12" hidden="1" customHeight="1">
      <c r="A19616" s="426"/>
    </row>
    <row r="19617" spans="1:1" s="427" customFormat="1" ht="12" hidden="1" customHeight="1">
      <c r="A19617" s="426"/>
    </row>
    <row r="19618" spans="1:1" s="427" customFormat="1" ht="12" hidden="1" customHeight="1">
      <c r="A19618" s="426"/>
    </row>
    <row r="19619" spans="1:1" s="427" customFormat="1" ht="12" hidden="1" customHeight="1">
      <c r="A19619" s="426"/>
    </row>
    <row r="19620" spans="1:1" s="427" customFormat="1" ht="12" hidden="1" customHeight="1">
      <c r="A19620" s="426"/>
    </row>
    <row r="19621" spans="1:1" s="427" customFormat="1" ht="12" hidden="1" customHeight="1">
      <c r="A19621" s="426"/>
    </row>
    <row r="19622" spans="1:1" s="427" customFormat="1" ht="12" hidden="1" customHeight="1">
      <c r="A19622" s="426"/>
    </row>
    <row r="19623" spans="1:1" s="427" customFormat="1" ht="12" hidden="1" customHeight="1">
      <c r="A19623" s="426"/>
    </row>
    <row r="19624" spans="1:1" s="427" customFormat="1" ht="12" hidden="1" customHeight="1">
      <c r="A19624" s="426"/>
    </row>
    <row r="19625" spans="1:1" s="427" customFormat="1" ht="12" hidden="1" customHeight="1">
      <c r="A19625" s="426"/>
    </row>
    <row r="19626" spans="1:1" s="427" customFormat="1" ht="12" hidden="1" customHeight="1">
      <c r="A19626" s="426"/>
    </row>
    <row r="19627" spans="1:1" s="427" customFormat="1" ht="12" hidden="1" customHeight="1">
      <c r="A19627" s="426"/>
    </row>
    <row r="19628" spans="1:1" s="427" customFormat="1" ht="12" hidden="1" customHeight="1">
      <c r="A19628" s="426"/>
    </row>
    <row r="19629" spans="1:1" s="427" customFormat="1" ht="12" hidden="1" customHeight="1">
      <c r="A19629" s="426"/>
    </row>
    <row r="19630" spans="1:1" s="427" customFormat="1" ht="12" hidden="1" customHeight="1">
      <c r="A19630" s="426"/>
    </row>
    <row r="19631" spans="1:1" s="427" customFormat="1" ht="12" hidden="1" customHeight="1">
      <c r="A19631" s="426"/>
    </row>
    <row r="19632" spans="1:1" s="427" customFormat="1" ht="12" hidden="1" customHeight="1">
      <c r="A19632" s="426"/>
    </row>
    <row r="19633" spans="1:1" s="427" customFormat="1" ht="12" hidden="1" customHeight="1">
      <c r="A19633" s="426"/>
    </row>
    <row r="19634" spans="1:1" s="427" customFormat="1" ht="12" hidden="1" customHeight="1">
      <c r="A19634" s="426"/>
    </row>
    <row r="19635" spans="1:1" s="427" customFormat="1" ht="12" hidden="1" customHeight="1">
      <c r="A19635" s="426"/>
    </row>
    <row r="19636" spans="1:1" s="427" customFormat="1" ht="12" hidden="1" customHeight="1">
      <c r="A19636" s="426"/>
    </row>
    <row r="19637" spans="1:1" s="427" customFormat="1" ht="12" hidden="1" customHeight="1">
      <c r="A19637" s="426"/>
    </row>
    <row r="19638" spans="1:1" s="427" customFormat="1" ht="12" hidden="1" customHeight="1">
      <c r="A19638" s="426"/>
    </row>
    <row r="19639" spans="1:1" s="427" customFormat="1" ht="12" hidden="1" customHeight="1">
      <c r="A19639" s="426"/>
    </row>
    <row r="19640" spans="1:1" s="427" customFormat="1" ht="12" hidden="1" customHeight="1">
      <c r="A19640" s="426"/>
    </row>
    <row r="19641" spans="1:1" s="427" customFormat="1" ht="12" hidden="1" customHeight="1">
      <c r="A19641" s="426"/>
    </row>
    <row r="19642" spans="1:1" s="427" customFormat="1" ht="12" hidden="1" customHeight="1">
      <c r="A19642" s="426"/>
    </row>
    <row r="19643" spans="1:1" s="427" customFormat="1" ht="12" hidden="1" customHeight="1">
      <c r="A19643" s="426"/>
    </row>
    <row r="19644" spans="1:1" s="427" customFormat="1" ht="12" hidden="1" customHeight="1">
      <c r="A19644" s="426"/>
    </row>
    <row r="19645" spans="1:1" s="427" customFormat="1" ht="12" hidden="1" customHeight="1">
      <c r="A19645" s="426"/>
    </row>
    <row r="19646" spans="1:1" s="427" customFormat="1" ht="12" hidden="1" customHeight="1">
      <c r="A19646" s="426"/>
    </row>
    <row r="19647" spans="1:1" s="427" customFormat="1" ht="12" hidden="1" customHeight="1">
      <c r="A19647" s="426"/>
    </row>
    <row r="19648" spans="1:1" s="427" customFormat="1" ht="12" hidden="1" customHeight="1">
      <c r="A19648" s="426"/>
    </row>
    <row r="19649" spans="1:1" s="427" customFormat="1" ht="12" hidden="1" customHeight="1">
      <c r="A19649" s="426"/>
    </row>
    <row r="19650" spans="1:1" s="427" customFormat="1" ht="12" hidden="1" customHeight="1">
      <c r="A19650" s="426"/>
    </row>
    <row r="19651" spans="1:1" s="427" customFormat="1" ht="12" hidden="1" customHeight="1">
      <c r="A19651" s="426"/>
    </row>
    <row r="19652" spans="1:1" s="427" customFormat="1" ht="12" hidden="1" customHeight="1">
      <c r="A19652" s="426"/>
    </row>
    <row r="19653" spans="1:1" s="427" customFormat="1" ht="12" hidden="1" customHeight="1">
      <c r="A19653" s="426"/>
    </row>
    <row r="19654" spans="1:1" s="427" customFormat="1" ht="12" hidden="1" customHeight="1">
      <c r="A19654" s="426"/>
    </row>
    <row r="19655" spans="1:1" s="427" customFormat="1" ht="12" hidden="1" customHeight="1">
      <c r="A19655" s="426"/>
    </row>
    <row r="19656" spans="1:1" s="427" customFormat="1" ht="12" hidden="1" customHeight="1">
      <c r="A19656" s="426"/>
    </row>
    <row r="19657" spans="1:1" s="427" customFormat="1" ht="12" hidden="1" customHeight="1">
      <c r="A19657" s="426"/>
    </row>
    <row r="19658" spans="1:1" s="427" customFormat="1" ht="12" hidden="1" customHeight="1">
      <c r="A19658" s="426"/>
    </row>
    <row r="19659" spans="1:1" s="427" customFormat="1" ht="12" hidden="1" customHeight="1">
      <c r="A19659" s="426"/>
    </row>
    <row r="19660" spans="1:1" s="427" customFormat="1" ht="12" hidden="1" customHeight="1">
      <c r="A19660" s="426"/>
    </row>
    <row r="19661" spans="1:1" s="427" customFormat="1" ht="12" hidden="1" customHeight="1">
      <c r="A19661" s="426"/>
    </row>
    <row r="19662" spans="1:1" s="427" customFormat="1" ht="12" hidden="1" customHeight="1">
      <c r="A19662" s="426"/>
    </row>
    <row r="19663" spans="1:1" s="427" customFormat="1" ht="12" hidden="1" customHeight="1">
      <c r="A19663" s="426"/>
    </row>
    <row r="19664" spans="1:1" s="427" customFormat="1" ht="12" hidden="1" customHeight="1">
      <c r="A19664" s="426"/>
    </row>
    <row r="19665" spans="1:1" s="427" customFormat="1" ht="12" hidden="1" customHeight="1">
      <c r="A19665" s="426"/>
    </row>
    <row r="19666" spans="1:1" s="427" customFormat="1" ht="12" hidden="1" customHeight="1">
      <c r="A19666" s="426"/>
    </row>
    <row r="19667" spans="1:1" s="427" customFormat="1" ht="12" hidden="1" customHeight="1">
      <c r="A19667" s="426"/>
    </row>
    <row r="19668" spans="1:1" s="427" customFormat="1" ht="12" hidden="1" customHeight="1">
      <c r="A19668" s="426"/>
    </row>
    <row r="19669" spans="1:1" s="427" customFormat="1" ht="12" hidden="1" customHeight="1">
      <c r="A19669" s="426"/>
    </row>
    <row r="19670" spans="1:1" s="427" customFormat="1" ht="12" hidden="1" customHeight="1">
      <c r="A19670" s="426"/>
    </row>
    <row r="19671" spans="1:1" s="427" customFormat="1" ht="12" hidden="1" customHeight="1">
      <c r="A19671" s="426"/>
    </row>
    <row r="19672" spans="1:1" s="427" customFormat="1" ht="12" hidden="1" customHeight="1">
      <c r="A19672" s="426"/>
    </row>
    <row r="19673" spans="1:1" s="427" customFormat="1" ht="12" hidden="1" customHeight="1">
      <c r="A19673" s="426"/>
    </row>
    <row r="19674" spans="1:1" s="427" customFormat="1" ht="12" hidden="1" customHeight="1">
      <c r="A19674" s="426"/>
    </row>
    <row r="19675" spans="1:1" s="427" customFormat="1" ht="12" hidden="1" customHeight="1">
      <c r="A19675" s="426"/>
    </row>
    <row r="19676" spans="1:1" s="427" customFormat="1" ht="12" hidden="1" customHeight="1">
      <c r="A19676" s="426"/>
    </row>
    <row r="19677" spans="1:1" s="427" customFormat="1" ht="12" hidden="1" customHeight="1">
      <c r="A19677" s="426"/>
    </row>
    <row r="19678" spans="1:1" s="427" customFormat="1" ht="12" hidden="1" customHeight="1">
      <c r="A19678" s="426"/>
    </row>
    <row r="19679" spans="1:1" s="427" customFormat="1" ht="12" hidden="1" customHeight="1">
      <c r="A19679" s="426"/>
    </row>
    <row r="19680" spans="1:1" s="427" customFormat="1" ht="12" hidden="1" customHeight="1">
      <c r="A19680" s="426"/>
    </row>
    <row r="19681" spans="1:1" s="427" customFormat="1" ht="12" hidden="1" customHeight="1">
      <c r="A19681" s="426"/>
    </row>
    <row r="19682" spans="1:1" s="427" customFormat="1" ht="12" hidden="1" customHeight="1">
      <c r="A19682" s="426"/>
    </row>
    <row r="19683" spans="1:1" s="427" customFormat="1" ht="12" hidden="1" customHeight="1">
      <c r="A19683" s="426"/>
    </row>
    <row r="19684" spans="1:1" s="427" customFormat="1" ht="12" hidden="1" customHeight="1">
      <c r="A19684" s="426"/>
    </row>
    <row r="19685" spans="1:1" s="427" customFormat="1" ht="12" hidden="1" customHeight="1">
      <c r="A19685" s="426"/>
    </row>
    <row r="19686" spans="1:1" s="427" customFormat="1" ht="12" hidden="1" customHeight="1">
      <c r="A19686" s="426"/>
    </row>
    <row r="19687" spans="1:1" s="427" customFormat="1" ht="12" hidden="1" customHeight="1">
      <c r="A19687" s="426"/>
    </row>
    <row r="19688" spans="1:1" s="427" customFormat="1" ht="12" hidden="1" customHeight="1">
      <c r="A19688" s="426"/>
    </row>
    <row r="19689" spans="1:1" s="427" customFormat="1" ht="12" hidden="1" customHeight="1">
      <c r="A19689" s="426"/>
    </row>
    <row r="19690" spans="1:1" s="427" customFormat="1" ht="12" hidden="1" customHeight="1">
      <c r="A19690" s="426"/>
    </row>
    <row r="19691" spans="1:1" s="427" customFormat="1" ht="12" hidden="1" customHeight="1">
      <c r="A19691" s="426"/>
    </row>
    <row r="19692" spans="1:1" s="427" customFormat="1" ht="12" hidden="1" customHeight="1">
      <c r="A19692" s="426"/>
    </row>
    <row r="19693" spans="1:1" s="427" customFormat="1" ht="12" hidden="1" customHeight="1">
      <c r="A19693" s="426"/>
    </row>
    <row r="19694" spans="1:1" s="427" customFormat="1" ht="12" hidden="1" customHeight="1">
      <c r="A19694" s="426"/>
    </row>
    <row r="19695" spans="1:1" s="427" customFormat="1" ht="12" hidden="1" customHeight="1">
      <c r="A19695" s="426"/>
    </row>
    <row r="19696" spans="1:1" s="427" customFormat="1" ht="12" hidden="1" customHeight="1">
      <c r="A19696" s="426"/>
    </row>
    <row r="19697" spans="1:1" s="427" customFormat="1" ht="12" hidden="1" customHeight="1">
      <c r="A19697" s="426"/>
    </row>
    <row r="19698" spans="1:1" s="427" customFormat="1" ht="12" hidden="1" customHeight="1">
      <c r="A19698" s="426"/>
    </row>
    <row r="19699" spans="1:1" s="427" customFormat="1" ht="12" hidden="1" customHeight="1">
      <c r="A19699" s="426"/>
    </row>
    <row r="19700" spans="1:1" s="427" customFormat="1" ht="12" hidden="1" customHeight="1">
      <c r="A19700" s="426"/>
    </row>
    <row r="19701" spans="1:1" s="427" customFormat="1" ht="12" hidden="1" customHeight="1">
      <c r="A19701" s="426"/>
    </row>
    <row r="19702" spans="1:1" s="427" customFormat="1" ht="12" hidden="1" customHeight="1">
      <c r="A19702" s="426"/>
    </row>
    <row r="19703" spans="1:1" s="427" customFormat="1" ht="12" hidden="1" customHeight="1">
      <c r="A19703" s="426"/>
    </row>
    <row r="19704" spans="1:1" s="427" customFormat="1" ht="12" hidden="1" customHeight="1">
      <c r="A19704" s="426"/>
    </row>
    <row r="19705" spans="1:1" s="427" customFormat="1" ht="12" hidden="1" customHeight="1">
      <c r="A19705" s="426"/>
    </row>
    <row r="19706" spans="1:1" s="427" customFormat="1" ht="12" hidden="1" customHeight="1">
      <c r="A19706" s="426"/>
    </row>
    <row r="19707" spans="1:1" s="427" customFormat="1" ht="12" hidden="1" customHeight="1">
      <c r="A19707" s="426"/>
    </row>
    <row r="19708" spans="1:1" s="427" customFormat="1" ht="12" hidden="1" customHeight="1">
      <c r="A19708" s="426"/>
    </row>
    <row r="19709" spans="1:1" s="427" customFormat="1" ht="12" hidden="1" customHeight="1">
      <c r="A19709" s="426"/>
    </row>
    <row r="19710" spans="1:1" s="427" customFormat="1" ht="12" hidden="1" customHeight="1">
      <c r="A19710" s="426"/>
    </row>
    <row r="19711" spans="1:1" s="427" customFormat="1" ht="12" hidden="1" customHeight="1">
      <c r="A19711" s="426"/>
    </row>
    <row r="19712" spans="1:1" s="427" customFormat="1" ht="12" hidden="1" customHeight="1">
      <c r="A19712" s="426"/>
    </row>
    <row r="19713" spans="1:1" s="427" customFormat="1" ht="12" hidden="1" customHeight="1">
      <c r="A19713" s="426"/>
    </row>
    <row r="19714" spans="1:1" s="427" customFormat="1" ht="12" hidden="1" customHeight="1">
      <c r="A19714" s="426"/>
    </row>
    <row r="19715" spans="1:1" s="427" customFormat="1" ht="12" hidden="1" customHeight="1">
      <c r="A19715" s="426"/>
    </row>
    <row r="19716" spans="1:1" s="427" customFormat="1" ht="12" hidden="1" customHeight="1">
      <c r="A19716" s="426"/>
    </row>
    <row r="19717" spans="1:1" s="427" customFormat="1" ht="12" hidden="1" customHeight="1">
      <c r="A19717" s="426"/>
    </row>
    <row r="19718" spans="1:1" s="427" customFormat="1" ht="12" hidden="1" customHeight="1">
      <c r="A19718" s="426"/>
    </row>
    <row r="19719" spans="1:1" s="427" customFormat="1" ht="12" hidden="1" customHeight="1">
      <c r="A19719" s="426"/>
    </row>
    <row r="19720" spans="1:1" s="427" customFormat="1" ht="12" hidden="1" customHeight="1">
      <c r="A19720" s="426"/>
    </row>
    <row r="19721" spans="1:1" s="427" customFormat="1" ht="12" hidden="1" customHeight="1">
      <c r="A19721" s="426"/>
    </row>
    <row r="19722" spans="1:1" s="427" customFormat="1" ht="12" hidden="1" customHeight="1">
      <c r="A19722" s="426"/>
    </row>
    <row r="19723" spans="1:1" s="427" customFormat="1" ht="12" hidden="1" customHeight="1">
      <c r="A19723" s="426"/>
    </row>
    <row r="19724" spans="1:1" s="427" customFormat="1" ht="12" hidden="1" customHeight="1">
      <c r="A19724" s="426"/>
    </row>
    <row r="19725" spans="1:1" s="427" customFormat="1" ht="12" hidden="1" customHeight="1">
      <c r="A19725" s="426"/>
    </row>
    <row r="19726" spans="1:1" s="427" customFormat="1" ht="12" hidden="1" customHeight="1">
      <c r="A19726" s="426"/>
    </row>
    <row r="19727" spans="1:1" s="427" customFormat="1" ht="12" hidden="1" customHeight="1">
      <c r="A19727" s="426"/>
    </row>
    <row r="19728" spans="1:1" s="427" customFormat="1" ht="12" hidden="1" customHeight="1">
      <c r="A19728" s="426"/>
    </row>
    <row r="19729" spans="1:1" s="427" customFormat="1" ht="12" hidden="1" customHeight="1">
      <c r="A19729" s="426"/>
    </row>
    <row r="19730" spans="1:1" s="427" customFormat="1" ht="12" hidden="1" customHeight="1">
      <c r="A19730" s="426"/>
    </row>
    <row r="19731" spans="1:1" s="427" customFormat="1" ht="12" hidden="1" customHeight="1">
      <c r="A19731" s="426"/>
    </row>
    <row r="19732" spans="1:1" s="427" customFormat="1" ht="12" hidden="1" customHeight="1">
      <c r="A19732" s="426"/>
    </row>
    <row r="19733" spans="1:1" s="427" customFormat="1" ht="12" hidden="1" customHeight="1">
      <c r="A19733" s="426"/>
    </row>
    <row r="19734" spans="1:1" s="427" customFormat="1" ht="12" hidden="1" customHeight="1">
      <c r="A19734" s="426"/>
    </row>
    <row r="19735" spans="1:1" s="427" customFormat="1" ht="12" hidden="1" customHeight="1">
      <c r="A19735" s="426"/>
    </row>
    <row r="19736" spans="1:1" s="427" customFormat="1" ht="12" hidden="1" customHeight="1">
      <c r="A19736" s="426"/>
    </row>
    <row r="19737" spans="1:1" s="427" customFormat="1" ht="12" hidden="1" customHeight="1">
      <c r="A19737" s="426"/>
    </row>
    <row r="19738" spans="1:1" s="427" customFormat="1" ht="12" hidden="1" customHeight="1">
      <c r="A19738" s="426"/>
    </row>
    <row r="19739" spans="1:1" s="427" customFormat="1" ht="12" hidden="1" customHeight="1">
      <c r="A19739" s="426"/>
    </row>
    <row r="19740" spans="1:1" s="427" customFormat="1" ht="12" hidden="1" customHeight="1">
      <c r="A19740" s="426"/>
    </row>
    <row r="19741" spans="1:1" s="427" customFormat="1" ht="12" hidden="1" customHeight="1">
      <c r="A19741" s="426"/>
    </row>
    <row r="19742" spans="1:1" s="427" customFormat="1" ht="12" hidden="1" customHeight="1">
      <c r="A19742" s="426"/>
    </row>
    <row r="19743" spans="1:1" s="427" customFormat="1" ht="12" hidden="1" customHeight="1">
      <c r="A19743" s="426"/>
    </row>
    <row r="19744" spans="1:1" s="427" customFormat="1" ht="12" hidden="1" customHeight="1">
      <c r="A19744" s="426"/>
    </row>
    <row r="19745" spans="1:1" s="427" customFormat="1" ht="12" hidden="1" customHeight="1">
      <c r="A19745" s="426"/>
    </row>
    <row r="19746" spans="1:1" s="427" customFormat="1" ht="12" hidden="1" customHeight="1">
      <c r="A19746" s="426"/>
    </row>
    <row r="19747" spans="1:1" s="427" customFormat="1" ht="12" hidden="1" customHeight="1">
      <c r="A19747" s="426"/>
    </row>
    <row r="19748" spans="1:1" s="427" customFormat="1" ht="12" hidden="1" customHeight="1">
      <c r="A19748" s="426"/>
    </row>
    <row r="19749" spans="1:1" s="427" customFormat="1" ht="12" hidden="1" customHeight="1">
      <c r="A19749" s="426"/>
    </row>
    <row r="19750" spans="1:1" s="427" customFormat="1" ht="12" hidden="1" customHeight="1">
      <c r="A19750" s="426"/>
    </row>
    <row r="19751" spans="1:1" s="427" customFormat="1" ht="12" hidden="1" customHeight="1">
      <c r="A19751" s="426"/>
    </row>
    <row r="19752" spans="1:1" s="427" customFormat="1" ht="12" hidden="1" customHeight="1">
      <c r="A19752" s="426"/>
    </row>
    <row r="19753" spans="1:1" s="427" customFormat="1" ht="12" hidden="1" customHeight="1">
      <c r="A19753" s="426"/>
    </row>
    <row r="19754" spans="1:1" s="427" customFormat="1" ht="12" hidden="1" customHeight="1">
      <c r="A19754" s="426"/>
    </row>
    <row r="19755" spans="1:1" s="427" customFormat="1" ht="12" hidden="1" customHeight="1">
      <c r="A19755" s="426"/>
    </row>
    <row r="19756" spans="1:1" s="427" customFormat="1" ht="12" hidden="1" customHeight="1">
      <c r="A19756" s="426"/>
    </row>
    <row r="19757" spans="1:1" s="427" customFormat="1" ht="12" hidden="1" customHeight="1">
      <c r="A19757" s="426"/>
    </row>
    <row r="19758" spans="1:1" s="427" customFormat="1" ht="12" hidden="1" customHeight="1">
      <c r="A19758" s="426"/>
    </row>
    <row r="19759" spans="1:1" s="427" customFormat="1" ht="12" hidden="1" customHeight="1">
      <c r="A19759" s="426"/>
    </row>
    <row r="19760" spans="1:1" s="427" customFormat="1" ht="12" hidden="1" customHeight="1">
      <c r="A19760" s="426"/>
    </row>
    <row r="19761" spans="1:1" s="427" customFormat="1" ht="12" hidden="1" customHeight="1">
      <c r="A19761" s="426"/>
    </row>
    <row r="19762" spans="1:1" s="427" customFormat="1" ht="12" hidden="1" customHeight="1">
      <c r="A19762" s="426"/>
    </row>
    <row r="19763" spans="1:1" s="427" customFormat="1" ht="12" hidden="1" customHeight="1">
      <c r="A19763" s="426"/>
    </row>
    <row r="19764" spans="1:1" s="427" customFormat="1" ht="12" hidden="1" customHeight="1">
      <c r="A19764" s="426"/>
    </row>
    <row r="19765" spans="1:1" s="427" customFormat="1" ht="12" hidden="1" customHeight="1">
      <c r="A19765" s="426"/>
    </row>
    <row r="19766" spans="1:1" s="427" customFormat="1" ht="12" hidden="1" customHeight="1">
      <c r="A19766" s="426"/>
    </row>
    <row r="19767" spans="1:1" s="427" customFormat="1" ht="12" hidden="1" customHeight="1">
      <c r="A19767" s="426"/>
    </row>
    <row r="19768" spans="1:1" s="427" customFormat="1" ht="12" hidden="1" customHeight="1">
      <c r="A19768" s="426"/>
    </row>
    <row r="19769" spans="1:1" s="427" customFormat="1" ht="12" hidden="1" customHeight="1">
      <c r="A19769" s="426"/>
    </row>
    <row r="19770" spans="1:1" s="427" customFormat="1" ht="12" hidden="1" customHeight="1">
      <c r="A19770" s="426"/>
    </row>
    <row r="19771" spans="1:1" s="427" customFormat="1" ht="12" hidden="1" customHeight="1">
      <c r="A19771" s="426"/>
    </row>
    <row r="19772" spans="1:1" s="427" customFormat="1" ht="12" hidden="1" customHeight="1">
      <c r="A19772" s="426"/>
    </row>
    <row r="19773" spans="1:1" s="427" customFormat="1" ht="12" hidden="1" customHeight="1">
      <c r="A19773" s="426"/>
    </row>
    <row r="19774" spans="1:1" s="427" customFormat="1" ht="12" hidden="1" customHeight="1">
      <c r="A19774" s="426"/>
    </row>
    <row r="19775" spans="1:1" s="427" customFormat="1" ht="12" hidden="1" customHeight="1">
      <c r="A19775" s="426"/>
    </row>
    <row r="19776" spans="1:1" s="427" customFormat="1" ht="12" hidden="1" customHeight="1">
      <c r="A19776" s="426"/>
    </row>
    <row r="19777" spans="1:1" s="427" customFormat="1" ht="12" hidden="1" customHeight="1">
      <c r="A19777" s="426"/>
    </row>
    <row r="19778" spans="1:1" s="427" customFormat="1" ht="12" hidden="1" customHeight="1">
      <c r="A19778" s="426"/>
    </row>
    <row r="19779" spans="1:1" s="427" customFormat="1" ht="12" hidden="1" customHeight="1">
      <c r="A19779" s="426"/>
    </row>
    <row r="19780" spans="1:1" s="427" customFormat="1" ht="12" hidden="1" customHeight="1">
      <c r="A19780" s="426"/>
    </row>
    <row r="19781" spans="1:1" s="427" customFormat="1" ht="12" hidden="1" customHeight="1">
      <c r="A19781" s="426"/>
    </row>
    <row r="19782" spans="1:1" s="427" customFormat="1" ht="12" hidden="1" customHeight="1">
      <c r="A19782" s="426"/>
    </row>
    <row r="19783" spans="1:1" s="427" customFormat="1" ht="12" hidden="1" customHeight="1">
      <c r="A19783" s="426"/>
    </row>
    <row r="19784" spans="1:1" s="427" customFormat="1" ht="12" hidden="1" customHeight="1">
      <c r="A19784" s="426"/>
    </row>
    <row r="19785" spans="1:1" s="427" customFormat="1" ht="12" hidden="1" customHeight="1">
      <c r="A19785" s="426"/>
    </row>
    <row r="19786" spans="1:1" s="427" customFormat="1" ht="12" hidden="1" customHeight="1">
      <c r="A19786" s="426"/>
    </row>
    <row r="19787" spans="1:1" s="427" customFormat="1" ht="12" hidden="1" customHeight="1">
      <c r="A19787" s="426"/>
    </row>
    <row r="19788" spans="1:1" s="427" customFormat="1" ht="12" hidden="1" customHeight="1">
      <c r="A19788" s="426"/>
    </row>
    <row r="19789" spans="1:1" s="427" customFormat="1" ht="12" hidden="1" customHeight="1">
      <c r="A19789" s="426"/>
    </row>
    <row r="19790" spans="1:1" s="427" customFormat="1" ht="12" hidden="1" customHeight="1">
      <c r="A19790" s="426"/>
    </row>
    <row r="19791" spans="1:1" s="427" customFormat="1" ht="12" hidden="1" customHeight="1">
      <c r="A19791" s="426"/>
    </row>
    <row r="19792" spans="1:1" s="427" customFormat="1" ht="12" hidden="1" customHeight="1">
      <c r="A19792" s="426"/>
    </row>
    <row r="19793" spans="1:1" s="427" customFormat="1" ht="12" hidden="1" customHeight="1">
      <c r="A19793" s="426"/>
    </row>
    <row r="19794" spans="1:1" s="427" customFormat="1" ht="12" hidden="1" customHeight="1">
      <c r="A19794" s="426"/>
    </row>
    <row r="19795" spans="1:1" s="427" customFormat="1" ht="12" hidden="1" customHeight="1">
      <c r="A19795" s="426"/>
    </row>
    <row r="19796" spans="1:1" s="427" customFormat="1" ht="12" hidden="1" customHeight="1">
      <c r="A19796" s="426"/>
    </row>
    <row r="19797" spans="1:1" s="427" customFormat="1" ht="12" hidden="1" customHeight="1">
      <c r="A19797" s="426"/>
    </row>
    <row r="19798" spans="1:1" s="427" customFormat="1" ht="12" hidden="1" customHeight="1">
      <c r="A19798" s="426"/>
    </row>
    <row r="19799" spans="1:1" s="427" customFormat="1" ht="12" hidden="1" customHeight="1">
      <c r="A19799" s="426"/>
    </row>
    <row r="19800" spans="1:1" s="427" customFormat="1" ht="12" hidden="1" customHeight="1">
      <c r="A19800" s="426"/>
    </row>
    <row r="19801" spans="1:1" s="427" customFormat="1" ht="12" hidden="1" customHeight="1">
      <c r="A19801" s="426"/>
    </row>
    <row r="19802" spans="1:1" s="427" customFormat="1" ht="12" hidden="1" customHeight="1">
      <c r="A19802" s="426"/>
    </row>
    <row r="19803" spans="1:1" s="427" customFormat="1" ht="12" hidden="1" customHeight="1">
      <c r="A19803" s="426"/>
    </row>
    <row r="19804" spans="1:1" s="427" customFormat="1" ht="12" hidden="1" customHeight="1">
      <c r="A19804" s="426"/>
    </row>
    <row r="19805" spans="1:1" s="427" customFormat="1" ht="12" hidden="1" customHeight="1">
      <c r="A19805" s="426"/>
    </row>
    <row r="19806" spans="1:1" s="427" customFormat="1" ht="12" hidden="1" customHeight="1">
      <c r="A19806" s="426"/>
    </row>
    <row r="19807" spans="1:1" s="427" customFormat="1" ht="12" hidden="1" customHeight="1">
      <c r="A19807" s="426"/>
    </row>
    <row r="19808" spans="1:1" s="427" customFormat="1" ht="12" hidden="1" customHeight="1">
      <c r="A19808" s="426"/>
    </row>
    <row r="19809" spans="1:1" s="427" customFormat="1" ht="12" hidden="1" customHeight="1">
      <c r="A19809" s="426"/>
    </row>
    <row r="19810" spans="1:1" s="427" customFormat="1" ht="12" hidden="1" customHeight="1">
      <c r="A19810" s="426"/>
    </row>
    <row r="19811" spans="1:1" s="427" customFormat="1" ht="12" hidden="1" customHeight="1">
      <c r="A19811" s="426"/>
    </row>
    <row r="19812" spans="1:1" s="427" customFormat="1" ht="12" hidden="1" customHeight="1">
      <c r="A19812" s="426"/>
    </row>
    <row r="19813" spans="1:1" s="427" customFormat="1" ht="12" hidden="1" customHeight="1">
      <c r="A19813" s="426"/>
    </row>
    <row r="19814" spans="1:1" s="427" customFormat="1" ht="12" hidden="1" customHeight="1">
      <c r="A19814" s="426"/>
    </row>
    <row r="19815" spans="1:1" s="427" customFormat="1" ht="12" hidden="1" customHeight="1">
      <c r="A19815" s="426"/>
    </row>
    <row r="19816" spans="1:1" s="427" customFormat="1" ht="12" hidden="1" customHeight="1">
      <c r="A19816" s="426"/>
    </row>
    <row r="19817" spans="1:1" s="427" customFormat="1" ht="12" hidden="1" customHeight="1">
      <c r="A19817" s="426"/>
    </row>
    <row r="19818" spans="1:1" s="427" customFormat="1" ht="12" hidden="1" customHeight="1">
      <c r="A19818" s="426"/>
    </row>
    <row r="19819" spans="1:1" s="427" customFormat="1" ht="12" hidden="1" customHeight="1">
      <c r="A19819" s="426"/>
    </row>
    <row r="19820" spans="1:1" s="427" customFormat="1" ht="12" hidden="1" customHeight="1">
      <c r="A19820" s="426"/>
    </row>
    <row r="19821" spans="1:1" s="427" customFormat="1" ht="12" hidden="1" customHeight="1">
      <c r="A19821" s="426"/>
    </row>
    <row r="19822" spans="1:1" s="427" customFormat="1" ht="12" hidden="1" customHeight="1">
      <c r="A19822" s="426"/>
    </row>
    <row r="19823" spans="1:1" s="427" customFormat="1" ht="12" hidden="1" customHeight="1">
      <c r="A19823" s="426"/>
    </row>
    <row r="19824" spans="1:1" s="427" customFormat="1" ht="12" hidden="1" customHeight="1">
      <c r="A19824" s="426"/>
    </row>
    <row r="19825" spans="1:1" s="427" customFormat="1" ht="12" hidden="1" customHeight="1">
      <c r="A19825" s="426"/>
    </row>
    <row r="19826" spans="1:1" s="427" customFormat="1" ht="12" hidden="1" customHeight="1">
      <c r="A19826" s="426"/>
    </row>
    <row r="19827" spans="1:1" s="427" customFormat="1" ht="12" hidden="1" customHeight="1">
      <c r="A19827" s="426"/>
    </row>
    <row r="19828" spans="1:1" s="427" customFormat="1" ht="12" hidden="1" customHeight="1">
      <c r="A19828" s="426"/>
    </row>
    <row r="19829" spans="1:1" s="427" customFormat="1" ht="12" hidden="1" customHeight="1">
      <c r="A19829" s="426"/>
    </row>
    <row r="19830" spans="1:1" s="427" customFormat="1" ht="12" hidden="1" customHeight="1">
      <c r="A19830" s="426"/>
    </row>
    <row r="19831" spans="1:1" s="427" customFormat="1" ht="12" hidden="1" customHeight="1">
      <c r="A19831" s="426"/>
    </row>
    <row r="19832" spans="1:1" s="427" customFormat="1" ht="12" hidden="1" customHeight="1">
      <c r="A19832" s="426"/>
    </row>
    <row r="19833" spans="1:1" s="427" customFormat="1" ht="12" hidden="1" customHeight="1">
      <c r="A19833" s="426"/>
    </row>
    <row r="19834" spans="1:1" s="427" customFormat="1" ht="12" hidden="1" customHeight="1">
      <c r="A19834" s="426"/>
    </row>
    <row r="19835" spans="1:1" s="427" customFormat="1" ht="12" hidden="1" customHeight="1">
      <c r="A19835" s="426"/>
    </row>
    <row r="19836" spans="1:1" s="427" customFormat="1" ht="12" hidden="1" customHeight="1">
      <c r="A19836" s="426"/>
    </row>
    <row r="19837" spans="1:1" s="427" customFormat="1" ht="12" hidden="1" customHeight="1">
      <c r="A19837" s="426"/>
    </row>
    <row r="19838" spans="1:1" s="427" customFormat="1" ht="12" hidden="1" customHeight="1">
      <c r="A19838" s="426"/>
    </row>
    <row r="19839" spans="1:1" s="427" customFormat="1" ht="12" hidden="1" customHeight="1">
      <c r="A19839" s="426"/>
    </row>
    <row r="19840" spans="1:1" s="427" customFormat="1" ht="12" hidden="1" customHeight="1">
      <c r="A19840" s="426"/>
    </row>
    <row r="19841" spans="1:1" s="427" customFormat="1" ht="12" hidden="1" customHeight="1">
      <c r="A19841" s="426"/>
    </row>
    <row r="19842" spans="1:1" s="427" customFormat="1" ht="12" hidden="1" customHeight="1">
      <c r="A19842" s="426"/>
    </row>
    <row r="19843" spans="1:1" s="427" customFormat="1" ht="12" hidden="1" customHeight="1">
      <c r="A19843" s="426"/>
    </row>
    <row r="19844" spans="1:1" s="427" customFormat="1" ht="12" hidden="1" customHeight="1">
      <c r="A19844" s="426"/>
    </row>
    <row r="19845" spans="1:1" s="427" customFormat="1" ht="12" hidden="1" customHeight="1">
      <c r="A19845" s="426"/>
    </row>
    <row r="19846" spans="1:1" s="427" customFormat="1" ht="12" hidden="1" customHeight="1">
      <c r="A19846" s="426"/>
    </row>
    <row r="19847" spans="1:1" s="427" customFormat="1" ht="12" hidden="1" customHeight="1">
      <c r="A19847" s="426"/>
    </row>
    <row r="19848" spans="1:1" s="427" customFormat="1" ht="12" hidden="1" customHeight="1">
      <c r="A19848" s="426"/>
    </row>
    <row r="19849" spans="1:1" s="427" customFormat="1" ht="12" hidden="1" customHeight="1">
      <c r="A19849" s="426"/>
    </row>
    <row r="19850" spans="1:1" s="427" customFormat="1" ht="12" hidden="1" customHeight="1">
      <c r="A19850" s="426"/>
    </row>
    <row r="19851" spans="1:1" s="427" customFormat="1" ht="12" hidden="1" customHeight="1">
      <c r="A19851" s="426"/>
    </row>
    <row r="19852" spans="1:1" s="427" customFormat="1" ht="12" hidden="1" customHeight="1">
      <c r="A19852" s="426"/>
    </row>
    <row r="19853" spans="1:1" s="427" customFormat="1" ht="12" hidden="1" customHeight="1">
      <c r="A19853" s="426"/>
    </row>
    <row r="19854" spans="1:1" s="427" customFormat="1" ht="12" hidden="1" customHeight="1">
      <c r="A19854" s="426"/>
    </row>
    <row r="19855" spans="1:1" s="427" customFormat="1" ht="12" hidden="1" customHeight="1">
      <c r="A19855" s="426"/>
    </row>
    <row r="19856" spans="1:1" s="427" customFormat="1" ht="12" hidden="1" customHeight="1">
      <c r="A19856" s="426"/>
    </row>
    <row r="19857" spans="1:1" s="427" customFormat="1" ht="12" hidden="1" customHeight="1">
      <c r="A19857" s="426"/>
    </row>
    <row r="19858" spans="1:1" s="427" customFormat="1" ht="12" hidden="1" customHeight="1">
      <c r="A19858" s="426"/>
    </row>
    <row r="19859" spans="1:1" s="427" customFormat="1" ht="12" hidden="1" customHeight="1">
      <c r="A19859" s="426"/>
    </row>
    <row r="19860" spans="1:1" s="427" customFormat="1" ht="12" hidden="1" customHeight="1">
      <c r="A19860" s="426"/>
    </row>
    <row r="19861" spans="1:1" s="427" customFormat="1" ht="12" hidden="1" customHeight="1">
      <c r="A19861" s="426"/>
    </row>
    <row r="19862" spans="1:1" s="427" customFormat="1" ht="12" hidden="1" customHeight="1">
      <c r="A19862" s="426"/>
    </row>
    <row r="19863" spans="1:1" s="427" customFormat="1" ht="12" hidden="1" customHeight="1">
      <c r="A19863" s="426"/>
    </row>
    <row r="19864" spans="1:1" s="427" customFormat="1" ht="12" hidden="1" customHeight="1">
      <c r="A19864" s="426"/>
    </row>
    <row r="19865" spans="1:1" s="427" customFormat="1" ht="12" hidden="1" customHeight="1">
      <c r="A19865" s="426"/>
    </row>
    <row r="19866" spans="1:1" s="427" customFormat="1" ht="12" hidden="1" customHeight="1">
      <c r="A19866" s="426"/>
    </row>
    <row r="19867" spans="1:1" s="427" customFormat="1" ht="12" hidden="1" customHeight="1">
      <c r="A19867" s="426"/>
    </row>
    <row r="19868" spans="1:1" s="427" customFormat="1" ht="12" hidden="1" customHeight="1">
      <c r="A19868" s="426"/>
    </row>
    <row r="19869" spans="1:1" s="427" customFormat="1" ht="12" hidden="1" customHeight="1">
      <c r="A19869" s="426"/>
    </row>
    <row r="19870" spans="1:1" s="427" customFormat="1" ht="12" hidden="1" customHeight="1">
      <c r="A19870" s="426"/>
    </row>
    <row r="19871" spans="1:1" s="427" customFormat="1" ht="12" hidden="1" customHeight="1">
      <c r="A19871" s="426"/>
    </row>
    <row r="19872" spans="1:1" s="427" customFormat="1" ht="12" hidden="1" customHeight="1">
      <c r="A19872" s="426"/>
    </row>
    <row r="19873" spans="1:1" s="427" customFormat="1" ht="12" hidden="1" customHeight="1">
      <c r="A19873" s="426"/>
    </row>
    <row r="19874" spans="1:1" s="427" customFormat="1" ht="12" hidden="1" customHeight="1">
      <c r="A19874" s="426"/>
    </row>
    <row r="19875" spans="1:1" s="427" customFormat="1" ht="12" hidden="1" customHeight="1">
      <c r="A19875" s="426"/>
    </row>
    <row r="19876" spans="1:1" s="427" customFormat="1" ht="12" hidden="1" customHeight="1">
      <c r="A19876" s="426"/>
    </row>
    <row r="19877" spans="1:1" s="427" customFormat="1" ht="12" hidden="1" customHeight="1">
      <c r="A19877" s="426"/>
    </row>
    <row r="19878" spans="1:1" s="427" customFormat="1" ht="12" hidden="1" customHeight="1">
      <c r="A19878" s="426"/>
    </row>
    <row r="19879" spans="1:1" s="427" customFormat="1" ht="12" hidden="1" customHeight="1">
      <c r="A19879" s="426"/>
    </row>
    <row r="19880" spans="1:1" s="427" customFormat="1" ht="12" hidden="1" customHeight="1">
      <c r="A19880" s="426"/>
    </row>
    <row r="19881" spans="1:1" s="427" customFormat="1" ht="12" hidden="1" customHeight="1">
      <c r="A19881" s="426"/>
    </row>
    <row r="19882" spans="1:1" s="427" customFormat="1" ht="12" hidden="1" customHeight="1">
      <c r="A19882" s="426"/>
    </row>
    <row r="19883" spans="1:1" s="427" customFormat="1" ht="12" hidden="1" customHeight="1">
      <c r="A19883" s="426"/>
    </row>
    <row r="19884" spans="1:1" s="427" customFormat="1" ht="12" hidden="1" customHeight="1">
      <c r="A19884" s="426"/>
    </row>
    <row r="19885" spans="1:1" s="427" customFormat="1" ht="12" hidden="1" customHeight="1">
      <c r="A19885" s="426"/>
    </row>
    <row r="19886" spans="1:1" s="427" customFormat="1" ht="12" hidden="1" customHeight="1">
      <c r="A19886" s="426"/>
    </row>
    <row r="19887" spans="1:1" s="427" customFormat="1" ht="12" hidden="1" customHeight="1">
      <c r="A19887" s="426"/>
    </row>
    <row r="19888" spans="1:1" s="427" customFormat="1" ht="12" hidden="1" customHeight="1">
      <c r="A19888" s="426"/>
    </row>
    <row r="19889" spans="1:1" s="427" customFormat="1" ht="12" hidden="1" customHeight="1">
      <c r="A19889" s="426"/>
    </row>
    <row r="19890" spans="1:1" s="427" customFormat="1" ht="12" hidden="1" customHeight="1">
      <c r="A19890" s="426"/>
    </row>
    <row r="19891" spans="1:1" s="427" customFormat="1" ht="12" hidden="1" customHeight="1">
      <c r="A19891" s="426"/>
    </row>
    <row r="19892" spans="1:1" s="427" customFormat="1" ht="12" hidden="1" customHeight="1">
      <c r="A19892" s="426"/>
    </row>
    <row r="19893" spans="1:1" s="427" customFormat="1" ht="12" hidden="1" customHeight="1">
      <c r="A19893" s="426"/>
    </row>
    <row r="19894" spans="1:1" s="427" customFormat="1" ht="12" hidden="1" customHeight="1">
      <c r="A19894" s="426"/>
    </row>
    <row r="19895" spans="1:1" s="427" customFormat="1" ht="12" hidden="1" customHeight="1">
      <c r="A19895" s="426"/>
    </row>
    <row r="19896" spans="1:1" s="427" customFormat="1" ht="12" hidden="1" customHeight="1">
      <c r="A19896" s="426"/>
    </row>
    <row r="19897" spans="1:1" s="427" customFormat="1" ht="12" hidden="1" customHeight="1">
      <c r="A19897" s="426"/>
    </row>
    <row r="19898" spans="1:1" s="427" customFormat="1" ht="12" hidden="1" customHeight="1">
      <c r="A19898" s="426"/>
    </row>
    <row r="19899" spans="1:1" s="427" customFormat="1" ht="12" hidden="1" customHeight="1">
      <c r="A19899" s="426"/>
    </row>
    <row r="19900" spans="1:1" s="427" customFormat="1" ht="12" hidden="1" customHeight="1">
      <c r="A19900" s="426"/>
    </row>
    <row r="19901" spans="1:1" s="427" customFormat="1" ht="12" hidden="1" customHeight="1">
      <c r="A19901" s="426"/>
    </row>
    <row r="19902" spans="1:1" s="427" customFormat="1" ht="12" hidden="1" customHeight="1">
      <c r="A19902" s="426"/>
    </row>
    <row r="19903" spans="1:1" s="427" customFormat="1" ht="12" hidden="1" customHeight="1">
      <c r="A19903" s="426"/>
    </row>
    <row r="19904" spans="1:1" s="427" customFormat="1" ht="12" hidden="1" customHeight="1">
      <c r="A19904" s="426"/>
    </row>
    <row r="19905" spans="1:185" s="427" customFormat="1" ht="12" hidden="1" customHeight="1">
      <c r="A19905" s="426"/>
    </row>
    <row r="19906" spans="1:185" s="427" customFormat="1" ht="12" hidden="1" customHeight="1">
      <c r="A19906" s="426"/>
    </row>
    <row r="19907" spans="1:185" s="427" customFormat="1" ht="12" hidden="1" customHeight="1">
      <c r="A19907" s="426"/>
    </row>
    <row r="19908" spans="1:185" s="427" customFormat="1" ht="12" hidden="1" customHeight="1">
      <c r="A19908" s="426"/>
    </row>
    <row r="19909" spans="1:185" s="427" customFormat="1" ht="12" hidden="1" customHeight="1">
      <c r="A19909" s="426"/>
    </row>
    <row r="19910" spans="1:185" s="427" customFormat="1" ht="12" hidden="1" customHeight="1">
      <c r="A19910" s="426"/>
    </row>
    <row r="19911" spans="1:185" s="427" customFormat="1" ht="12" hidden="1" customHeight="1">
      <c r="A19911" s="426"/>
    </row>
    <row r="19912" spans="1:185" s="427" customFormat="1" ht="12" hidden="1" customHeight="1">
      <c r="A19912" s="426"/>
    </row>
    <row r="19913" spans="1:185" s="427" customFormat="1" ht="12" hidden="1" customHeight="1">
      <c r="A19913" s="426"/>
    </row>
    <row r="19914" spans="1:185" hidden="1">
      <c r="A19914" s="426"/>
      <c r="B19914" s="427"/>
      <c r="C19914" s="427"/>
      <c r="D19914" s="427"/>
      <c r="E19914" s="427"/>
      <c r="F19914" s="427"/>
      <c r="G19914" s="427"/>
      <c r="H19914" s="427"/>
      <c r="I19914" s="427"/>
      <c r="J19914" s="427"/>
      <c r="K19914" s="427"/>
      <c r="L19914" s="427"/>
      <c r="M19914" s="427"/>
      <c r="N19914" s="427"/>
      <c r="O19914" s="427"/>
      <c r="P19914" s="427"/>
      <c r="Q19914" s="427"/>
      <c r="R19914" s="427"/>
      <c r="S19914" s="427"/>
      <c r="T19914" s="427"/>
      <c r="U19914" s="427"/>
      <c r="V19914" s="427"/>
      <c r="W19914" s="427"/>
      <c r="X19914" s="427"/>
      <c r="Y19914" s="427"/>
      <c r="Z19914" s="427"/>
      <c r="AA19914" s="427"/>
      <c r="AB19914" s="427"/>
      <c r="AC19914" s="427"/>
      <c r="AD19914" s="427"/>
      <c r="AE19914" s="427"/>
      <c r="AF19914" s="427"/>
      <c r="AG19914" s="427"/>
      <c r="AH19914" s="427"/>
      <c r="AI19914" s="427"/>
      <c r="AJ19914" s="427"/>
      <c r="AK19914" s="427"/>
      <c r="AL19914" s="427"/>
      <c r="AM19914" s="427"/>
      <c r="AN19914" s="427"/>
      <c r="AO19914" s="427"/>
      <c r="AP19914" s="427"/>
      <c r="AQ19914" s="427"/>
      <c r="AR19914" s="427"/>
      <c r="AS19914" s="427"/>
      <c r="AT19914" s="427"/>
      <c r="AU19914" s="427"/>
      <c r="AV19914" s="427"/>
      <c r="AW19914" s="427"/>
      <c r="AX19914" s="427"/>
      <c r="AY19914" s="427"/>
      <c r="AZ19914" s="427"/>
      <c r="BA19914" s="427"/>
      <c r="BB19914" s="427"/>
      <c r="BC19914" s="427"/>
      <c r="BD19914" s="427"/>
      <c r="BE19914" s="427"/>
      <c r="BF19914" s="427"/>
      <c r="BG19914" s="427"/>
      <c r="BH19914" s="427"/>
      <c r="BI19914" s="427"/>
      <c r="BJ19914" s="427"/>
      <c r="BK19914" s="427"/>
      <c r="BL19914" s="427"/>
      <c r="BM19914" s="427"/>
      <c r="BN19914" s="427"/>
      <c r="BO19914" s="427"/>
      <c r="BP19914" s="427"/>
      <c r="BQ19914" s="427"/>
      <c r="BR19914" s="427"/>
      <c r="BS19914" s="427"/>
      <c r="BT19914" s="427"/>
      <c r="BU19914" s="427"/>
      <c r="BV19914" s="427"/>
      <c r="BW19914" s="427"/>
      <c r="BX19914" s="427"/>
      <c r="BY19914" s="427"/>
      <c r="BZ19914" s="427"/>
      <c r="CA19914" s="427"/>
      <c r="CB19914" s="427"/>
      <c r="CC19914" s="427"/>
      <c r="CD19914" s="427"/>
      <c r="CE19914" s="427"/>
      <c r="CF19914" s="427"/>
      <c r="CG19914" s="427"/>
      <c r="CH19914" s="427"/>
      <c r="CI19914" s="427"/>
      <c r="CJ19914" s="427"/>
      <c r="CK19914" s="427"/>
      <c r="CL19914" s="427"/>
      <c r="CM19914" s="427"/>
      <c r="CN19914" s="427"/>
      <c r="CO19914" s="427"/>
      <c r="CP19914" s="427"/>
      <c r="CQ19914" s="427"/>
      <c r="CR19914" s="427"/>
      <c r="CS19914" s="427"/>
      <c r="CT19914" s="427"/>
      <c r="CU19914" s="427"/>
      <c r="CV19914" s="427"/>
      <c r="CW19914" s="427"/>
      <c r="CX19914" s="427"/>
      <c r="CY19914" s="427"/>
      <c r="CZ19914" s="427"/>
      <c r="DA19914" s="427"/>
      <c r="DB19914" s="427"/>
      <c r="DC19914" s="427"/>
      <c r="DD19914" s="427"/>
      <c r="DE19914" s="427"/>
      <c r="DF19914" s="427"/>
      <c r="DG19914" s="427"/>
      <c r="DH19914" s="427"/>
      <c r="DI19914" s="427"/>
      <c r="DJ19914" s="427"/>
      <c r="DK19914" s="427"/>
      <c r="DL19914" s="427"/>
      <c r="DM19914" s="427"/>
      <c r="DN19914" s="427"/>
      <c r="DO19914" s="427"/>
      <c r="DP19914" s="427"/>
      <c r="DQ19914" s="427"/>
      <c r="DR19914" s="427"/>
      <c r="DS19914" s="427"/>
      <c r="DT19914" s="427"/>
      <c r="DU19914" s="427"/>
      <c r="DV19914" s="427"/>
      <c r="DW19914" s="427"/>
      <c r="DX19914" s="427"/>
      <c r="DY19914" s="427"/>
      <c r="DZ19914" s="427"/>
      <c r="EA19914" s="427"/>
      <c r="EB19914" s="427"/>
      <c r="EC19914" s="427"/>
      <c r="ED19914" s="427"/>
      <c r="EE19914" s="427"/>
      <c r="EF19914" s="427"/>
      <c r="EG19914" s="427"/>
      <c r="EH19914" s="427"/>
      <c r="EI19914" s="427"/>
      <c r="EJ19914" s="427"/>
      <c r="EK19914" s="427"/>
      <c r="EL19914" s="427"/>
      <c r="EM19914" s="427"/>
      <c r="EN19914" s="427"/>
      <c r="EO19914" s="427"/>
      <c r="EP19914" s="427"/>
      <c r="EQ19914" s="427"/>
      <c r="ER19914" s="427"/>
      <c r="ES19914" s="427"/>
      <c r="ET19914" s="427"/>
      <c r="EU19914" s="427"/>
      <c r="EV19914" s="427"/>
      <c r="EW19914" s="427"/>
      <c r="EX19914" s="427"/>
      <c r="EY19914" s="427"/>
      <c r="EZ19914" s="427"/>
      <c r="FA19914" s="427"/>
      <c r="FB19914" s="427"/>
      <c r="FC19914" s="427"/>
      <c r="FD19914" s="427"/>
      <c r="FE19914" s="427"/>
      <c r="FF19914" s="427"/>
      <c r="FG19914" s="427"/>
      <c r="FH19914" s="427"/>
      <c r="FI19914" s="427"/>
      <c r="FJ19914" s="427"/>
      <c r="FK19914" s="427"/>
      <c r="FL19914" s="427"/>
      <c r="FM19914" s="427"/>
      <c r="FN19914" s="427"/>
      <c r="FO19914" s="427"/>
      <c r="FP19914" s="427"/>
      <c r="FQ19914" s="427"/>
      <c r="FR19914" s="427"/>
      <c r="FS19914" s="427"/>
      <c r="FT19914" s="427"/>
      <c r="FU19914" s="427"/>
      <c r="FV19914" s="427"/>
      <c r="FW19914" s="427"/>
      <c r="FX19914" s="427"/>
      <c r="FY19914" s="427"/>
      <c r="FZ19914" s="427"/>
      <c r="GA19914" s="427"/>
      <c r="GB19914" s="427"/>
      <c r="GC19914" s="42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77734375" style="132" customWidth="1"/>
    <col min="2" max="2" width="13.77734375" style="671" customWidth="1"/>
    <col min="3" max="3" width="2.77734375" style="132" customWidth="1"/>
    <col min="4" max="5" width="3.77734375" style="7" customWidth="1"/>
    <col min="6" max="6" width="65.77734375" style="7" customWidth="1"/>
    <col min="7" max="7" width="1.77734375" style="7" customWidth="1"/>
    <col min="8" max="8" width="3.77734375" style="12" hidden="1" customWidth="1"/>
    <col min="9" max="9" width="14" style="12" hidden="1" customWidth="1"/>
    <col min="10" max="16384" width="8.77734375" style="12" hidden="1"/>
  </cols>
  <sheetData>
    <row r="1" spans="1:9"/>
    <row r="2" spans="1:9">
      <c r="A2" s="1906" t="s">
        <v>1156</v>
      </c>
      <c r="B2" s="1906"/>
      <c r="C2" s="1907"/>
      <c r="D2" s="1907"/>
      <c r="E2" s="1907"/>
      <c r="F2" s="1907"/>
      <c r="G2" s="1907"/>
    </row>
    <row r="3" spans="1:9" s="256" customFormat="1">
      <c r="A3" s="1906" t="s">
        <v>1086</v>
      </c>
      <c r="B3" s="1906"/>
      <c r="C3" s="1907"/>
      <c r="D3" s="1907"/>
      <c r="E3" s="1907"/>
      <c r="F3" s="1907"/>
      <c r="G3" s="1907"/>
      <c r="I3" s="672" t="s">
        <v>316</v>
      </c>
    </row>
    <row r="4" spans="1:9">
      <c r="I4" s="673" t="s">
        <v>1157</v>
      </c>
    </row>
    <row r="5" spans="1:9" s="39" customFormat="1">
      <c r="A5" s="1910" t="s">
        <v>1087</v>
      </c>
      <c r="B5" s="1910"/>
      <c r="C5" s="1911"/>
      <c r="D5" s="1911"/>
      <c r="E5" s="1911"/>
      <c r="F5" s="1911"/>
      <c r="G5" s="1911"/>
      <c r="I5" s="673" t="s">
        <v>1158</v>
      </c>
    </row>
    <row r="6" spans="1:9" s="39" customFormat="1">
      <c r="A6" s="1910" t="s">
        <v>880</v>
      </c>
      <c r="B6" s="1910"/>
      <c r="C6" s="1911"/>
      <c r="D6" s="1911"/>
      <c r="E6" s="1911"/>
      <c r="F6" s="1911"/>
      <c r="G6" s="1911"/>
      <c r="I6" s="672" t="s">
        <v>626</v>
      </c>
    </row>
    <row r="7" spans="1:9" ht="12" customHeight="1"/>
    <row r="8" spans="1:9" s="39" customFormat="1">
      <c r="A8" s="1908" t="s">
        <v>1253</v>
      </c>
      <c r="B8" s="1908"/>
      <c r="C8" s="1909"/>
      <c r="D8" s="1909"/>
      <c r="E8" s="1909"/>
      <c r="F8" s="1909"/>
      <c r="G8" s="1909"/>
    </row>
    <row r="9" spans="1:9" s="39" customFormat="1">
      <c r="A9" s="1908" t="s">
        <v>1254</v>
      </c>
      <c r="B9" s="1908"/>
      <c r="C9" s="1909"/>
      <c r="D9" s="1909"/>
      <c r="E9" s="1909"/>
      <c r="F9" s="1909"/>
      <c r="G9" s="1909"/>
    </row>
    <row r="10" spans="1:9">
      <c r="A10" s="258"/>
      <c r="B10" s="258"/>
      <c r="C10" s="255"/>
      <c r="D10" s="255"/>
      <c r="E10" s="255"/>
      <c r="F10" s="255"/>
    </row>
    <row r="11" spans="1:9">
      <c r="A11" s="1912" t="s">
        <v>1256</v>
      </c>
      <c r="B11" s="1912"/>
      <c r="C11" s="1912"/>
      <c r="D11" s="1912"/>
      <c r="E11" s="1912"/>
      <c r="F11" s="1912"/>
      <c r="G11" s="1912"/>
    </row>
    <row r="12" spans="1:9">
      <c r="A12" s="255"/>
      <c r="B12" s="668"/>
      <c r="E12" s="50"/>
    </row>
    <row r="13" spans="1:9" ht="13.2" customHeight="1">
      <c r="C13" s="255"/>
      <c r="D13" s="1884" t="s">
        <v>1255</v>
      </c>
      <c r="E13" s="1884"/>
      <c r="F13" s="1884"/>
    </row>
    <row r="14" spans="1:9">
      <c r="C14" s="255"/>
      <c r="D14" s="1884"/>
      <c r="E14" s="1884"/>
      <c r="F14" s="1884"/>
    </row>
    <row r="15" spans="1:9">
      <c r="A15" s="260"/>
      <c r="B15" s="260"/>
      <c r="C15" s="260"/>
      <c r="D15" s="1881" t="s">
        <v>1238</v>
      </c>
      <c r="E15" s="1881"/>
      <c r="F15" s="1881"/>
    </row>
    <row r="16" spans="1:9">
      <c r="A16" s="260"/>
      <c r="B16" s="260"/>
      <c r="C16" s="260"/>
      <c r="D16" s="326"/>
    </row>
    <row r="17" spans="1:7" ht="14.4">
      <c r="A17" s="261"/>
      <c r="B17" s="674" t="s">
        <v>316</v>
      </c>
      <c r="C17" s="313"/>
      <c r="D17" s="1856" t="s">
        <v>1239</v>
      </c>
      <c r="E17" s="1856"/>
      <c r="F17" s="1856"/>
    </row>
    <row r="18" spans="1:7">
      <c r="A18" s="260"/>
      <c r="B18" s="260"/>
      <c r="C18" s="313"/>
      <c r="D18" s="1856"/>
      <c r="E18" s="1856"/>
      <c r="F18" s="1856"/>
    </row>
    <row r="19" spans="1:7">
      <c r="A19" s="260"/>
      <c r="B19" s="260"/>
      <c r="C19" s="313"/>
      <c r="D19" s="1856"/>
      <c r="E19" s="1856"/>
      <c r="F19" s="1856"/>
    </row>
    <row r="20" spans="1:7">
      <c r="A20" s="260"/>
      <c r="B20" s="260"/>
      <c r="C20" s="260"/>
    </row>
    <row r="21" spans="1:7" ht="14.4">
      <c r="A21" s="261"/>
      <c r="B21" s="674" t="s">
        <v>316</v>
      </c>
      <c r="D21" s="1885" t="s">
        <v>1240</v>
      </c>
      <c r="E21" s="1885"/>
      <c r="F21" s="1885"/>
    </row>
    <row r="22" spans="1:7" ht="14.4">
      <c r="A22" s="261"/>
      <c r="B22" s="261"/>
      <c r="D22" s="135"/>
    </row>
    <row r="23" spans="1:7" ht="14.4">
      <c r="A23" s="261"/>
      <c r="B23" s="674" t="s">
        <v>316</v>
      </c>
      <c r="D23" s="1856" t="s">
        <v>1241</v>
      </c>
      <c r="E23" s="1856"/>
      <c r="F23" s="1856"/>
    </row>
    <row r="24" spans="1:7" ht="14.4">
      <c r="A24" s="261"/>
      <c r="B24" s="261"/>
      <c r="D24" s="1856"/>
      <c r="E24" s="1856"/>
      <c r="F24" s="1856"/>
    </row>
    <row r="25" spans="1:7"/>
    <row r="26" spans="1:7" ht="14.4">
      <c r="A26" s="261"/>
      <c r="B26" s="674" t="s">
        <v>316</v>
      </c>
      <c r="D26" s="1879" t="s">
        <v>1242</v>
      </c>
      <c r="E26" s="1879"/>
      <c r="F26" s="1879"/>
    </row>
    <row r="27" spans="1:7">
      <c r="D27" s="1879"/>
      <c r="E27" s="1879"/>
      <c r="F27" s="1879"/>
    </row>
    <row r="28" spans="1:7">
      <c r="D28" s="1879"/>
      <c r="E28" s="1879"/>
      <c r="F28" s="1879"/>
    </row>
    <row r="29" spans="1:7">
      <c r="A29" s="553"/>
      <c r="C29" s="553"/>
      <c r="D29" s="1879"/>
      <c r="E29" s="1879"/>
      <c r="F29" s="1879"/>
    </row>
    <row r="30" spans="1:7">
      <c r="A30" s="553"/>
      <c r="C30" s="553"/>
      <c r="D30" s="1879"/>
      <c r="E30" s="1879"/>
      <c r="F30" s="1879"/>
    </row>
    <row r="31" spans="1:7" s="39" customFormat="1">
      <c r="A31" s="273"/>
      <c r="B31" s="273"/>
      <c r="C31" s="273"/>
      <c r="D31" s="438"/>
      <c r="E31" s="130"/>
      <c r="F31" s="130"/>
      <c r="G31" s="130"/>
    </row>
    <row r="32" spans="1:7" s="39" customFormat="1">
      <c r="A32" s="273"/>
      <c r="B32" s="674" t="s">
        <v>316</v>
      </c>
      <c r="C32" s="273"/>
      <c r="D32" s="1858" t="s">
        <v>1243</v>
      </c>
      <c r="E32" s="1858"/>
      <c r="F32" s="1858"/>
      <c r="G32" s="130"/>
    </row>
    <row r="33" spans="1:7" s="39" customFormat="1">
      <c r="A33" s="273"/>
      <c r="B33" s="273"/>
      <c r="C33" s="273"/>
      <c r="D33" s="1858"/>
      <c r="E33" s="1858"/>
      <c r="F33" s="1858"/>
      <c r="G33" s="130"/>
    </row>
    <row r="34" spans="1:7" ht="14.4">
      <c r="A34" s="261"/>
      <c r="B34" s="261"/>
      <c r="D34" s="399"/>
    </row>
    <row r="35" spans="1:7" ht="14.55" customHeight="1">
      <c r="A35" s="261"/>
      <c r="B35" s="674" t="s">
        <v>316</v>
      </c>
      <c r="C35" s="549"/>
      <c r="D35" s="1858" t="s">
        <v>1244</v>
      </c>
      <c r="E35" s="1858"/>
      <c r="F35" s="1858"/>
    </row>
    <row r="36" spans="1:7" ht="14.4">
      <c r="A36" s="261"/>
      <c r="B36" s="261"/>
      <c r="C36" s="549"/>
      <c r="D36" s="1858"/>
      <c r="E36" s="1858"/>
      <c r="F36" s="1858"/>
    </row>
    <row r="37" spans="1:7" ht="14.4">
      <c r="A37" s="261"/>
      <c r="B37" s="261"/>
      <c r="C37" s="549"/>
      <c r="D37" s="1858"/>
      <c r="E37" s="1858"/>
      <c r="F37" s="1858"/>
    </row>
    <row r="38" spans="1:7" ht="14.4">
      <c r="A38" s="261"/>
      <c r="B38" s="261"/>
      <c r="C38" s="549"/>
      <c r="D38" s="12"/>
    </row>
    <row r="39" spans="1:7" s="677" customFormat="1" ht="14.4">
      <c r="A39" s="261"/>
      <c r="B39" s="674" t="s">
        <v>316</v>
      </c>
      <c r="C39" s="694"/>
      <c r="D39" s="1858" t="s">
        <v>1245</v>
      </c>
      <c r="E39" s="1858"/>
      <c r="F39" s="1858"/>
      <c r="G39" s="7"/>
    </row>
    <row r="40" spans="1:7" s="677" customFormat="1" ht="14.4">
      <c r="A40" s="261"/>
      <c r="B40" s="261"/>
      <c r="C40" s="694"/>
      <c r="D40" s="1858"/>
      <c r="E40" s="1858"/>
      <c r="F40" s="1858"/>
      <c r="G40" s="7"/>
    </row>
    <row r="41" spans="1:7" s="677" customFormat="1" ht="14.4">
      <c r="A41" s="261"/>
      <c r="B41" s="261"/>
      <c r="C41" s="694"/>
      <c r="D41" s="1858"/>
      <c r="E41" s="1858"/>
      <c r="F41" s="1858"/>
      <c r="G41" s="7"/>
    </row>
    <row r="42" spans="1:7" s="677" customFormat="1" ht="14.4">
      <c r="A42" s="261"/>
      <c r="B42" s="261"/>
      <c r="C42" s="694"/>
      <c r="D42" s="1858"/>
      <c r="E42" s="1858"/>
      <c r="F42" s="1858"/>
      <c r="G42" s="7"/>
    </row>
    <row r="43" spans="1:7" s="677" customFormat="1" ht="14.4">
      <c r="A43" s="261"/>
      <c r="B43" s="261"/>
      <c r="C43" s="694"/>
      <c r="D43" s="1858"/>
      <c r="E43" s="1858"/>
      <c r="F43" s="1858"/>
      <c r="G43" s="7"/>
    </row>
    <row r="44" spans="1:7" s="677" customFormat="1" ht="14.4">
      <c r="A44" s="261"/>
      <c r="B44" s="261"/>
      <c r="C44" s="694"/>
      <c r="D44" s="693"/>
      <c r="E44" s="693"/>
      <c r="F44" s="693"/>
      <c r="G44" s="7"/>
    </row>
    <row r="45" spans="1:7" ht="14.4">
      <c r="A45" s="261"/>
      <c r="B45" s="674" t="s">
        <v>316</v>
      </c>
      <c r="C45" s="549"/>
      <c r="D45" s="1858" t="s">
        <v>1246</v>
      </c>
      <c r="E45" s="1858"/>
      <c r="F45" s="1858"/>
    </row>
    <row r="46" spans="1:7" ht="14.4">
      <c r="A46" s="261"/>
      <c r="B46" s="261"/>
      <c r="C46" s="549"/>
      <c r="D46" s="1858"/>
      <c r="E46" s="1858"/>
      <c r="F46" s="1858"/>
    </row>
    <row r="47" spans="1:7" ht="14.4">
      <c r="A47" s="261"/>
      <c r="B47" s="261"/>
      <c r="C47" s="549"/>
      <c r="D47" s="1858"/>
      <c r="E47" s="1858"/>
      <c r="F47" s="1858"/>
    </row>
    <row r="48" spans="1:7" ht="23.25" customHeight="1">
      <c r="A48" s="261"/>
      <c r="B48" s="261"/>
      <c r="C48" s="549"/>
      <c r="D48" s="1858"/>
      <c r="E48" s="1858"/>
      <c r="F48" s="1858"/>
    </row>
    <row r="49" spans="1:7" ht="14.4">
      <c r="A49" s="261"/>
      <c r="B49" s="261"/>
      <c r="D49" s="151"/>
    </row>
    <row r="50" spans="1:7" ht="14.55" customHeight="1">
      <c r="A50" s="261"/>
      <c r="B50" s="674" t="s">
        <v>316</v>
      </c>
      <c r="D50" s="1858" t="s">
        <v>1247</v>
      </c>
      <c r="E50" s="1858"/>
      <c r="F50" s="1858"/>
    </row>
    <row r="51" spans="1:7" ht="14.4">
      <c r="A51" s="261"/>
      <c r="B51" s="261"/>
      <c r="D51" s="1858"/>
      <c r="E51" s="1858"/>
      <c r="F51" s="1858"/>
    </row>
    <row r="52" spans="1:7" ht="14.4">
      <c r="A52" s="261"/>
      <c r="B52" s="261"/>
      <c r="D52" s="1858"/>
      <c r="E52" s="1858"/>
      <c r="F52" s="1858"/>
    </row>
    <row r="53" spans="1:7" s="2" customFormat="1" ht="14.4">
      <c r="A53" s="261"/>
      <c r="B53" s="261"/>
      <c r="C53" s="551"/>
      <c r="D53" s="239"/>
      <c r="E53" s="22"/>
      <c r="F53" s="22"/>
      <c r="G53" s="22"/>
    </row>
    <row r="54" spans="1:7" s="2" customFormat="1" ht="14.4">
      <c r="A54" s="398"/>
      <c r="B54" s="674" t="s">
        <v>316</v>
      </c>
      <c r="C54" s="552"/>
      <c r="D54" s="1858" t="s">
        <v>1248</v>
      </c>
      <c r="E54" s="1858"/>
      <c r="F54" s="1858"/>
      <c r="G54" s="22"/>
    </row>
    <row r="55" spans="1:7" s="2" customFormat="1" ht="14.4">
      <c r="A55" s="398"/>
      <c r="B55" s="398"/>
      <c r="C55" s="552"/>
      <c r="D55" s="1858"/>
      <c r="E55" s="1858"/>
      <c r="F55" s="1858"/>
      <c r="G55" s="22"/>
    </row>
    <row r="56" spans="1:7" s="39" customFormat="1">
      <c r="A56" s="273"/>
      <c r="B56" s="273"/>
      <c r="C56" s="273"/>
      <c r="D56" s="438"/>
      <c r="E56" s="130"/>
      <c r="F56" s="130"/>
      <c r="G56" s="130"/>
    </row>
    <row r="57" spans="1:7" ht="14.4">
      <c r="A57" s="261"/>
      <c r="B57" s="674" t="s">
        <v>316</v>
      </c>
      <c r="D57" s="1858" t="s">
        <v>1249</v>
      </c>
      <c r="E57" s="1858"/>
      <c r="F57" s="1858"/>
    </row>
    <row r="58" spans="1:7">
      <c r="D58" s="1858"/>
      <c r="E58" s="1858"/>
      <c r="F58" s="1858"/>
    </row>
    <row r="59" spans="1:7">
      <c r="D59" s="1858"/>
      <c r="E59" s="1858"/>
      <c r="F59" s="1858"/>
    </row>
    <row r="60" spans="1:7" s="677" customFormat="1">
      <c r="A60" s="694"/>
      <c r="B60" s="694"/>
      <c r="C60" s="694"/>
      <c r="D60" s="673"/>
      <c r="E60" s="7"/>
      <c r="F60" s="7"/>
      <c r="G60" s="7"/>
    </row>
    <row r="61" spans="1:7" ht="14.4">
      <c r="A61" s="261"/>
      <c r="B61" s="674" t="s">
        <v>316</v>
      </c>
      <c r="D61" s="1858" t="s">
        <v>1250</v>
      </c>
      <c r="E61" s="1858"/>
      <c r="F61" s="1858"/>
    </row>
    <row r="62" spans="1:7">
      <c r="D62" s="1858"/>
      <c r="E62" s="1858"/>
      <c r="F62" s="1858"/>
    </row>
    <row r="63" spans="1:7"/>
    <row r="64" spans="1:7" ht="14.4">
      <c r="A64" s="261"/>
      <c r="B64" s="674" t="s">
        <v>316</v>
      </c>
      <c r="D64" s="1858" t="s">
        <v>1251</v>
      </c>
      <c r="E64" s="1858"/>
      <c r="F64" s="1858"/>
    </row>
    <row r="65" spans="1:7">
      <c r="D65" s="1858"/>
      <c r="E65" s="1858"/>
      <c r="F65" s="1858"/>
    </row>
    <row r="66" spans="1:7">
      <c r="A66" s="550"/>
      <c r="C66" s="550"/>
      <c r="D66" s="1858"/>
      <c r="E66" s="1858"/>
      <c r="F66" s="1858"/>
    </row>
    <row r="67" spans="1:7">
      <c r="D67" s="12"/>
    </row>
    <row r="68" spans="1:7" ht="14.4">
      <c r="A68" s="261"/>
      <c r="B68" s="674" t="s">
        <v>316</v>
      </c>
      <c r="D68" s="1856" t="s">
        <v>1252</v>
      </c>
      <c r="E68" s="1856"/>
      <c r="F68" s="1856"/>
    </row>
    <row r="69" spans="1:7">
      <c r="D69" s="1856"/>
      <c r="E69" s="1856"/>
      <c r="F69" s="1856"/>
    </row>
    <row r="70" spans="1:7" ht="14.4">
      <c r="A70" s="261"/>
      <c r="B70" s="261"/>
      <c r="D70" s="135"/>
    </row>
    <row r="71" spans="1:7">
      <c r="A71" s="1882" t="s">
        <v>1159</v>
      </c>
      <c r="B71" s="1882"/>
      <c r="C71" s="1882"/>
      <c r="D71" s="1882"/>
      <c r="E71" s="1882"/>
      <c r="F71" s="1882"/>
      <c r="G71" s="1882"/>
    </row>
    <row r="72" spans="1:7"/>
    <row r="73" spans="1:7">
      <c r="C73" s="262"/>
      <c r="D73" s="1898" t="s">
        <v>1257</v>
      </c>
      <c r="E73" s="1898"/>
      <c r="F73" s="1898"/>
    </row>
    <row r="74" spans="1:7">
      <c r="A74" s="135"/>
      <c r="B74" s="135"/>
      <c r="D74" s="1856" t="s">
        <v>1284</v>
      </c>
      <c r="E74" s="1856"/>
      <c r="F74" s="1856"/>
    </row>
    <row r="75" spans="1:7">
      <c r="A75" s="135"/>
      <c r="B75" s="135"/>
    </row>
    <row r="76" spans="1:7" ht="14.4">
      <c r="A76" s="261"/>
      <c r="B76" s="674" t="s">
        <v>316</v>
      </c>
      <c r="D76" s="1856" t="s">
        <v>1258</v>
      </c>
      <c r="E76" s="1856"/>
      <c r="F76" s="1856"/>
    </row>
    <row r="77" spans="1:7" ht="14.4">
      <c r="A77" s="261"/>
      <c r="B77" s="261"/>
      <c r="D77" s="1856"/>
      <c r="E77" s="1856"/>
      <c r="F77" s="1856"/>
    </row>
    <row r="78" spans="1:7" ht="14.4">
      <c r="A78" s="261"/>
      <c r="B78" s="261"/>
      <c r="D78" s="1856"/>
      <c r="E78" s="1856"/>
      <c r="F78" s="1856"/>
    </row>
    <row r="79" spans="1:7" ht="14.4">
      <c r="A79" s="261"/>
      <c r="B79" s="261"/>
      <c r="D79" s="1856"/>
      <c r="E79" s="1856"/>
      <c r="F79" s="1856"/>
    </row>
    <row r="80" spans="1:7" ht="14.4">
      <c r="A80" s="261"/>
      <c r="B80" s="261"/>
      <c r="D80" s="1856"/>
      <c r="E80" s="1856"/>
      <c r="F80" s="1856"/>
    </row>
    <row r="81" spans="1:7" ht="14.4">
      <c r="A81" s="261"/>
      <c r="B81" s="261"/>
      <c r="D81" s="1856"/>
      <c r="E81" s="1856"/>
      <c r="F81" s="1856"/>
    </row>
    <row r="82" spans="1:7" s="701" customFormat="1" ht="14.4">
      <c r="A82" s="702"/>
      <c r="B82" s="702"/>
      <c r="C82" s="700"/>
      <c r="D82" s="704"/>
      <c r="E82" s="704"/>
      <c r="F82" s="704"/>
      <c r="G82" s="7"/>
    </row>
    <row r="83" spans="1:7" s="701" customFormat="1" ht="14.55" customHeight="1">
      <c r="A83" s="702"/>
      <c r="B83" s="707" t="s">
        <v>316</v>
      </c>
      <c r="C83" s="700"/>
      <c r="D83" s="1913" t="s">
        <v>1357</v>
      </c>
      <c r="E83" s="1913"/>
      <c r="F83" s="1913"/>
      <c r="G83" s="7"/>
    </row>
    <row r="84" spans="1:7" s="701" customFormat="1" ht="14.4">
      <c r="A84" s="702"/>
      <c r="B84" s="702"/>
      <c r="C84" s="700"/>
      <c r="D84" s="1913"/>
      <c r="E84" s="1913"/>
      <c r="F84" s="1913"/>
      <c r="G84" s="7"/>
    </row>
    <row r="85" spans="1:7" s="701" customFormat="1" ht="14.4">
      <c r="A85" s="702"/>
      <c r="B85" s="702"/>
      <c r="C85" s="700"/>
      <c r="D85" s="1913"/>
      <c r="E85" s="1913"/>
      <c r="F85" s="1913"/>
      <c r="G85" s="7"/>
    </row>
    <row r="86" spans="1:7" s="701" customFormat="1" ht="14.4">
      <c r="A86" s="702"/>
      <c r="B86" s="702"/>
      <c r="C86" s="700"/>
      <c r="D86" s="1913"/>
      <c r="E86" s="1913"/>
      <c r="F86" s="1913"/>
      <c r="G86" s="7"/>
    </row>
    <row r="87" spans="1:7" s="701" customFormat="1" ht="14.4">
      <c r="A87" s="702"/>
      <c r="B87" s="702"/>
      <c r="C87" s="700"/>
      <c r="D87" s="1913"/>
      <c r="E87" s="1913"/>
      <c r="F87" s="1913"/>
      <c r="G87" s="7"/>
    </row>
    <row r="88" spans="1:7" s="714" customFormat="1" ht="14.4">
      <c r="A88" s="709"/>
      <c r="B88" s="709"/>
      <c r="C88" s="740"/>
      <c r="D88" s="1913"/>
      <c r="E88" s="1913"/>
      <c r="F88" s="1913"/>
      <c r="G88" s="7"/>
    </row>
    <row r="89" spans="1:7" s="714" customFormat="1" ht="14.4">
      <c r="A89" s="709"/>
      <c r="B89" s="709"/>
      <c r="C89" s="740"/>
      <c r="D89" s="1913"/>
      <c r="E89" s="1913"/>
      <c r="F89" s="1913"/>
      <c r="G89" s="7"/>
    </row>
    <row r="90" spans="1:7" s="714" customFormat="1" ht="14.4">
      <c r="A90" s="709"/>
      <c r="B90" s="709"/>
      <c r="C90" s="740"/>
      <c r="D90" s="1913"/>
      <c r="E90" s="1913"/>
      <c r="F90" s="1913"/>
      <c r="G90" s="7"/>
    </row>
    <row r="91" spans="1:7" ht="14.4">
      <c r="A91" s="261"/>
      <c r="B91" s="261"/>
      <c r="D91" s="1913"/>
      <c r="E91" s="1913"/>
      <c r="F91" s="1913"/>
    </row>
    <row r="92" spans="1:7" ht="14.4">
      <c r="A92" s="261"/>
      <c r="B92" s="261"/>
      <c r="D92" s="1913"/>
      <c r="E92" s="1913"/>
      <c r="F92" s="1913"/>
    </row>
    <row r="93" spans="1:7" ht="14.4">
      <c r="A93" s="261"/>
      <c r="B93" s="261"/>
      <c r="D93" s="1913"/>
      <c r="E93" s="1913"/>
      <c r="F93" s="1913"/>
    </row>
    <row r="94" spans="1:7" ht="14.4">
      <c r="A94" s="261"/>
      <c r="B94" s="261"/>
      <c r="D94" s="1913"/>
      <c r="E94" s="1913"/>
      <c r="F94" s="1913"/>
    </row>
    <row r="95" spans="1:7" ht="14.4">
      <c r="A95" s="261"/>
      <c r="B95" s="261"/>
      <c r="D95" s="1913"/>
      <c r="E95" s="1913"/>
      <c r="F95" s="1913"/>
    </row>
    <row r="96" spans="1:7" ht="14.4">
      <c r="A96" s="261"/>
      <c r="B96" s="261"/>
      <c r="D96" s="1913"/>
      <c r="E96" s="1913"/>
      <c r="F96" s="1913"/>
    </row>
    <row r="97" spans="1:11" s="705" customFormat="1" ht="14.4">
      <c r="A97" s="706"/>
      <c r="B97" s="710" t="s">
        <v>316</v>
      </c>
      <c r="C97" s="700"/>
      <c r="D97" s="1856" t="s">
        <v>1259</v>
      </c>
      <c r="E97" s="1856"/>
      <c r="F97" s="1856"/>
      <c r="G97" s="7"/>
    </row>
    <row r="98" spans="1:11" s="705" customFormat="1" ht="14.4">
      <c r="A98" s="706"/>
      <c r="B98" s="706"/>
      <c r="C98" s="700"/>
      <c r="D98" s="1856"/>
      <c r="E98" s="1856"/>
      <c r="F98" s="1856"/>
      <c r="G98" s="7"/>
    </row>
    <row r="99" spans="1:11" s="705" customFormat="1" ht="14.4">
      <c r="A99" s="706"/>
      <c r="B99" s="706"/>
      <c r="C99" s="700"/>
      <c r="D99" s="1856"/>
      <c r="E99" s="1856"/>
      <c r="F99" s="1856"/>
      <c r="G99" s="7"/>
    </row>
    <row r="100" spans="1:11" s="705" customFormat="1" ht="14.4">
      <c r="A100" s="706"/>
      <c r="B100" s="706"/>
      <c r="C100" s="700"/>
      <c r="D100" s="1856"/>
      <c r="E100" s="1856"/>
      <c r="F100" s="1856"/>
      <c r="G100" s="7"/>
    </row>
    <row r="101" spans="1:11" s="705" customFormat="1" ht="14.4">
      <c r="A101" s="706"/>
      <c r="B101" s="706"/>
      <c r="C101" s="700"/>
      <c r="D101" s="1856"/>
      <c r="E101" s="1856"/>
      <c r="F101" s="1856"/>
      <c r="G101" s="7"/>
    </row>
    <row r="102" spans="1:11" s="705" customFormat="1" ht="14.4">
      <c r="A102" s="706"/>
      <c r="B102" s="706"/>
      <c r="C102" s="700"/>
      <c r="D102" s="1856"/>
      <c r="E102" s="1856"/>
      <c r="F102" s="1856"/>
      <c r="G102" s="7"/>
    </row>
    <row r="103" spans="1:11" s="705" customFormat="1" ht="14.4">
      <c r="A103" s="706"/>
      <c r="B103" s="706"/>
      <c r="C103" s="700"/>
      <c r="D103" s="1856"/>
      <c r="E103" s="1856"/>
      <c r="F103" s="1856"/>
      <c r="G103" s="7"/>
    </row>
    <row r="104" spans="1:11" s="705" customFormat="1" ht="14.4">
      <c r="A104" s="706"/>
      <c r="B104" s="706"/>
      <c r="C104" s="700"/>
      <c r="D104" s="1856"/>
      <c r="E104" s="1856"/>
      <c r="F104" s="1856"/>
      <c r="G104" s="7"/>
    </row>
    <row r="105" spans="1:11" s="708" customFormat="1" ht="14.4">
      <c r="A105" s="709"/>
      <c r="B105" s="709"/>
      <c r="C105" s="700"/>
      <c r="D105" s="711"/>
      <c r="E105" s="711"/>
      <c r="F105" s="711"/>
      <c r="G105" s="7"/>
    </row>
    <row r="106" spans="1:11" ht="14.4">
      <c r="A106" s="398"/>
      <c r="B106" s="703" t="s">
        <v>316</v>
      </c>
      <c r="C106" s="464"/>
      <c r="D106" s="1914" t="s">
        <v>1260</v>
      </c>
      <c r="E106" s="1914"/>
      <c r="F106" s="1914"/>
      <c r="G106" s="465"/>
      <c r="H106" s="463"/>
      <c r="I106" s="463"/>
      <c r="J106" s="463"/>
      <c r="K106" s="463"/>
    </row>
    <row r="107" spans="1:11" ht="14.4">
      <c r="A107" s="261"/>
      <c r="B107" s="261"/>
      <c r="C107" s="315"/>
      <c r="D107" s="1914"/>
      <c r="E107" s="1914"/>
      <c r="F107" s="1914"/>
      <c r="G107" s="465"/>
      <c r="H107" s="463"/>
      <c r="I107" s="463"/>
      <c r="J107" s="463"/>
      <c r="K107" s="463"/>
    </row>
    <row r="108" spans="1:11" ht="14.4">
      <c r="A108" s="261"/>
      <c r="B108" s="261"/>
      <c r="C108" s="315"/>
      <c r="D108" s="1914"/>
      <c r="E108" s="1914"/>
      <c r="F108" s="1914"/>
      <c r="G108" s="465"/>
      <c r="H108" s="463"/>
      <c r="I108" s="463"/>
      <c r="J108" s="463"/>
      <c r="K108" s="463"/>
    </row>
    <row r="109" spans="1:11" ht="14.4">
      <c r="A109" s="261"/>
      <c r="B109" s="261"/>
      <c r="C109" s="315"/>
      <c r="D109" s="1914"/>
      <c r="E109" s="1914"/>
      <c r="F109" s="1914"/>
      <c r="G109" s="465"/>
      <c r="H109" s="463"/>
      <c r="I109" s="463"/>
      <c r="J109" s="463"/>
      <c r="K109" s="463"/>
    </row>
    <row r="110" spans="1:11" ht="14.4">
      <c r="A110" s="261"/>
      <c r="B110" s="261"/>
      <c r="C110" s="315"/>
      <c r="D110" s="1914"/>
      <c r="E110" s="1914"/>
      <c r="F110" s="1914"/>
      <c r="G110" s="465"/>
      <c r="H110" s="463"/>
      <c r="I110" s="463"/>
      <c r="J110" s="463"/>
      <c r="K110" s="463"/>
    </row>
    <row r="111" spans="1:11">
      <c r="C111"/>
      <c r="D111" s="1914"/>
      <c r="E111" s="1914"/>
      <c r="F111" s="1914"/>
      <c r="G111"/>
      <c r="H111"/>
      <c r="I111"/>
      <c r="J111"/>
      <c r="K111"/>
    </row>
    <row r="112" spans="1:11">
      <c r="C112"/>
      <c r="D112" s="1914"/>
      <c r="E112" s="1914"/>
      <c r="F112" s="1914"/>
      <c r="G112"/>
      <c r="H112"/>
      <c r="I112"/>
      <c r="J112"/>
      <c r="K112"/>
    </row>
    <row r="113" spans="1:11">
      <c r="C113"/>
      <c r="D113" s="472"/>
      <c r="E113"/>
      <c r="F113"/>
      <c r="G113"/>
      <c r="H113"/>
      <c r="I113"/>
      <c r="J113"/>
      <c r="K113"/>
    </row>
    <row r="114" spans="1:11" ht="14.4">
      <c r="A114" s="261"/>
      <c r="B114" s="674" t="s">
        <v>316</v>
      </c>
      <c r="C114"/>
      <c r="D114" s="1915" t="s">
        <v>1261</v>
      </c>
      <c r="E114" s="1915"/>
      <c r="F114" s="1915"/>
      <c r="G114"/>
      <c r="H114"/>
      <c r="I114"/>
      <c r="J114"/>
      <c r="K114"/>
    </row>
    <row r="115" spans="1:11" ht="14.4">
      <c r="A115" s="261"/>
      <c r="B115" s="261"/>
      <c r="C115"/>
      <c r="D115" s="1915"/>
      <c r="E115" s="1915"/>
      <c r="F115" s="1915"/>
      <c r="G115"/>
      <c r="H115"/>
      <c r="I115"/>
      <c r="J115"/>
      <c r="K115"/>
    </row>
    <row r="116" spans="1:11"/>
    <row r="117" spans="1:11" ht="14.4">
      <c r="A117" s="261"/>
      <c r="B117" s="674" t="s">
        <v>316</v>
      </c>
      <c r="C117" s="10"/>
      <c r="D117" s="1856" t="s">
        <v>1262</v>
      </c>
      <c r="E117" s="1856"/>
      <c r="F117" s="1856"/>
    </row>
    <row r="118" spans="1:11">
      <c r="C118" s="10"/>
      <c r="D118" s="1856"/>
      <c r="E118" s="1856"/>
      <c r="F118" s="1856"/>
    </row>
    <row r="119" spans="1:11">
      <c r="C119" s="10"/>
      <c r="D119" s="1856"/>
      <c r="E119" s="1856"/>
      <c r="F119" s="1856"/>
    </row>
    <row r="120" spans="1:11">
      <c r="C120" s="10"/>
      <c r="D120" s="1856"/>
      <c r="E120" s="1856"/>
      <c r="F120" s="1856"/>
    </row>
    <row r="121" spans="1:11">
      <c r="C121" s="10"/>
      <c r="D121" s="1856"/>
      <c r="E121" s="1856"/>
      <c r="F121" s="1856"/>
    </row>
    <row r="122" spans="1:11">
      <c r="C122" s="10"/>
      <c r="D122" s="149"/>
      <c r="E122" s="149"/>
      <c r="F122" s="149"/>
    </row>
    <row r="123" spans="1:11" customFormat="1" ht="14.4">
      <c r="A123" s="261"/>
      <c r="B123" s="674" t="s">
        <v>316</v>
      </c>
      <c r="C123" s="10"/>
      <c r="D123" s="1858" t="s">
        <v>1263</v>
      </c>
      <c r="E123" s="1858"/>
      <c r="F123" s="1858"/>
      <c r="G123" s="149"/>
    </row>
    <row r="124" spans="1:11" s="296" customFormat="1" ht="13.8" customHeight="1">
      <c r="A124" s="293"/>
      <c r="B124" s="293"/>
      <c r="C124" s="294"/>
      <c r="D124" s="1858"/>
      <c r="E124" s="1858"/>
      <c r="F124" s="1858"/>
      <c r="G124" s="295"/>
    </row>
    <row r="125" spans="1:11" customFormat="1" ht="13.8" customHeight="1">
      <c r="A125" s="132"/>
      <c r="B125" s="671"/>
      <c r="C125" s="10"/>
      <c r="D125" s="1858"/>
      <c r="E125" s="1858"/>
      <c r="F125" s="1858"/>
      <c r="G125" s="149"/>
    </row>
    <row r="126" spans="1:11" customFormat="1" ht="13.8" customHeight="1">
      <c r="A126" s="132"/>
      <c r="B126" s="671"/>
      <c r="C126" s="10"/>
      <c r="D126" s="1858"/>
      <c r="E126" s="1858"/>
      <c r="F126" s="1858"/>
      <c r="G126" s="149"/>
    </row>
    <row r="127" spans="1:11" customFormat="1" ht="13.8" customHeight="1">
      <c r="A127" s="132"/>
      <c r="B127" s="671"/>
      <c r="C127" s="10"/>
      <c r="D127" s="1858"/>
      <c r="E127" s="1858"/>
      <c r="F127" s="1858"/>
      <c r="G127" s="149"/>
    </row>
    <row r="128" spans="1:11" customFormat="1" ht="13.8" customHeight="1">
      <c r="A128" s="373"/>
      <c r="B128" s="373"/>
      <c r="C128" s="10"/>
      <c r="D128" s="1858"/>
      <c r="E128" s="1858"/>
      <c r="F128" s="1858"/>
      <c r="G128" s="149"/>
    </row>
    <row r="129" spans="1:7" s="2" customFormat="1" ht="13.8" customHeight="1">
      <c r="A129" s="273"/>
      <c r="B129" s="273"/>
      <c r="C129" s="437"/>
      <c r="D129" s="1858"/>
      <c r="E129" s="1858"/>
      <c r="F129" s="1858"/>
      <c r="G129" s="182"/>
    </row>
    <row r="130" spans="1:7" s="2" customFormat="1" ht="13.8" customHeight="1">
      <c r="A130" s="273"/>
      <c r="B130" s="273"/>
      <c r="C130" s="437"/>
      <c r="D130" s="1858"/>
      <c r="E130" s="1858"/>
      <c r="F130" s="1858"/>
      <c r="G130" s="182"/>
    </row>
    <row r="131" spans="1:7" customFormat="1" ht="13.8" customHeight="1">
      <c r="A131" s="132"/>
      <c r="B131" s="671"/>
      <c r="C131" s="10"/>
      <c r="D131" s="1858"/>
      <c r="E131" s="1858"/>
      <c r="F131" s="1858"/>
      <c r="G131" s="149"/>
    </row>
    <row r="132" spans="1:7" customFormat="1" ht="13.8" customHeight="1">
      <c r="A132" s="132"/>
      <c r="B132" s="671"/>
      <c r="C132" s="10"/>
      <c r="D132" s="1858"/>
      <c r="E132" s="1858"/>
      <c r="F132" s="1858"/>
      <c r="G132" s="149"/>
    </row>
    <row r="133" spans="1:7" customFormat="1" ht="13.8" customHeight="1">
      <c r="A133" s="132"/>
      <c r="B133" s="671"/>
      <c r="C133" s="10"/>
      <c r="D133" s="1858"/>
      <c r="E133" s="1858"/>
      <c r="F133" s="1858"/>
      <c r="G133" s="149"/>
    </row>
    <row r="134" spans="1:7" customFormat="1" ht="13.8" customHeight="1">
      <c r="A134" s="132"/>
      <c r="B134" s="671"/>
      <c r="C134" s="10"/>
      <c r="D134" s="1858"/>
      <c r="E134" s="1858"/>
      <c r="F134" s="1858"/>
      <c r="G134" s="149"/>
    </row>
    <row r="135" spans="1:7" customFormat="1" ht="13.8" customHeight="1">
      <c r="A135" s="132"/>
      <c r="B135" s="671"/>
      <c r="C135" s="10"/>
      <c r="D135" s="326"/>
      <c r="E135" s="151"/>
      <c r="F135" s="151"/>
      <c r="G135" s="149"/>
    </row>
    <row r="136" spans="1:7" s="712" customFormat="1" ht="13.8" customHeight="1">
      <c r="A136" s="700"/>
      <c r="B136" s="713" t="s">
        <v>316</v>
      </c>
      <c r="C136" s="10"/>
      <c r="D136" s="1856" t="s">
        <v>1371</v>
      </c>
      <c r="E136" s="1856"/>
      <c r="F136" s="1856"/>
      <c r="G136" s="149"/>
    </row>
    <row r="137" spans="1:7" s="712" customFormat="1" ht="13.8" customHeight="1">
      <c r="A137" s="700"/>
      <c r="B137" s="700"/>
      <c r="C137" s="10"/>
      <c r="D137" s="1856"/>
      <c r="E137" s="1856"/>
      <c r="F137" s="1856"/>
      <c r="G137" s="149"/>
    </row>
    <row r="138" spans="1:7" s="712" customFormat="1" ht="13.8" customHeight="1">
      <c r="A138" s="700"/>
      <c r="B138" s="700"/>
      <c r="C138" s="10"/>
      <c r="D138" s="1856"/>
      <c r="E138" s="1856"/>
      <c r="F138" s="1856"/>
      <c r="G138" s="149"/>
    </row>
    <row r="139" spans="1:7" s="712" customFormat="1" ht="13.8" customHeight="1">
      <c r="A139" s="700"/>
      <c r="B139" s="700"/>
      <c r="C139" s="10"/>
      <c r="D139" s="1856"/>
      <c r="E139" s="1856"/>
      <c r="F139" s="1856"/>
      <c r="G139" s="149"/>
    </row>
    <row r="140" spans="1:7" s="712" customFormat="1" ht="13.8" customHeight="1">
      <c r="A140" s="700"/>
      <c r="B140" s="700"/>
      <c r="C140" s="10"/>
      <c r="D140" s="1856"/>
      <c r="E140" s="1856"/>
      <c r="F140" s="1856"/>
      <c r="G140" s="149"/>
    </row>
    <row r="141" spans="1:7" s="712" customFormat="1" ht="13.8" customHeight="1">
      <c r="A141" s="700"/>
      <c r="B141" s="700"/>
      <c r="C141" s="10"/>
      <c r="D141" s="1856"/>
      <c r="E141" s="1856"/>
      <c r="F141" s="1856"/>
      <c r="G141" s="149"/>
    </row>
    <row r="142" spans="1:7" s="712" customFormat="1" ht="13.8" customHeight="1">
      <c r="A142" s="700"/>
      <c r="B142" s="700"/>
      <c r="C142" s="10"/>
      <c r="D142" s="1856"/>
      <c r="E142" s="1856"/>
      <c r="F142" s="1856"/>
      <c r="G142" s="149"/>
    </row>
    <row r="143" spans="1:7" s="712" customFormat="1" ht="13.8" customHeight="1">
      <c r="A143" s="700"/>
      <c r="B143" s="700"/>
      <c r="C143" s="10"/>
      <c r="D143" s="1856"/>
      <c r="E143" s="1856"/>
      <c r="F143" s="1856"/>
      <c r="G143" s="149"/>
    </row>
    <row r="144" spans="1:7" s="712" customFormat="1" ht="13.8" customHeight="1">
      <c r="A144" s="700"/>
      <c r="B144" s="700"/>
      <c r="C144" s="10"/>
      <c r="D144" s="1856"/>
      <c r="E144" s="1856"/>
      <c r="F144" s="1856"/>
      <c r="G144" s="149"/>
    </row>
    <row r="145" spans="1:7" s="712" customFormat="1" ht="13.8" customHeight="1">
      <c r="A145" s="700"/>
      <c r="B145" s="700"/>
      <c r="C145" s="10"/>
      <c r="D145" s="1856"/>
      <c r="E145" s="1856"/>
      <c r="F145" s="1856"/>
      <c r="G145" s="149"/>
    </row>
    <row r="146" spans="1:7" s="712" customFormat="1" ht="13.8" customHeight="1">
      <c r="A146" s="742"/>
      <c r="B146" s="742"/>
      <c r="C146" s="10"/>
      <c r="D146" s="1856"/>
      <c r="E146" s="1856"/>
      <c r="F146" s="1856"/>
      <c r="G146" s="149"/>
    </row>
    <row r="147" spans="1:7" s="712" customFormat="1" ht="13.8" customHeight="1">
      <c r="A147" s="742"/>
      <c r="B147" s="742"/>
      <c r="C147" s="10"/>
      <c r="D147" s="1856"/>
      <c r="E147" s="1856"/>
      <c r="F147" s="1856"/>
      <c r="G147" s="149"/>
    </row>
    <row r="148" spans="1:7" s="712" customFormat="1" ht="13.8" customHeight="1">
      <c r="A148" s="700"/>
      <c r="B148" s="700"/>
      <c r="C148" s="10"/>
      <c r="D148" s="1856"/>
      <c r="E148" s="1856"/>
      <c r="F148" s="1856"/>
      <c r="G148" s="149"/>
    </row>
    <row r="149" spans="1:7" s="712" customFormat="1" ht="13.8" customHeight="1">
      <c r="A149" s="700"/>
      <c r="B149" s="700"/>
      <c r="C149" s="10"/>
      <c r="D149" s="1856"/>
      <c r="E149" s="1856"/>
      <c r="F149" s="1856"/>
      <c r="G149" s="149"/>
    </row>
    <row r="150" spans="1:7" s="712" customFormat="1" ht="13.8" customHeight="1">
      <c r="A150" s="700"/>
      <c r="B150" s="700"/>
      <c r="C150" s="10"/>
      <c r="D150" s="1856"/>
      <c r="E150" s="1856"/>
      <c r="F150" s="1856"/>
      <c r="G150" s="149"/>
    </row>
    <row r="151" spans="1:7" s="712" customFormat="1" ht="13.8" customHeight="1">
      <c r="A151" s="700"/>
      <c r="B151" s="700"/>
      <c r="C151" s="10"/>
      <c r="D151" s="1856"/>
      <c r="E151" s="1856"/>
      <c r="F151" s="1856"/>
      <c r="G151" s="149"/>
    </row>
    <row r="152" spans="1:7" s="712" customFormat="1" ht="13.8" customHeight="1">
      <c r="A152" s="700"/>
      <c r="B152" s="700"/>
      <c r="C152" s="10"/>
      <c r="D152" s="1856"/>
      <c r="E152" s="1856"/>
      <c r="F152" s="1856"/>
      <c r="G152" s="149"/>
    </row>
    <row r="153" spans="1:7" s="712" customFormat="1" ht="13.8" customHeight="1">
      <c r="A153" s="700"/>
      <c r="B153" s="700"/>
      <c r="C153" s="10"/>
      <c r="D153" s="1856"/>
      <c r="E153" s="1856"/>
      <c r="F153" s="1856"/>
      <c r="G153" s="149"/>
    </row>
    <row r="154" spans="1:7" s="712" customFormat="1" ht="13.8" customHeight="1">
      <c r="A154" s="700"/>
      <c r="B154" s="700"/>
      <c r="C154" s="10"/>
      <c r="D154" s="1856"/>
      <c r="E154" s="1856"/>
      <c r="F154" s="1856"/>
      <c r="G154" s="149"/>
    </row>
    <row r="155" spans="1:7" s="712" customFormat="1" ht="13.8" customHeight="1">
      <c r="A155" s="700"/>
      <c r="B155" s="700"/>
      <c r="C155" s="10"/>
      <c r="D155" s="326"/>
      <c r="E155" s="151"/>
      <c r="F155" s="151"/>
      <c r="G155" s="149"/>
    </row>
    <row r="156" spans="1:7" customFormat="1" ht="13.8" customHeight="1">
      <c r="A156" s="373"/>
      <c r="B156" s="674" t="s">
        <v>316</v>
      </c>
      <c r="C156" s="324"/>
      <c r="D156" s="1916" t="s">
        <v>1264</v>
      </c>
      <c r="E156" s="1916"/>
      <c r="F156" s="1916"/>
      <c r="G156" s="439"/>
    </row>
    <row r="157" spans="1:7" customFormat="1" ht="13.8" customHeight="1">
      <c r="A157" s="373"/>
      <c r="B157" s="373"/>
      <c r="C157" s="324"/>
      <c r="D157" s="1916"/>
      <c r="E157" s="1916"/>
      <c r="F157" s="1916"/>
      <c r="G157" s="439"/>
    </row>
    <row r="158" spans="1:7" customFormat="1" ht="13.8" customHeight="1">
      <c r="A158" s="373"/>
      <c r="B158" s="373"/>
      <c r="C158" s="324"/>
      <c r="D158" s="326"/>
      <c r="E158" s="324"/>
      <c r="F158" s="324"/>
      <c r="G158" s="439"/>
    </row>
    <row r="159" spans="1:7" customFormat="1" ht="13.8" customHeight="1">
      <c r="A159" s="373"/>
      <c r="B159" s="674" t="s">
        <v>316</v>
      </c>
      <c r="C159" s="324"/>
      <c r="D159" s="1859" t="s">
        <v>1265</v>
      </c>
      <c r="E159" s="1859"/>
      <c r="F159" s="1859"/>
      <c r="G159" s="439"/>
    </row>
    <row r="160" spans="1:7" customFormat="1" ht="13.8" customHeight="1">
      <c r="A160" s="373"/>
      <c r="B160" s="373"/>
      <c r="C160" s="324"/>
      <c r="D160" s="1859"/>
      <c r="E160" s="1859"/>
      <c r="F160" s="1859"/>
      <c r="G160" s="439"/>
    </row>
    <row r="161" spans="1:7" customFormat="1" ht="13.8" customHeight="1">
      <c r="A161" s="373"/>
      <c r="B161" s="373"/>
      <c r="C161" s="324"/>
      <c r="D161" s="1859"/>
      <c r="E161" s="1859"/>
      <c r="F161" s="1859"/>
      <c r="G161" s="439"/>
    </row>
    <row r="162" spans="1:7" customFormat="1" ht="13.8" customHeight="1">
      <c r="A162" s="373"/>
      <c r="B162" s="373"/>
      <c r="C162" s="324"/>
      <c r="D162" s="1859"/>
      <c r="E162" s="1859"/>
      <c r="F162" s="1859"/>
      <c r="G162" s="439"/>
    </row>
    <row r="163" spans="1:7" customFormat="1" ht="13.8" customHeight="1">
      <c r="A163" s="132"/>
      <c r="B163" s="671"/>
      <c r="C163" s="10"/>
      <c r="D163" s="151"/>
      <c r="E163" s="151"/>
      <c r="F163" s="151"/>
      <c r="G163" s="149"/>
    </row>
    <row r="164" spans="1:7" customFormat="1" ht="13.8" customHeight="1">
      <c r="A164" s="132"/>
      <c r="B164" s="674" t="s">
        <v>316</v>
      </c>
      <c r="C164" s="10"/>
      <c r="D164" s="1904" t="s">
        <v>1266</v>
      </c>
      <c r="E164" s="1904"/>
      <c r="F164" s="1904"/>
      <c r="G164" s="149"/>
    </row>
    <row r="165" spans="1:7" customFormat="1" ht="13.8" customHeight="1">
      <c r="A165" s="132"/>
      <c r="B165" s="671"/>
      <c r="C165" s="10"/>
      <c r="D165" s="1904"/>
      <c r="E165" s="1904"/>
      <c r="F165" s="1904"/>
      <c r="G165" s="149"/>
    </row>
    <row r="166" spans="1:7" customFormat="1" ht="13.8" customHeight="1">
      <c r="A166" s="132"/>
      <c r="B166" s="671"/>
      <c r="C166" s="10"/>
      <c r="D166" s="1904"/>
      <c r="E166" s="1904"/>
      <c r="F166" s="1904"/>
      <c r="G166" s="149"/>
    </row>
    <row r="167" spans="1:7" customFormat="1" ht="13.8" customHeight="1">
      <c r="A167" s="23"/>
      <c r="B167" s="670"/>
      <c r="C167" s="10"/>
      <c r="D167" s="7"/>
      <c r="E167" s="151"/>
      <c r="F167" s="151"/>
      <c r="G167" s="149"/>
    </row>
    <row r="168" spans="1:7">
      <c r="A168" s="1882" t="s">
        <v>1160</v>
      </c>
      <c r="B168" s="1882"/>
      <c r="C168" s="1882"/>
      <c r="D168" s="1882"/>
      <c r="E168" s="1882"/>
      <c r="F168" s="1882"/>
      <c r="G168" s="1882"/>
    </row>
    <row r="169" spans="1:7" ht="12" customHeight="1">
      <c r="D169" s="135"/>
      <c r="E169" s="135"/>
      <c r="F169" s="135"/>
    </row>
    <row r="170" spans="1:7">
      <c r="B170" s="1878" t="s">
        <v>470</v>
      </c>
      <c r="C170" s="1878"/>
      <c r="D170" s="1878"/>
      <c r="E170" s="1878"/>
      <c r="F170" s="1878"/>
    </row>
    <row r="171" spans="1:7" ht="12" customHeight="1">
      <c r="A171" s="255"/>
      <c r="B171" s="668"/>
      <c r="C171" s="255"/>
    </row>
    <row r="172" spans="1:7">
      <c r="A172" s="1882" t="s">
        <v>1161</v>
      </c>
      <c r="B172" s="1882"/>
      <c r="C172" s="1882"/>
      <c r="D172" s="1882"/>
      <c r="E172" s="1882"/>
      <c r="F172" s="1882"/>
      <c r="G172" s="1882"/>
    </row>
    <row r="173" spans="1:7" ht="12" customHeight="1">
      <c r="A173" s="264"/>
      <c r="B173" s="264"/>
      <c r="C173" s="265"/>
      <c r="D173" s="57"/>
      <c r="E173" s="49"/>
      <c r="F173" s="57"/>
      <c r="G173" s="57"/>
    </row>
    <row r="174" spans="1:7" ht="13.2" customHeight="1">
      <c r="A174" s="264"/>
      <c r="B174" s="264"/>
      <c r="C174" s="265"/>
      <c r="D174" s="1918" t="s">
        <v>1269</v>
      </c>
      <c r="E174" s="1918"/>
      <c r="F174" s="1918"/>
      <c r="G174" s="57"/>
    </row>
    <row r="175" spans="1:7">
      <c r="A175" s="264"/>
      <c r="B175" s="264"/>
      <c r="C175" s="265"/>
      <c r="D175" s="1918"/>
      <c r="E175" s="1918"/>
      <c r="F175" s="1918"/>
      <c r="G175" s="57"/>
    </row>
    <row r="176" spans="1:7" s="714" customFormat="1">
      <c r="A176" s="716"/>
      <c r="B176" s="716"/>
      <c r="C176" s="265"/>
      <c r="D176" s="1919" t="s">
        <v>1270</v>
      </c>
      <c r="E176" s="1919"/>
      <c r="F176" s="1919"/>
      <c r="G176" s="57"/>
    </row>
    <row r="177" spans="1:7" ht="12" customHeight="1">
      <c r="A177" s="264"/>
      <c r="B177" s="264"/>
      <c r="C177" s="265"/>
      <c r="D177" s="57"/>
      <c r="E177" s="49"/>
      <c r="F177" s="57"/>
      <c r="G177" s="57"/>
    </row>
    <row r="178" spans="1:7" ht="14.4">
      <c r="A178" s="261"/>
      <c r="B178" s="674" t="s">
        <v>316</v>
      </c>
      <c r="C178" s="265"/>
      <c r="D178" s="1917" t="s">
        <v>1268</v>
      </c>
      <c r="E178" s="1917"/>
      <c r="F178" s="1917"/>
      <c r="G178" s="57"/>
    </row>
    <row r="179" spans="1:7" ht="14.4">
      <c r="A179" s="261"/>
      <c r="B179" s="261"/>
      <c r="C179" s="265"/>
      <c r="D179" s="1917"/>
      <c r="E179" s="1917"/>
      <c r="F179" s="1917"/>
      <c r="G179" s="57"/>
    </row>
    <row r="180" spans="1:7" ht="14.4">
      <c r="A180" s="261"/>
      <c r="B180" s="261"/>
      <c r="C180" s="265"/>
      <c r="D180" s="1917"/>
      <c r="E180" s="1917"/>
      <c r="F180" s="1917"/>
      <c r="G180" s="57"/>
    </row>
    <row r="181" spans="1:7">
      <c r="A181" s="265"/>
      <c r="B181" s="265"/>
      <c r="C181" s="265"/>
      <c r="D181" s="1917"/>
      <c r="E181" s="1917"/>
      <c r="F181" s="1917"/>
    </row>
    <row r="182" spans="1:7">
      <c r="A182" s="265"/>
      <c r="B182" s="265"/>
      <c r="C182" s="265"/>
      <c r="D182" s="399"/>
      <c r="E182" s="57"/>
      <c r="F182" s="57"/>
    </row>
    <row r="183" spans="1:7">
      <c r="A183" s="265"/>
      <c r="B183" s="265"/>
      <c r="C183" s="265"/>
      <c r="D183" s="1921" t="s">
        <v>1177</v>
      </c>
      <c r="E183" s="1921"/>
      <c r="F183" s="1921"/>
    </row>
    <row r="184" spans="1:7">
      <c r="A184" s="265"/>
      <c r="B184" s="265"/>
      <c r="C184" s="265"/>
      <c r="D184" s="1921"/>
      <c r="E184" s="1921"/>
      <c r="F184" s="1921"/>
    </row>
    <row r="185" spans="1:7" s="677" customFormat="1">
      <c r="A185" s="265"/>
      <c r="B185" s="265"/>
      <c r="C185" s="265"/>
      <c r="D185" s="691"/>
      <c r="E185" s="691"/>
      <c r="F185" s="691"/>
      <c r="G185" s="7"/>
    </row>
    <row r="186" spans="1:7" s="672" customFormat="1" ht="14.4">
      <c r="A186" s="261"/>
      <c r="B186" s="674" t="s">
        <v>316</v>
      </c>
      <c r="C186" s="552"/>
      <c r="D186" s="1856" t="s">
        <v>1267</v>
      </c>
      <c r="E186" s="1856"/>
      <c r="F186" s="1856"/>
      <c r="G186" s="673"/>
    </row>
    <row r="187" spans="1:7" s="672" customFormat="1" ht="14.55" customHeight="1">
      <c r="A187" s="261"/>
      <c r="C187" s="552"/>
      <c r="D187" s="1856"/>
      <c r="E187" s="1856"/>
      <c r="F187" s="1856"/>
      <c r="G187" s="673"/>
    </row>
    <row r="188" spans="1:7" s="672" customFormat="1" ht="14.4">
      <c r="A188" s="261"/>
      <c r="B188" s="692"/>
      <c r="C188" s="552"/>
      <c r="D188" s="1856"/>
      <c r="E188" s="1856"/>
      <c r="F188" s="1856"/>
      <c r="G188" s="673"/>
    </row>
    <row r="189" spans="1:7" s="672" customFormat="1" ht="14.4">
      <c r="A189" s="261"/>
      <c r="B189" s="692"/>
      <c r="C189" s="552"/>
      <c r="D189" s="1856"/>
      <c r="E189" s="1856"/>
      <c r="F189" s="1856"/>
      <c r="G189" s="673"/>
    </row>
    <row r="190" spans="1:7" s="677" customFormat="1">
      <c r="A190" s="265"/>
      <c r="B190" s="265"/>
      <c r="C190" s="265"/>
      <c r="D190" s="691"/>
      <c r="E190" s="691"/>
      <c r="F190" s="691"/>
      <c r="G190" s="7"/>
    </row>
    <row r="191" spans="1:7">
      <c r="A191" s="1882" t="s">
        <v>1162</v>
      </c>
      <c r="B191" s="1882"/>
      <c r="C191" s="1882"/>
      <c r="D191" s="1882"/>
      <c r="E191" s="1882"/>
      <c r="F191" s="1882"/>
      <c r="G191" s="1882"/>
    </row>
    <row r="192" spans="1:7" ht="12" customHeight="1">
      <c r="D192" s="135"/>
      <c r="E192" s="135"/>
      <c r="F192" s="135"/>
    </row>
    <row r="193" spans="1:6">
      <c r="C193" s="262"/>
      <c r="D193" s="1920" t="s">
        <v>214</v>
      </c>
      <c r="E193" s="1920"/>
      <c r="F193" s="1920"/>
    </row>
    <row r="194" spans="1:6">
      <c r="A194" s="255"/>
      <c r="B194" s="668"/>
      <c r="C194" s="255"/>
      <c r="D194" s="1888" t="s">
        <v>1291</v>
      </c>
      <c r="E194" s="1889"/>
      <c r="F194" s="1889"/>
    </row>
    <row r="195" spans="1:6" ht="12" customHeight="1">
      <c r="A195" s="23"/>
      <c r="B195" s="670"/>
      <c r="C195" s="23"/>
    </row>
    <row r="196" spans="1:6" ht="13.2" customHeight="1">
      <c r="A196" s="23"/>
      <c r="C196" s="23"/>
      <c r="D196" s="1880" t="s">
        <v>579</v>
      </c>
      <c r="E196" s="1880"/>
      <c r="F196" s="1880"/>
    </row>
    <row r="197" spans="1:6" ht="14.4">
      <c r="A197" s="261"/>
      <c r="B197" s="674" t="s">
        <v>316</v>
      </c>
      <c r="D197" s="1856" t="s">
        <v>1285</v>
      </c>
      <c r="E197" s="1856"/>
      <c r="F197" s="1856"/>
    </row>
    <row r="198" spans="1:6" ht="14.4">
      <c r="A198" s="261"/>
      <c r="B198" s="261"/>
      <c r="D198" s="1856"/>
      <c r="E198" s="1856"/>
      <c r="F198" s="1856"/>
    </row>
    <row r="199" spans="1:6"/>
    <row r="200" spans="1:6" ht="14.4">
      <c r="A200" s="261"/>
      <c r="B200" s="674" t="s">
        <v>316</v>
      </c>
      <c r="D200" s="1856" t="s">
        <v>1286</v>
      </c>
      <c r="E200" s="1856"/>
      <c r="F200" s="1856"/>
    </row>
    <row r="201" spans="1:6" ht="14.4">
      <c r="A201" s="261"/>
      <c r="B201" s="261"/>
      <c r="D201" s="1856"/>
      <c r="E201" s="1856"/>
      <c r="F201" s="1856"/>
    </row>
    <row r="202" spans="1:6" ht="14.4">
      <c r="A202" s="261"/>
      <c r="B202" s="261"/>
      <c r="D202" s="1856"/>
      <c r="E202" s="1856"/>
      <c r="F202" s="1856"/>
    </row>
    <row r="203" spans="1:6" ht="5.25" customHeight="1">
      <c r="A203" s="261"/>
      <c r="B203" s="261"/>
      <c r="D203" s="151"/>
      <c r="E203" s="135"/>
      <c r="F203" s="135"/>
    </row>
    <row r="204" spans="1:6" ht="14.4">
      <c r="A204" s="261"/>
      <c r="B204" s="261"/>
      <c r="D204" s="1856" t="s">
        <v>1287</v>
      </c>
      <c r="E204" s="1856"/>
      <c r="F204" s="1856"/>
    </row>
    <row r="205" spans="1:6" ht="14.4">
      <c r="A205" s="261"/>
      <c r="B205" s="261"/>
      <c r="D205" s="1856"/>
      <c r="E205" s="1856"/>
      <c r="F205" s="1856"/>
    </row>
    <row r="206" spans="1:6" ht="14.4">
      <c r="A206" s="261"/>
      <c r="B206" s="261"/>
      <c r="D206" s="1856"/>
      <c r="E206" s="1856"/>
      <c r="F206" s="1856"/>
    </row>
    <row r="207" spans="1:6" ht="14.4">
      <c r="A207" s="261"/>
      <c r="B207" s="261"/>
      <c r="D207" s="1856"/>
      <c r="E207" s="1856"/>
      <c r="F207" s="1856"/>
    </row>
    <row r="208" spans="1:6" ht="14.4">
      <c r="A208" s="261"/>
      <c r="B208" s="261"/>
      <c r="D208" s="1856"/>
      <c r="E208" s="1856"/>
      <c r="F208" s="1856"/>
    </row>
    <row r="209" spans="1:7" ht="14.4">
      <c r="A209" s="261"/>
      <c r="B209" s="261"/>
      <c r="D209" s="135"/>
      <c r="E209" s="135"/>
      <c r="F209" s="135"/>
    </row>
    <row r="210" spans="1:7" ht="14.4">
      <c r="A210" s="261"/>
      <c r="B210" s="674" t="s">
        <v>316</v>
      </c>
      <c r="D210" s="1877" t="s">
        <v>1288</v>
      </c>
      <c r="E210" s="1877"/>
      <c r="F210" s="1877"/>
    </row>
    <row r="211" spans="1:7" ht="14.4">
      <c r="A211" s="261"/>
      <c r="B211" s="261"/>
      <c r="D211" s="1877"/>
      <c r="E211" s="1877"/>
      <c r="F211" s="1877"/>
    </row>
    <row r="212" spans="1:7" ht="14.4">
      <c r="A212" s="261"/>
      <c r="B212" s="261"/>
      <c r="D212" s="1878" t="s">
        <v>961</v>
      </c>
      <c r="E212" s="1878"/>
      <c r="F212" s="1878"/>
    </row>
    <row r="213" spans="1:7" ht="14.4">
      <c r="A213" s="261"/>
      <c r="B213" s="261"/>
      <c r="D213" s="135"/>
      <c r="E213" s="135"/>
      <c r="F213" s="135"/>
    </row>
    <row r="214" spans="1:7" ht="14.55" customHeight="1">
      <c r="A214" s="261"/>
      <c r="B214" s="674" t="s">
        <v>316</v>
      </c>
      <c r="D214" s="1877" t="s">
        <v>1290</v>
      </c>
      <c r="E214" s="1877"/>
      <c r="F214" s="1877"/>
    </row>
    <row r="215" spans="1:7" ht="14.4">
      <c r="A215" s="261"/>
      <c r="B215" s="261"/>
      <c r="D215" s="1877"/>
      <c r="E215" s="1877"/>
      <c r="F215" s="1877"/>
    </row>
    <row r="216" spans="1:7" ht="14.4">
      <c r="A216" s="261"/>
      <c r="B216" s="261"/>
      <c r="D216" s="1877"/>
      <c r="E216" s="1877"/>
      <c r="F216" s="1877"/>
    </row>
    <row r="217" spans="1:7" ht="14.4">
      <c r="A217" s="261"/>
      <c r="B217" s="261"/>
      <c r="D217" s="1877"/>
      <c r="E217" s="1877"/>
      <c r="F217" s="1877"/>
    </row>
    <row r="218" spans="1:7" ht="14.4">
      <c r="A218" s="261"/>
      <c r="B218" s="261"/>
      <c r="D218" s="1877"/>
      <c r="E218" s="1877"/>
      <c r="F218" s="1877"/>
    </row>
    <row r="219" spans="1:7">
      <c r="D219" s="135"/>
      <c r="E219" s="135"/>
      <c r="F219" s="135"/>
    </row>
    <row r="220" spans="1:7" ht="14.4">
      <c r="A220" s="261"/>
      <c r="B220" s="674" t="s">
        <v>316</v>
      </c>
      <c r="D220" s="1856" t="s">
        <v>1289</v>
      </c>
      <c r="E220" s="1856"/>
      <c r="F220" s="1856"/>
    </row>
    <row r="221" spans="1:7" ht="14.4">
      <c r="A221" s="261"/>
      <c r="B221" s="261"/>
      <c r="D221" s="1856"/>
      <c r="E221" s="1856"/>
      <c r="F221" s="1856"/>
    </row>
    <row r="222" spans="1:7">
      <c r="D222" s="29"/>
    </row>
    <row r="223" spans="1:7">
      <c r="A223" s="1882" t="s">
        <v>1163</v>
      </c>
      <c r="B223" s="1882"/>
      <c r="C223" s="1882"/>
      <c r="D223" s="1882"/>
      <c r="E223" s="1882"/>
      <c r="F223" s="1882"/>
      <c r="G223" s="1882"/>
    </row>
    <row r="224" spans="1:7">
      <c r="D224" s="29"/>
    </row>
    <row r="225" spans="1:6">
      <c r="C225" s="262"/>
      <c r="D225" s="1880" t="s">
        <v>1292</v>
      </c>
      <c r="E225" s="1880"/>
      <c r="F225" s="1880"/>
    </row>
    <row r="226" spans="1:6">
      <c r="A226" s="255"/>
      <c r="B226" s="668"/>
      <c r="C226" s="255"/>
      <c r="D226" s="135"/>
      <c r="E226" s="135"/>
      <c r="F226" s="135"/>
    </row>
    <row r="227" spans="1:6">
      <c r="A227" s="260"/>
      <c r="B227" s="260"/>
      <c r="C227" s="260"/>
      <c r="D227" s="1880" t="s">
        <v>275</v>
      </c>
      <c r="E227" s="1880"/>
      <c r="F227" s="1880"/>
    </row>
    <row r="228" spans="1:6" ht="14.4">
      <c r="A228" s="261"/>
      <c r="B228" s="674" t="s">
        <v>316</v>
      </c>
      <c r="D228" s="1930" t="s">
        <v>1293</v>
      </c>
      <c r="E228" s="1930"/>
      <c r="F228" s="1930"/>
    </row>
    <row r="229" spans="1:6" ht="14.4">
      <c r="A229" s="261"/>
      <c r="B229" s="261"/>
      <c r="D229" s="1930"/>
      <c r="E229" s="1930"/>
      <c r="F229" s="1930"/>
    </row>
    <row r="230" spans="1:6">
      <c r="D230" s="135"/>
      <c r="E230" s="135"/>
      <c r="F230" s="135"/>
    </row>
    <row r="231" spans="1:6" ht="14.55" customHeight="1">
      <c r="A231" s="261"/>
      <c r="B231" s="674" t="s">
        <v>316</v>
      </c>
      <c r="D231" s="1877" t="s">
        <v>1294</v>
      </c>
      <c r="E231" s="1877"/>
      <c r="F231" s="1877"/>
    </row>
    <row r="232" spans="1:6">
      <c r="D232" s="1877"/>
      <c r="E232" s="1877"/>
      <c r="F232" s="1877"/>
    </row>
    <row r="233" spans="1:6">
      <c r="D233" s="1889" t="s">
        <v>952</v>
      </c>
      <c r="E233" s="1889"/>
      <c r="F233" s="1889"/>
    </row>
    <row r="234" spans="1:6">
      <c r="D234" s="135"/>
      <c r="E234" s="135"/>
      <c r="F234" s="135"/>
    </row>
    <row r="235" spans="1:6" ht="14.55" customHeight="1">
      <c r="A235" s="261"/>
      <c r="B235" s="674" t="s">
        <v>316</v>
      </c>
      <c r="D235" s="1877" t="s">
        <v>1296</v>
      </c>
      <c r="E235" s="1877"/>
      <c r="F235" s="1877"/>
    </row>
    <row r="236" spans="1:6">
      <c r="D236" s="1877"/>
      <c r="E236" s="1877"/>
      <c r="F236" s="1877"/>
    </row>
    <row r="237" spans="1:6">
      <c r="D237" s="1877"/>
      <c r="E237" s="1877"/>
      <c r="F237" s="1877"/>
    </row>
    <row r="238" spans="1:6">
      <c r="D238" s="1877"/>
      <c r="E238" s="1877"/>
      <c r="F238" s="1877"/>
    </row>
    <row r="239" spans="1:6">
      <c r="D239" s="1877"/>
      <c r="E239" s="1877"/>
      <c r="F239" s="1877"/>
    </row>
    <row r="240" spans="1:6">
      <c r="D240" s="135"/>
      <c r="E240" s="135"/>
      <c r="F240" s="135"/>
    </row>
    <row r="241" spans="1:7" ht="14.4">
      <c r="A241" s="261"/>
      <c r="B241" s="674" t="s">
        <v>316</v>
      </c>
      <c r="D241" s="1856" t="s">
        <v>1295</v>
      </c>
      <c r="E241" s="1856"/>
      <c r="F241" s="1856"/>
    </row>
    <row r="242" spans="1:7">
      <c r="D242" s="1856"/>
      <c r="E242" s="1856"/>
      <c r="F242" s="1856"/>
    </row>
    <row r="243" spans="1:7">
      <c r="D243" s="1856"/>
      <c r="E243" s="1856"/>
      <c r="F243" s="1856"/>
    </row>
    <row r="244" spans="1:7">
      <c r="D244" s="263"/>
      <c r="E244" s="135"/>
      <c r="F244" s="135"/>
    </row>
    <row r="245" spans="1:7">
      <c r="A245" s="1882" t="s">
        <v>1164</v>
      </c>
      <c r="B245" s="1882"/>
      <c r="C245" s="1882"/>
      <c r="D245" s="1882"/>
      <c r="E245" s="1882"/>
      <c r="F245" s="1882"/>
      <c r="G245" s="1882"/>
    </row>
    <row r="246" spans="1:7">
      <c r="D246" s="263"/>
      <c r="E246" s="135"/>
      <c r="F246" s="135"/>
    </row>
    <row r="247" spans="1:7">
      <c r="C247" s="255"/>
      <c r="D247" s="1898" t="s">
        <v>1297</v>
      </c>
      <c r="E247" s="1898"/>
      <c r="F247" s="1898"/>
    </row>
    <row r="248" spans="1:7">
      <c r="C248" s="255"/>
      <c r="D248" s="1898"/>
      <c r="E248" s="1898"/>
      <c r="F248" s="1898"/>
    </row>
    <row r="249" spans="1:7">
      <c r="A249" s="260"/>
      <c r="B249" s="260"/>
      <c r="C249" s="260"/>
      <c r="D249" s="5"/>
      <c r="E249" s="6"/>
      <c r="F249" s="6"/>
    </row>
    <row r="250" spans="1:7">
      <c r="C250" s="260"/>
      <c r="D250" s="1880" t="s">
        <v>215</v>
      </c>
      <c r="E250" s="1880"/>
      <c r="F250" s="1880"/>
    </row>
    <row r="251" spans="1:7" ht="15.75" customHeight="1">
      <c r="A251" s="261"/>
      <c r="B251" s="261"/>
      <c r="D251" s="1886" t="s">
        <v>1298</v>
      </c>
      <c r="E251" s="1886"/>
      <c r="F251" s="1886"/>
    </row>
    <row r="252" spans="1:7">
      <c r="E252" s="135"/>
      <c r="F252" s="135"/>
    </row>
    <row r="253" spans="1:7" ht="14.4">
      <c r="A253" s="261"/>
      <c r="B253" s="674" t="s">
        <v>316</v>
      </c>
      <c r="D253" s="1856" t="s">
        <v>1299</v>
      </c>
      <c r="E253" s="1856"/>
      <c r="F253" s="1856"/>
    </row>
    <row r="254" spans="1:7" ht="14.4">
      <c r="A254" s="261"/>
      <c r="B254" s="261"/>
      <c r="D254" s="1856"/>
      <c r="E254" s="1856"/>
      <c r="F254" s="1856"/>
    </row>
    <row r="255" spans="1:7">
      <c r="D255" s="135"/>
      <c r="E255" s="135"/>
      <c r="F255" s="135"/>
    </row>
    <row r="256" spans="1:7" ht="14.4">
      <c r="A256" s="261"/>
      <c r="B256" s="674" t="s">
        <v>316</v>
      </c>
      <c r="D256" s="1877" t="s">
        <v>1300</v>
      </c>
      <c r="E256" s="1877"/>
      <c r="F256" s="1877"/>
    </row>
    <row r="257" spans="1:7" ht="14.4">
      <c r="A257" s="261"/>
      <c r="B257" s="261"/>
      <c r="D257" s="1877"/>
      <c r="E257" s="1877"/>
      <c r="F257" s="1877"/>
    </row>
    <row r="258" spans="1:7" ht="14.4">
      <c r="A258" s="261"/>
      <c r="B258" s="261"/>
      <c r="D258" s="1877"/>
      <c r="E258" s="1877"/>
      <c r="F258" s="1877"/>
    </row>
    <row r="259" spans="1:7">
      <c r="D259" s="135"/>
      <c r="E259" s="135"/>
      <c r="F259" s="135"/>
    </row>
    <row r="260" spans="1:7" ht="14.4">
      <c r="A260" s="261"/>
      <c r="B260" s="674" t="s">
        <v>316</v>
      </c>
      <c r="D260" s="1856" t="s">
        <v>1301</v>
      </c>
      <c r="E260" s="1856"/>
      <c r="F260" s="1856"/>
    </row>
    <row r="261" spans="1:7" ht="14.4">
      <c r="A261" s="261"/>
      <c r="B261" s="261"/>
      <c r="D261" s="1856"/>
      <c r="E261" s="1856"/>
      <c r="F261" s="1856"/>
    </row>
    <row r="262" spans="1:7">
      <c r="A262" s="23"/>
      <c r="B262" s="670"/>
      <c r="E262" s="135"/>
      <c r="F262" s="135"/>
    </row>
    <row r="263" spans="1:7">
      <c r="A263" s="1882" t="s">
        <v>1165</v>
      </c>
      <c r="B263" s="1882"/>
      <c r="C263" s="1882"/>
      <c r="D263" s="1882"/>
      <c r="E263" s="1882"/>
      <c r="F263" s="1882"/>
      <c r="G263" s="1882"/>
    </row>
    <row r="264" spans="1:7">
      <c r="A264" s="23"/>
      <c r="B264" s="670"/>
      <c r="D264" s="135"/>
      <c r="E264" s="135"/>
      <c r="F264" s="135"/>
    </row>
    <row r="265" spans="1:7">
      <c r="C265" s="23"/>
      <c r="D265" s="1880" t="s">
        <v>719</v>
      </c>
      <c r="E265" s="1880"/>
      <c r="F265" s="1880"/>
    </row>
    <row r="266" spans="1:7">
      <c r="C266" s="23"/>
      <c r="D266" s="1881" t="s">
        <v>1302</v>
      </c>
      <c r="E266" s="1881"/>
      <c r="F266" s="1881"/>
    </row>
    <row r="267" spans="1:7">
      <c r="C267" s="23"/>
      <c r="D267" s="259"/>
    </row>
    <row r="268" spans="1:7">
      <c r="A268" s="273"/>
      <c r="B268" s="674" t="s">
        <v>316</v>
      </c>
      <c r="D268" s="1881" t="s">
        <v>1303</v>
      </c>
      <c r="E268" s="1881"/>
      <c r="F268" s="1881"/>
    </row>
    <row r="269" spans="1:7" s="39" customFormat="1" ht="14.4">
      <c r="A269" s="398"/>
      <c r="B269" s="398"/>
      <c r="C269" s="273"/>
      <c r="D269" s="492"/>
      <c r="E269" s="493"/>
      <c r="F269" s="493"/>
      <c r="G269" s="130"/>
    </row>
    <row r="270" spans="1:7" s="39" customFormat="1" ht="13.2" customHeight="1">
      <c r="A270" s="273"/>
      <c r="B270" s="674" t="s">
        <v>316</v>
      </c>
      <c r="C270" s="273"/>
      <c r="D270" s="1931" t="s">
        <v>1304</v>
      </c>
      <c r="E270" s="1931"/>
      <c r="F270" s="1931"/>
      <c r="G270" s="130"/>
    </row>
    <row r="271" spans="1:7" s="39" customFormat="1" ht="14.4">
      <c r="A271" s="398"/>
      <c r="B271" s="398"/>
      <c r="C271" s="273"/>
      <c r="D271" s="1931"/>
      <c r="E271" s="1931"/>
      <c r="F271" s="1931"/>
      <c r="G271" s="130"/>
    </row>
    <row r="272" spans="1:7" s="39" customFormat="1" ht="14.4">
      <c r="A272" s="398"/>
      <c r="B272" s="398"/>
      <c r="C272" s="273"/>
      <c r="D272" s="1931"/>
      <c r="E272" s="1931"/>
      <c r="F272" s="1931"/>
      <c r="G272" s="130"/>
    </row>
    <row r="273" spans="1:7" s="39" customFormat="1" ht="14.4">
      <c r="A273" s="398"/>
      <c r="B273" s="398"/>
      <c r="C273" s="273"/>
      <c r="D273" s="1931"/>
      <c r="E273" s="1931"/>
      <c r="F273" s="1931"/>
      <c r="G273" s="130"/>
    </row>
    <row r="274" spans="1:7" s="39" customFormat="1" ht="14.4">
      <c r="A274" s="398"/>
      <c r="B274" s="398"/>
      <c r="C274" s="273"/>
      <c r="D274" s="1931"/>
      <c r="E274" s="1931"/>
      <c r="F274" s="1931"/>
      <c r="G274" s="130"/>
    </row>
    <row r="275" spans="1:7" s="39" customFormat="1" ht="14.4">
      <c r="A275" s="398"/>
      <c r="B275" s="398"/>
      <c r="C275" s="273"/>
      <c r="D275" s="492"/>
      <c r="E275" s="493"/>
      <c r="F275" s="493"/>
      <c r="G275" s="130"/>
    </row>
    <row r="276" spans="1:7" s="39" customFormat="1" ht="13.2" customHeight="1">
      <c r="A276" s="273"/>
      <c r="B276" s="674" t="s">
        <v>316</v>
      </c>
      <c r="C276" s="273"/>
      <c r="D276" s="1931" t="s">
        <v>1305</v>
      </c>
      <c r="E276" s="1931"/>
      <c r="F276" s="1931"/>
      <c r="G276" s="130"/>
    </row>
    <row r="277" spans="1:7" s="39" customFormat="1">
      <c r="A277" s="273"/>
      <c r="B277" s="273"/>
      <c r="C277" s="273"/>
      <c r="D277" s="1931"/>
      <c r="E277" s="1931"/>
      <c r="F277" s="1931"/>
      <c r="G277" s="130"/>
    </row>
    <row r="278" spans="1:7" s="39" customFormat="1" ht="14.4">
      <c r="A278" s="398"/>
      <c r="B278" s="398"/>
      <c r="C278" s="273"/>
      <c r="D278" s="492"/>
      <c r="E278" s="493"/>
      <c r="F278" s="493"/>
      <c r="G278" s="130"/>
    </row>
    <row r="279" spans="1:7">
      <c r="A279" s="273"/>
      <c r="B279" s="674" t="s">
        <v>316</v>
      </c>
      <c r="D279" s="1881" t="s">
        <v>1306</v>
      </c>
      <c r="E279" s="1881"/>
      <c r="F279" s="1881"/>
    </row>
    <row r="280" spans="1:7">
      <c r="E280" s="135"/>
      <c r="F280" s="135"/>
    </row>
    <row r="281" spans="1:7" ht="14.4">
      <c r="A281" s="261"/>
      <c r="B281" s="674" t="s">
        <v>316</v>
      </c>
      <c r="D281" s="1877" t="s">
        <v>1307</v>
      </c>
      <c r="E281" s="1877"/>
      <c r="F281" s="1877"/>
    </row>
    <row r="282" spans="1:7" ht="14.4">
      <c r="A282" s="261"/>
      <c r="B282" s="261"/>
      <c r="D282" s="1877"/>
      <c r="E282" s="1877"/>
      <c r="F282" s="1877"/>
    </row>
    <row r="283" spans="1:7" s="714" customFormat="1" ht="14.4">
      <c r="A283" s="709"/>
      <c r="B283" s="709"/>
      <c r="C283" s="726"/>
      <c r="D283" s="1877"/>
      <c r="E283" s="1877"/>
      <c r="F283" s="1877"/>
      <c r="G283" s="7"/>
    </row>
    <row r="284" spans="1:7" s="714" customFormat="1" ht="14.4">
      <c r="A284" s="709"/>
      <c r="B284" s="709"/>
      <c r="C284" s="726"/>
      <c r="D284" s="1877"/>
      <c r="E284" s="1877"/>
      <c r="F284" s="1877"/>
      <c r="G284" s="7"/>
    </row>
    <row r="285" spans="1:7" s="714" customFormat="1" ht="14.4">
      <c r="A285" s="709"/>
      <c r="B285" s="709"/>
      <c r="C285" s="726"/>
      <c r="D285" s="1877"/>
      <c r="E285" s="1877"/>
      <c r="F285" s="1877"/>
      <c r="G285" s="7"/>
    </row>
    <row r="286" spans="1:7" s="714" customFormat="1" ht="14.4">
      <c r="A286" s="709"/>
      <c r="B286" s="709"/>
      <c r="C286" s="726"/>
      <c r="D286" s="1877"/>
      <c r="E286" s="1877"/>
      <c r="F286" s="1877"/>
      <c r="G286" s="7"/>
    </row>
    <row r="287" spans="1:7" s="714" customFormat="1" ht="14.4">
      <c r="A287" s="709"/>
      <c r="B287" s="709"/>
      <c r="C287" s="726"/>
      <c r="D287" s="1877"/>
      <c r="E287" s="1877"/>
      <c r="F287" s="1877"/>
      <c r="G287" s="7"/>
    </row>
    <row r="288" spans="1:7" s="714" customFormat="1" ht="14.4">
      <c r="A288" s="709"/>
      <c r="B288" s="709"/>
      <c r="C288" s="726"/>
      <c r="D288" s="1877"/>
      <c r="E288" s="1877"/>
      <c r="F288" s="1877"/>
      <c r="G288" s="7"/>
    </row>
    <row r="289" spans="1:7" s="714" customFormat="1" ht="14.4">
      <c r="A289" s="709"/>
      <c r="B289" s="709"/>
      <c r="C289" s="726"/>
      <c r="D289" s="1877"/>
      <c r="E289" s="1877"/>
      <c r="F289" s="1877"/>
      <c r="G289" s="7"/>
    </row>
    <row r="290" spans="1:7" s="714" customFormat="1" ht="14.4">
      <c r="A290" s="709"/>
      <c r="B290" s="709"/>
      <c r="C290" s="726"/>
      <c r="D290" s="1877"/>
      <c r="E290" s="1877"/>
      <c r="F290" s="1877"/>
      <c r="G290" s="7"/>
    </row>
    <row r="291" spans="1:7" s="714" customFormat="1" ht="14.4">
      <c r="A291" s="709"/>
      <c r="B291" s="709"/>
      <c r="C291" s="726"/>
      <c r="D291" s="1877"/>
      <c r="E291" s="1877"/>
      <c r="F291" s="1877"/>
      <c r="G291" s="7"/>
    </row>
    <row r="292" spans="1:7" s="714" customFormat="1" ht="14.4">
      <c r="A292" s="709"/>
      <c r="B292" s="709"/>
      <c r="C292" s="726"/>
      <c r="D292" s="1877"/>
      <c r="E292" s="1877"/>
      <c r="F292" s="1877"/>
      <c r="G292" s="7"/>
    </row>
    <row r="293" spans="1:7" ht="14.4">
      <c r="A293" s="261"/>
      <c r="B293" s="261"/>
      <c r="D293" s="1877"/>
      <c r="E293" s="1877"/>
      <c r="F293" s="1877"/>
    </row>
    <row r="294" spans="1:7" ht="14.4">
      <c r="A294" s="261"/>
      <c r="B294" s="261"/>
      <c r="D294" s="1877"/>
      <c r="E294" s="1877"/>
      <c r="F294" s="1877"/>
    </row>
    <row r="295" spans="1:7" ht="14.4">
      <c r="A295" s="261"/>
      <c r="B295" s="261"/>
      <c r="D295" s="1877"/>
      <c r="E295" s="1877"/>
      <c r="F295" s="1877"/>
    </row>
    <row r="296" spans="1:7">
      <c r="D296" s="135"/>
      <c r="E296" s="135"/>
      <c r="F296" s="135"/>
    </row>
    <row r="297" spans="1:7" ht="14.4">
      <c r="A297" s="261"/>
      <c r="B297" s="674" t="s">
        <v>316</v>
      </c>
      <c r="D297" s="1877" t="s">
        <v>1308</v>
      </c>
      <c r="E297" s="1877"/>
      <c r="F297" s="1877"/>
    </row>
    <row r="298" spans="1:7">
      <c r="D298" s="1877"/>
      <c r="E298" s="1877"/>
      <c r="F298" s="1877"/>
    </row>
    <row r="299" spans="1:7">
      <c r="D299" s="1877"/>
      <c r="E299" s="1877"/>
      <c r="F299" s="1877"/>
    </row>
    <row r="300" spans="1:7">
      <c r="D300" s="1877"/>
      <c r="E300" s="1877"/>
      <c r="F300" s="1877"/>
    </row>
    <row r="301" spans="1:7">
      <c r="D301" s="1877"/>
      <c r="E301" s="1877"/>
      <c r="F301" s="1877"/>
    </row>
    <row r="302" spans="1:7">
      <c r="D302" s="1877"/>
      <c r="E302" s="1877"/>
      <c r="F302" s="1877"/>
    </row>
    <row r="303" spans="1:7">
      <c r="D303" s="1877"/>
      <c r="E303" s="1877"/>
      <c r="F303" s="1877"/>
    </row>
    <row r="304" spans="1:7">
      <c r="D304" s="1877"/>
      <c r="E304" s="1877"/>
      <c r="F304" s="1877"/>
    </row>
    <row r="305" spans="1:7">
      <c r="D305" s="1877"/>
      <c r="E305" s="1877"/>
      <c r="F305" s="1877"/>
    </row>
    <row r="306" spans="1:7">
      <c r="D306" s="135"/>
      <c r="E306" s="135"/>
      <c r="F306" s="135"/>
    </row>
    <row r="307" spans="1:7" ht="14.4">
      <c r="A307" s="261"/>
      <c r="B307" s="674" t="s">
        <v>316</v>
      </c>
      <c r="D307" s="1856" t="s">
        <v>1309</v>
      </c>
      <c r="E307" s="1856"/>
      <c r="F307" s="1856"/>
    </row>
    <row r="308" spans="1:7">
      <c r="D308" s="1856"/>
      <c r="E308" s="1856"/>
      <c r="F308" s="1856"/>
      <c r="G308" s="12"/>
    </row>
    <row r="309" spans="1:7">
      <c r="D309" s="1856"/>
      <c r="E309" s="1856"/>
      <c r="F309" s="1856"/>
      <c r="G309" s="12"/>
    </row>
    <row r="310" spans="1:7">
      <c r="D310" s="1856"/>
      <c r="E310" s="1856"/>
      <c r="F310" s="1856"/>
      <c r="G310" s="12"/>
    </row>
    <row r="311" spans="1:7">
      <c r="D311" s="1856"/>
      <c r="E311" s="1856"/>
      <c r="F311" s="1856"/>
      <c r="G311" s="12"/>
    </row>
    <row r="312" spans="1:7">
      <c r="D312" s="1856"/>
      <c r="E312" s="1856"/>
      <c r="F312" s="1856"/>
      <c r="G312" s="12"/>
    </row>
    <row r="313" spans="1:7" s="714" customFormat="1">
      <c r="A313" s="726"/>
      <c r="B313" s="726"/>
      <c r="C313" s="726"/>
      <c r="D313" s="723"/>
      <c r="E313" s="723"/>
      <c r="F313" s="723"/>
    </row>
    <row r="314" spans="1:7" ht="13.8" thickBot="1">
      <c r="D314" s="1927" t="s">
        <v>1058</v>
      </c>
      <c r="E314" s="1927"/>
      <c r="F314" s="1927"/>
      <c r="G314" s="12"/>
    </row>
    <row r="315" spans="1:7" s="714" customFormat="1" ht="13.8" thickTop="1">
      <c r="A315" s="726"/>
      <c r="B315" s="726"/>
      <c r="C315" s="726"/>
      <c r="D315" s="1928" t="s">
        <v>1310</v>
      </c>
      <c r="E315" s="1928"/>
      <c r="F315" s="1928"/>
    </row>
    <row r="316" spans="1:7">
      <c r="A316" s="324"/>
      <c r="B316" s="324"/>
      <c r="C316" s="324"/>
      <c r="D316" s="462"/>
      <c r="E316" s="462"/>
      <c r="F316" s="135"/>
      <c r="G316" s="12"/>
    </row>
    <row r="317" spans="1:7" ht="14.4">
      <c r="A317" s="261"/>
      <c r="B317" s="674" t="s">
        <v>316</v>
      </c>
      <c r="C317" s="324"/>
      <c r="D317" s="1929" t="s">
        <v>1311</v>
      </c>
      <c r="E317" s="1929"/>
      <c r="F317" s="1929"/>
      <c r="G317" s="12"/>
    </row>
    <row r="318" spans="1:7">
      <c r="A318" s="324"/>
      <c r="B318" s="324"/>
      <c r="C318" s="324"/>
      <c r="D318" s="462"/>
      <c r="E318" s="462"/>
      <c r="F318" s="135"/>
      <c r="G318" s="12"/>
    </row>
    <row r="319" spans="1:7">
      <c r="A319" s="324"/>
      <c r="B319" s="674" t="s">
        <v>316</v>
      </c>
      <c r="C319" s="324"/>
      <c r="D319" s="1913" t="s">
        <v>1312</v>
      </c>
      <c r="E319" s="1913"/>
      <c r="F319" s="1913"/>
      <c r="G319" s="12"/>
    </row>
    <row r="320" spans="1:7">
      <c r="A320" s="324"/>
      <c r="B320" s="324"/>
      <c r="C320" s="324"/>
      <c r="D320" s="1913"/>
      <c r="E320" s="1913"/>
      <c r="F320" s="1913"/>
      <c r="G320" s="12"/>
    </row>
    <row r="321" spans="1:7">
      <c r="A321" s="324"/>
      <c r="B321" s="324"/>
      <c r="C321" s="324"/>
      <c r="D321" s="1913"/>
      <c r="E321" s="1913"/>
      <c r="F321" s="1913"/>
      <c r="G321" s="12"/>
    </row>
    <row r="322" spans="1:7">
      <c r="A322" s="324"/>
      <c r="B322" s="324"/>
      <c r="C322" s="324"/>
      <c r="D322" s="1913"/>
      <c r="E322" s="1913"/>
      <c r="F322" s="1913"/>
      <c r="G322" s="12"/>
    </row>
    <row r="323" spans="1:7" s="714" customFormat="1">
      <c r="A323" s="324"/>
      <c r="B323" s="324"/>
      <c r="C323" s="324"/>
      <c r="D323" s="1913"/>
      <c r="E323" s="1913"/>
      <c r="F323" s="1913"/>
    </row>
    <row r="324" spans="1:7" s="714" customFormat="1">
      <c r="A324" s="324"/>
      <c r="B324" s="324"/>
      <c r="C324" s="324"/>
      <c r="D324" s="1913"/>
      <c r="E324" s="1913"/>
      <c r="F324" s="1913"/>
    </row>
    <row r="325" spans="1:7" s="714" customFormat="1">
      <c r="A325" s="324"/>
      <c r="B325" s="324"/>
      <c r="C325" s="324"/>
      <c r="D325" s="1913"/>
      <c r="E325" s="1913"/>
      <c r="F325" s="1913"/>
    </row>
    <row r="326" spans="1:7" s="714" customFormat="1">
      <c r="A326" s="324"/>
      <c r="B326" s="324"/>
      <c r="C326" s="324"/>
      <c r="D326" s="1913"/>
      <c r="E326" s="1913"/>
      <c r="F326" s="1913"/>
    </row>
    <row r="327" spans="1:7">
      <c r="A327" s="324"/>
      <c r="B327" s="324"/>
      <c r="C327" s="324"/>
      <c r="D327" s="1913"/>
      <c r="E327" s="1913"/>
      <c r="F327" s="1913"/>
      <c r="G327" s="12"/>
    </row>
    <row r="328" spans="1:7">
      <c r="A328" s="324"/>
      <c r="B328" s="324"/>
      <c r="C328" s="324"/>
      <c r="D328" s="1913"/>
      <c r="E328" s="1913"/>
      <c r="F328" s="1913"/>
      <c r="G328" s="12"/>
    </row>
    <row r="329" spans="1:7">
      <c r="A329" s="324"/>
      <c r="B329" s="324"/>
      <c r="C329" s="324"/>
      <c r="D329" s="1913"/>
      <c r="E329" s="1913"/>
      <c r="F329" s="1913"/>
      <c r="G329" s="12"/>
    </row>
    <row r="330" spans="1:7">
      <c r="A330" s="324"/>
      <c r="B330" s="324"/>
      <c r="C330" s="324"/>
      <c r="D330" s="12"/>
      <c r="E330" s="462"/>
      <c r="F330" s="135"/>
      <c r="G330" s="12"/>
    </row>
    <row r="331" spans="1:7" ht="14.4">
      <c r="A331" s="261"/>
      <c r="B331" s="674" t="s">
        <v>316</v>
      </c>
      <c r="C331" s="324"/>
      <c r="D331" s="1932" t="s">
        <v>1313</v>
      </c>
      <c r="E331" s="1932"/>
      <c r="F331" s="1932"/>
      <c r="G331" s="12"/>
    </row>
    <row r="332" spans="1:7">
      <c r="A332" s="324"/>
      <c r="B332" s="324"/>
      <c r="C332" s="324"/>
      <c r="D332" s="1932"/>
      <c r="E332" s="1932"/>
      <c r="F332" s="1932"/>
      <c r="G332" s="12"/>
    </row>
    <row r="333" spans="1:7">
      <c r="A333" s="324"/>
      <c r="B333" s="324"/>
      <c r="C333" s="324"/>
      <c r="D333" s="1932"/>
      <c r="E333" s="1932"/>
      <c r="F333" s="1932"/>
      <c r="G333" s="12"/>
    </row>
    <row r="334" spans="1:7">
      <c r="A334" s="324"/>
      <c r="B334" s="324"/>
      <c r="C334" s="324"/>
      <c r="D334" s="1932"/>
      <c r="E334" s="1932"/>
      <c r="F334" s="1932"/>
      <c r="G334" s="12"/>
    </row>
    <row r="335" spans="1:7">
      <c r="A335" s="324"/>
      <c r="B335" s="324"/>
      <c r="C335" s="324"/>
      <c r="D335" s="500"/>
      <c r="E335" s="462"/>
      <c r="F335" s="135"/>
      <c r="G335" s="12"/>
    </row>
    <row r="336" spans="1:7">
      <c r="A336" s="324"/>
      <c r="B336" s="324"/>
      <c r="C336" s="324"/>
      <c r="D336" s="1932" t="s">
        <v>1314</v>
      </c>
      <c r="E336" s="1932"/>
      <c r="F336" s="1932"/>
      <c r="G336" s="12"/>
    </row>
    <row r="337" spans="1:7">
      <c r="A337" s="324"/>
      <c r="B337" s="324"/>
      <c r="C337" s="324"/>
      <c r="D337" s="1932"/>
      <c r="E337" s="1932"/>
      <c r="F337" s="1932"/>
      <c r="G337" s="12"/>
    </row>
    <row r="338" spans="1:7">
      <c r="A338" s="324"/>
      <c r="B338" s="324"/>
      <c r="C338" s="324"/>
      <c r="D338" s="1932"/>
      <c r="E338" s="1932"/>
      <c r="F338" s="1932"/>
      <c r="G338" s="12"/>
    </row>
    <row r="339" spans="1:7">
      <c r="A339" s="324"/>
      <c r="B339" s="324"/>
      <c r="C339" s="324"/>
      <c r="D339" s="1932"/>
      <c r="E339" s="1932"/>
      <c r="F339" s="1932"/>
      <c r="G339" s="12"/>
    </row>
    <row r="340" spans="1:7" ht="18" customHeight="1">
      <c r="A340" s="324"/>
      <c r="B340" s="324"/>
      <c r="C340" s="324"/>
      <c r="D340" s="1932"/>
      <c r="E340" s="1932"/>
      <c r="F340" s="1932"/>
      <c r="G340" s="12"/>
    </row>
    <row r="341" spans="1:7">
      <c r="A341" s="324"/>
      <c r="B341" s="324"/>
      <c r="C341" s="324"/>
      <c r="D341" s="1932"/>
      <c r="E341" s="1932"/>
      <c r="F341" s="1932"/>
      <c r="G341" s="12"/>
    </row>
    <row r="342" spans="1:7">
      <c r="A342" s="324"/>
      <c r="B342" s="324"/>
      <c r="C342" s="324"/>
      <c r="D342" s="1932"/>
      <c r="E342" s="1932"/>
      <c r="F342" s="1932"/>
      <c r="G342" s="12"/>
    </row>
    <row r="343" spans="1:7">
      <c r="A343" s="324"/>
      <c r="B343" s="324"/>
      <c r="C343" s="324"/>
      <c r="D343" s="1932"/>
      <c r="E343" s="1932"/>
      <c r="F343" s="1932"/>
      <c r="G343" s="12"/>
    </row>
    <row r="344" spans="1:7" ht="8.25" customHeight="1">
      <c r="A344" s="324"/>
      <c r="B344" s="324"/>
      <c r="C344" s="324"/>
      <c r="D344" s="1932"/>
      <c r="E344" s="1932"/>
      <c r="F344" s="1932"/>
      <c r="G344" s="12"/>
    </row>
    <row r="345" spans="1:7" ht="13.2" customHeight="1">
      <c r="A345" s="324"/>
      <c r="B345" s="324"/>
      <c r="C345" s="324"/>
      <c r="D345" s="1925" t="s">
        <v>1315</v>
      </c>
      <c r="E345" s="1925"/>
      <c r="F345" s="1925"/>
      <c r="G345" s="12"/>
    </row>
    <row r="346" spans="1:7">
      <c r="A346" s="324"/>
      <c r="B346" s="324"/>
      <c r="C346" s="324"/>
      <c r="D346" s="1925"/>
      <c r="E346" s="1925"/>
      <c r="F346" s="1925"/>
      <c r="G346" s="12"/>
    </row>
    <row r="347" spans="1:7">
      <c r="A347" s="324"/>
      <c r="B347" s="324"/>
      <c r="C347" s="324"/>
      <c r="D347" s="1925"/>
      <c r="E347" s="1925"/>
      <c r="F347" s="1925"/>
      <c r="G347" s="12"/>
    </row>
    <row r="348" spans="1:7" s="714" customFormat="1">
      <c r="A348" s="324"/>
      <c r="B348" s="324"/>
      <c r="C348" s="324"/>
      <c r="D348" s="1925"/>
      <c r="E348" s="1925"/>
      <c r="F348" s="1925"/>
    </row>
    <row r="349" spans="1:7" s="714" customFormat="1">
      <c r="A349" s="324"/>
      <c r="B349" s="324"/>
      <c r="C349" s="324"/>
      <c r="D349" s="1925"/>
      <c r="E349" s="1925"/>
      <c r="F349" s="1925"/>
    </row>
    <row r="350" spans="1:7" s="714" customFormat="1">
      <c r="A350" s="324"/>
      <c r="B350" s="324"/>
      <c r="C350" s="324"/>
      <c r="D350" s="1925"/>
      <c r="E350" s="1925"/>
      <c r="F350" s="1925"/>
    </row>
    <row r="351" spans="1:7" s="714" customFormat="1">
      <c r="A351" s="324"/>
      <c r="B351" s="324"/>
      <c r="C351" s="324"/>
      <c r="D351" s="1925"/>
      <c r="E351" s="1925"/>
      <c r="F351" s="1925"/>
    </row>
    <row r="352" spans="1:7" s="714" customFormat="1">
      <c r="A352" s="324"/>
      <c r="B352" s="324"/>
      <c r="C352" s="324"/>
      <c r="D352" s="1925"/>
      <c r="E352" s="1925"/>
      <c r="F352" s="1925"/>
    </row>
    <row r="353" spans="1:7">
      <c r="A353" s="324"/>
      <c r="B353" s="324"/>
      <c r="C353" s="324"/>
      <c r="D353" s="1925"/>
      <c r="E353" s="1925"/>
      <c r="F353" s="1925"/>
      <c r="G353" s="12"/>
    </row>
    <row r="354" spans="1:7">
      <c r="A354" s="324"/>
      <c r="B354" s="324"/>
      <c r="C354" s="324"/>
      <c r="D354" s="1925"/>
      <c r="E354" s="1925"/>
      <c r="F354" s="1925"/>
      <c r="G354" s="12"/>
    </row>
    <row r="355" spans="1:7">
      <c r="A355" s="324"/>
      <c r="B355" s="324"/>
      <c r="C355" s="324"/>
      <c r="D355" s="1925"/>
      <c r="E355" s="1925"/>
      <c r="F355" s="1925"/>
      <c r="G355" s="12"/>
    </row>
    <row r="356" spans="1:7">
      <c r="A356" s="324"/>
      <c r="B356" s="324"/>
      <c r="C356" s="324"/>
      <c r="D356" s="1925"/>
      <c r="E356" s="1925"/>
      <c r="F356" s="1925"/>
      <c r="G356" s="12"/>
    </row>
    <row r="357" spans="1:7">
      <c r="A357" s="324"/>
      <c r="B357" s="324"/>
      <c r="C357" s="502"/>
      <c r="D357" s="1925"/>
      <c r="E357" s="1925"/>
      <c r="F357" s="1925"/>
      <c r="G357" s="12"/>
    </row>
    <row r="358" spans="1:7">
      <c r="A358" s="324"/>
      <c r="B358" s="324"/>
      <c r="C358" s="502"/>
      <c r="D358" s="1925"/>
      <c r="E358" s="1925"/>
      <c r="F358" s="1925"/>
      <c r="G358" s="12"/>
    </row>
    <row r="359" spans="1:7">
      <c r="A359" s="324"/>
      <c r="B359" s="324"/>
      <c r="C359" s="324"/>
      <c r="D359" s="1925"/>
      <c r="E359" s="1925"/>
      <c r="F359" s="1925"/>
      <c r="G359" s="12"/>
    </row>
    <row r="360" spans="1:7">
      <c r="A360" s="324"/>
      <c r="B360" s="324"/>
      <c r="C360" s="502"/>
      <c r="D360" s="1925"/>
      <c r="E360" s="1925"/>
      <c r="F360" s="1925"/>
      <c r="G360" s="12"/>
    </row>
    <row r="361" spans="1:7">
      <c r="A361" s="324"/>
      <c r="B361" s="324"/>
      <c r="C361" s="502"/>
      <c r="D361" s="1925"/>
      <c r="E361" s="1925"/>
      <c r="F361" s="1925"/>
      <c r="G361" s="12"/>
    </row>
    <row r="362" spans="1:7">
      <c r="A362" s="324"/>
      <c r="B362" s="324"/>
      <c r="C362" s="502"/>
      <c r="D362" s="1925"/>
      <c r="E362" s="1925"/>
      <c r="F362" s="1925"/>
      <c r="G362" s="12"/>
    </row>
    <row r="363" spans="1:7">
      <c r="A363" s="324"/>
      <c r="B363" s="324"/>
      <c r="C363" s="324"/>
      <c r="D363" s="500"/>
      <c r="E363" s="462"/>
      <c r="F363" s="135"/>
      <c r="G363" s="12"/>
    </row>
    <row r="364" spans="1:7">
      <c r="A364" s="324"/>
      <c r="B364" s="674" t="s">
        <v>316</v>
      </c>
      <c r="C364" s="324"/>
      <c r="D364" s="1925" t="s">
        <v>1316</v>
      </c>
      <c r="E364" s="1925"/>
      <c r="F364" s="1925"/>
      <c r="G364" s="12"/>
    </row>
    <row r="365" spans="1:7">
      <c r="A365" s="324"/>
      <c r="B365" s="324"/>
      <c r="C365" s="324"/>
      <c r="D365" s="1925"/>
      <c r="E365" s="1925"/>
      <c r="F365" s="1925"/>
      <c r="G365" s="12"/>
    </row>
    <row r="366" spans="1:7">
      <c r="A366" s="324"/>
      <c r="B366" s="324"/>
      <c r="C366" s="324"/>
      <c r="D366" s="462"/>
      <c r="E366" s="462"/>
      <c r="F366" s="135"/>
      <c r="G366" s="12"/>
    </row>
    <row r="367" spans="1:7" ht="14.4">
      <c r="A367" s="261"/>
      <c r="B367" s="674" t="s">
        <v>316</v>
      </c>
      <c r="C367" s="324"/>
      <c r="D367" s="1913" t="s">
        <v>1317</v>
      </c>
      <c r="E367" s="1913"/>
      <c r="F367" s="1913"/>
      <c r="G367" s="12"/>
    </row>
    <row r="368" spans="1:7" ht="14.4">
      <c r="A368" s="501"/>
      <c r="B368" s="501"/>
      <c r="C368" s="324"/>
      <c r="D368" s="1913"/>
      <c r="E368" s="1913"/>
      <c r="F368" s="1913"/>
      <c r="G368" s="12"/>
    </row>
    <row r="369" spans="1:7" ht="14.4">
      <c r="A369" s="501"/>
      <c r="B369" s="501"/>
      <c r="C369" s="324"/>
      <c r="D369" s="1913"/>
      <c r="E369" s="1913"/>
      <c r="F369" s="1913"/>
      <c r="G369" s="12"/>
    </row>
    <row r="370" spans="1:7" ht="14.4">
      <c r="A370" s="501"/>
      <c r="B370" s="501"/>
      <c r="C370" s="324"/>
      <c r="D370" s="1913"/>
      <c r="E370" s="1913"/>
      <c r="F370" s="1913"/>
      <c r="G370" s="12"/>
    </row>
    <row r="371" spans="1:7" ht="14.4">
      <c r="A371" s="501"/>
      <c r="B371" s="501"/>
      <c r="C371" s="324"/>
      <c r="D371" s="1913"/>
      <c r="E371" s="1913"/>
      <c r="F371" s="1913"/>
      <c r="G371" s="12"/>
    </row>
    <row r="372" spans="1:7">
      <c r="D372" s="135"/>
      <c r="E372" s="135"/>
      <c r="F372" s="135"/>
      <c r="G372" s="12"/>
    </row>
    <row r="373" spans="1:7" ht="14.4">
      <c r="A373" s="261"/>
      <c r="B373" s="674" t="s">
        <v>316</v>
      </c>
      <c r="C373" s="266"/>
      <c r="D373" s="1856" t="s">
        <v>1318</v>
      </c>
      <c r="E373" s="1856"/>
      <c r="F373" s="1856"/>
      <c r="G373" s="12"/>
    </row>
    <row r="374" spans="1:7" ht="14.4">
      <c r="A374" s="261"/>
      <c r="B374" s="261"/>
      <c r="D374" s="1856"/>
      <c r="E374" s="1856"/>
      <c r="F374" s="1856"/>
      <c r="G374" s="12"/>
    </row>
    <row r="375" spans="1:7">
      <c r="D375" s="1856"/>
      <c r="E375" s="1856"/>
      <c r="F375" s="1856"/>
      <c r="G375" s="12"/>
    </row>
    <row r="376" spans="1:7">
      <c r="D376" s="1856"/>
      <c r="E376" s="1856"/>
      <c r="F376" s="1856"/>
      <c r="G376" s="12"/>
    </row>
    <row r="377" spans="1:7">
      <c r="D377" s="1856"/>
      <c r="E377" s="1856"/>
      <c r="F377" s="1856"/>
      <c r="G377" s="12"/>
    </row>
    <row r="378" spans="1:7">
      <c r="D378" s="1856"/>
      <c r="E378" s="1856"/>
      <c r="F378" s="1856"/>
      <c r="G378" s="12"/>
    </row>
    <row r="379" spans="1:7">
      <c r="D379" s="1856"/>
      <c r="E379" s="1856"/>
      <c r="F379" s="1856"/>
      <c r="G379" s="12"/>
    </row>
    <row r="380" spans="1:7">
      <c r="D380" s="1856"/>
      <c r="E380" s="1856"/>
      <c r="F380" s="1856"/>
      <c r="G380" s="12"/>
    </row>
    <row r="381" spans="1:7">
      <c r="D381" s="1856"/>
      <c r="E381" s="1856"/>
      <c r="F381" s="1856"/>
      <c r="G381" s="12"/>
    </row>
    <row r="382" spans="1:7">
      <c r="D382" s="1856"/>
      <c r="E382" s="1856"/>
      <c r="F382" s="1856"/>
      <c r="G382" s="12"/>
    </row>
    <row r="383" spans="1:7">
      <c r="D383" s="1856"/>
      <c r="E383" s="1856"/>
      <c r="F383" s="1856"/>
      <c r="G383" s="12"/>
    </row>
    <row r="384" spans="1:7">
      <c r="D384" s="1856"/>
      <c r="E384" s="1856"/>
      <c r="F384" s="1856"/>
      <c r="G384" s="12"/>
    </row>
    <row r="385" spans="1:7">
      <c r="D385" s="1856"/>
      <c r="E385" s="1856"/>
      <c r="F385" s="1856"/>
      <c r="G385" s="12"/>
    </row>
    <row r="386" spans="1:7">
      <c r="A386" s="12"/>
      <c r="B386" s="12"/>
      <c r="C386" s="12"/>
      <c r="D386" s="1856"/>
      <c r="E386" s="1856"/>
      <c r="F386" s="1856"/>
      <c r="G386" s="12"/>
    </row>
    <row r="387" spans="1:7">
      <c r="A387" s="12"/>
      <c r="B387" s="12"/>
      <c r="C387" s="12"/>
      <c r="D387" s="1856"/>
      <c r="E387" s="1856"/>
      <c r="F387" s="1856"/>
      <c r="G387" s="12"/>
    </row>
    <row r="388" spans="1:7">
      <c r="A388" s="12"/>
      <c r="B388" s="12"/>
      <c r="C388" s="12"/>
      <c r="D388" s="1856"/>
      <c r="E388" s="1856"/>
      <c r="F388" s="1856"/>
      <c r="G388" s="12"/>
    </row>
    <row r="389" spans="1:7">
      <c r="A389" s="12"/>
      <c r="B389" s="12"/>
      <c r="C389" s="12"/>
      <c r="D389" s="1856"/>
      <c r="E389" s="1856"/>
      <c r="F389" s="1856"/>
      <c r="G389" s="12"/>
    </row>
    <row r="390" spans="1:7">
      <c r="A390" s="12"/>
      <c r="B390" s="12"/>
      <c r="C390" s="12"/>
      <c r="D390" s="1856"/>
      <c r="E390" s="1856"/>
      <c r="F390" s="1856"/>
      <c r="G390" s="12"/>
    </row>
    <row r="391" spans="1:7">
      <c r="A391" s="12"/>
      <c r="B391" s="12"/>
      <c r="C391" s="12"/>
      <c r="D391" s="1856"/>
      <c r="E391" s="1856"/>
      <c r="F391" s="1856"/>
      <c r="G391" s="12"/>
    </row>
    <row r="392" spans="1:7">
      <c r="A392" s="12"/>
      <c r="B392" s="12"/>
      <c r="C392" s="12"/>
      <c r="D392" s="1856"/>
      <c r="E392" s="1856"/>
      <c r="F392" s="1856"/>
      <c r="G392" s="12"/>
    </row>
    <row r="393" spans="1:7">
      <c r="A393" s="12"/>
      <c r="B393" s="12"/>
      <c r="C393" s="12"/>
      <c r="D393" s="1856"/>
      <c r="E393" s="1856"/>
      <c r="F393" s="1856"/>
      <c r="G393" s="12"/>
    </row>
    <row r="394" spans="1:7">
      <c r="A394" s="12"/>
      <c r="B394" s="12"/>
      <c r="C394" s="12"/>
      <c r="D394" s="1856"/>
      <c r="E394" s="1856"/>
      <c r="F394" s="1856"/>
      <c r="G394" s="12"/>
    </row>
    <row r="395" spans="1:7">
      <c r="A395" s="12"/>
      <c r="B395" s="12"/>
      <c r="C395" s="12"/>
      <c r="D395" s="1856"/>
      <c r="E395" s="1856"/>
      <c r="F395" s="1856"/>
      <c r="G395" s="12"/>
    </row>
    <row r="396" spans="1:7">
      <c r="A396" s="12"/>
      <c r="B396" s="12"/>
      <c r="C396" s="12"/>
      <c r="D396" s="1856"/>
      <c r="E396" s="1856"/>
      <c r="F396" s="1856"/>
      <c r="G396" s="12"/>
    </row>
    <row r="397" spans="1:7">
      <c r="A397" s="12"/>
      <c r="B397" s="12"/>
      <c r="C397" s="12"/>
      <c r="D397" s="1856"/>
      <c r="E397" s="1856"/>
      <c r="F397" s="1856"/>
      <c r="G397" s="12"/>
    </row>
    <row r="398" spans="1:7">
      <c r="A398" s="12"/>
      <c r="B398" s="12"/>
      <c r="C398" s="12"/>
      <c r="D398" s="1856"/>
      <c r="E398" s="1856"/>
      <c r="F398" s="1856"/>
      <c r="G398" s="12"/>
    </row>
    <row r="399" spans="1:7">
      <c r="A399" s="12"/>
      <c r="B399" s="12"/>
      <c r="C399" s="12"/>
      <c r="D399" s="1856"/>
      <c r="E399" s="1856"/>
      <c r="F399" s="1856"/>
      <c r="G399" s="12"/>
    </row>
    <row r="400" spans="1:7">
      <c r="A400" s="12"/>
      <c r="B400" s="12"/>
      <c r="C400" s="12"/>
      <c r="D400" s="1856"/>
      <c r="E400" s="1856"/>
      <c r="F400" s="1856"/>
      <c r="G400" s="12"/>
    </row>
    <row r="401" spans="1:7">
      <c r="A401" s="12"/>
      <c r="B401" s="12"/>
      <c r="C401" s="12"/>
      <c r="D401" s="1856"/>
      <c r="E401" s="1856"/>
      <c r="F401" s="1856"/>
      <c r="G401" s="12"/>
    </row>
    <row r="402" spans="1:7" s="32" customFormat="1">
      <c r="A402" s="132"/>
      <c r="B402" s="671"/>
      <c r="C402" s="132"/>
      <c r="D402" s="1856"/>
      <c r="E402" s="1856"/>
      <c r="F402" s="1856"/>
      <c r="G402" s="30"/>
    </row>
    <row r="403" spans="1:7" s="32" customFormat="1" ht="40.799999999999997" customHeight="1">
      <c r="A403" s="132"/>
      <c r="B403" s="671"/>
      <c r="C403" s="132"/>
      <c r="D403" s="1856"/>
      <c r="E403" s="1856"/>
      <c r="F403" s="1856"/>
      <c r="G403" s="30"/>
    </row>
    <row r="404" spans="1:7" s="32" customFormat="1">
      <c r="A404" s="132"/>
      <c r="B404" s="671"/>
      <c r="C404" s="132"/>
      <c r="D404" s="135"/>
      <c r="E404" s="135"/>
      <c r="F404" s="135"/>
      <c r="G404" s="30"/>
    </row>
    <row r="405" spans="1:7" ht="14.4">
      <c r="A405" s="261"/>
      <c r="B405" s="674" t="s">
        <v>316</v>
      </c>
      <c r="C405" s="266"/>
      <c r="D405" s="1881" t="s">
        <v>1319</v>
      </c>
      <c r="E405" s="1881"/>
      <c r="F405" s="1881"/>
    </row>
    <row r="406" spans="1:7">
      <c r="D406" s="1926" t="s">
        <v>1083</v>
      </c>
      <c r="E406" s="1926"/>
      <c r="F406" s="1926"/>
    </row>
    <row r="407" spans="1:7">
      <c r="D407" s="1877" t="s">
        <v>1320</v>
      </c>
      <c r="E407" s="1877"/>
      <c r="F407" s="1877"/>
    </row>
    <row r="408" spans="1:7">
      <c r="D408" s="1877"/>
      <c r="E408" s="1877"/>
      <c r="F408" s="1877"/>
    </row>
    <row r="409" spans="1:7">
      <c r="D409" s="1877"/>
      <c r="E409" s="1877"/>
      <c r="F409" s="1877"/>
    </row>
    <row r="410" spans="1:7">
      <c r="D410" s="1877"/>
      <c r="E410" s="1877"/>
      <c r="F410" s="1877"/>
    </row>
    <row r="411" spans="1:7">
      <c r="D411" s="135"/>
      <c r="E411" s="135"/>
      <c r="F411" s="135"/>
      <c r="G411" s="12"/>
    </row>
    <row r="412" spans="1:7" ht="14.4">
      <c r="A412" s="261"/>
      <c r="B412" s="674" t="s">
        <v>316</v>
      </c>
      <c r="C412" s="266"/>
      <c r="D412" s="1856" t="s">
        <v>1321</v>
      </c>
      <c r="E412" s="1856"/>
      <c r="F412" s="1856"/>
      <c r="G412" s="12"/>
    </row>
    <row r="413" spans="1:7">
      <c r="D413" s="1856"/>
      <c r="E413" s="1856"/>
      <c r="F413" s="1856"/>
      <c r="G413" s="12"/>
    </row>
    <row r="414" spans="1:7">
      <c r="D414" s="1856"/>
      <c r="E414" s="1856"/>
      <c r="F414" s="1856"/>
      <c r="G414" s="12"/>
    </row>
    <row r="415" spans="1:7" s="714" customFormat="1">
      <c r="A415" s="726"/>
      <c r="B415" s="726"/>
      <c r="C415" s="726"/>
      <c r="D415" s="723"/>
      <c r="E415" s="723"/>
      <c r="F415" s="723"/>
    </row>
    <row r="416" spans="1:7" ht="14.4">
      <c r="B416" s="674" t="s">
        <v>316</v>
      </c>
      <c r="C416" s="261"/>
      <c r="D416" s="1877" t="s">
        <v>1322</v>
      </c>
      <c r="E416" s="1877"/>
      <c r="F416" s="1877"/>
      <c r="G416" s="12"/>
    </row>
    <row r="417" spans="1:7">
      <c r="D417" s="1877"/>
      <c r="E417" s="1877"/>
      <c r="F417" s="1877"/>
      <c r="G417" s="12"/>
    </row>
    <row r="418" spans="1:7">
      <c r="D418" s="135"/>
      <c r="E418" s="135"/>
      <c r="F418" s="135"/>
      <c r="G418" s="12"/>
    </row>
    <row r="419" spans="1:7" ht="14.4">
      <c r="B419" s="674" t="s">
        <v>316</v>
      </c>
      <c r="C419" s="261"/>
      <c r="D419" s="1877" t="s">
        <v>1323</v>
      </c>
      <c r="E419" s="1877"/>
      <c r="F419" s="1877"/>
      <c r="G419" s="12"/>
    </row>
    <row r="420" spans="1:7">
      <c r="D420" s="1877"/>
      <c r="E420" s="1877"/>
      <c r="F420" s="1877"/>
      <c r="G420" s="12"/>
    </row>
    <row r="421" spans="1:7">
      <c r="D421" s="1877"/>
      <c r="E421" s="1877"/>
      <c r="F421" s="1877"/>
      <c r="G421" s="12"/>
    </row>
    <row r="422" spans="1:7">
      <c r="D422" s="1877"/>
      <c r="E422" s="1877"/>
      <c r="F422" s="1877"/>
      <c r="G422" s="12"/>
    </row>
    <row r="423" spans="1:7">
      <c r="B423" s="674" t="s">
        <v>316</v>
      </c>
      <c r="D423" s="1877"/>
      <c r="E423" s="1877"/>
      <c r="F423" s="1877"/>
      <c r="G423" s="12"/>
    </row>
    <row r="424" spans="1:7">
      <c r="A424" s="12"/>
      <c r="B424" s="12"/>
      <c r="C424" s="12"/>
      <c r="D424" s="1877"/>
      <c r="E424" s="1877"/>
      <c r="F424" s="1877"/>
      <c r="G424" s="12"/>
    </row>
    <row r="425" spans="1:7">
      <c r="A425" s="12"/>
      <c r="C425" s="12"/>
      <c r="D425" s="1877"/>
      <c r="E425" s="1877"/>
      <c r="F425" s="1877"/>
      <c r="G425" s="12"/>
    </row>
    <row r="426" spans="1:7">
      <c r="A426" s="12"/>
      <c r="B426" s="674" t="s">
        <v>316</v>
      </c>
      <c r="C426" s="12"/>
      <c r="D426" s="1877"/>
      <c r="E426" s="1877"/>
      <c r="F426" s="1877"/>
      <c r="G426" s="12"/>
    </row>
    <row r="427" spans="1:7">
      <c r="A427" s="12"/>
      <c r="B427" s="12"/>
      <c r="C427" s="12"/>
      <c r="D427" s="1877"/>
      <c r="E427" s="1877"/>
      <c r="F427" s="1877"/>
      <c r="G427" s="12"/>
    </row>
    <row r="428" spans="1:7">
      <c r="A428" s="12"/>
      <c r="C428" s="12"/>
      <c r="D428" s="1877"/>
      <c r="E428" s="1877"/>
      <c r="F428" s="1877"/>
      <c r="G428" s="12"/>
    </row>
    <row r="429" spans="1:7">
      <c r="A429" s="12"/>
      <c r="C429" s="12"/>
      <c r="D429" s="1877"/>
      <c r="E429" s="1877"/>
      <c r="F429" s="1877"/>
      <c r="G429" s="12"/>
    </row>
    <row r="430" spans="1:7">
      <c r="A430" s="12"/>
      <c r="B430" s="674" t="s">
        <v>316</v>
      </c>
      <c r="C430" s="12"/>
      <c r="D430" s="1877"/>
      <c r="E430" s="1877"/>
      <c r="F430" s="1877"/>
      <c r="G430" s="12"/>
    </row>
    <row r="431" spans="1:7">
      <c r="A431" s="12"/>
      <c r="B431" s="12"/>
      <c r="C431" s="12"/>
      <c r="D431" s="1877"/>
      <c r="E431" s="1877"/>
      <c r="F431" s="1877"/>
      <c r="G431" s="12"/>
    </row>
    <row r="432" spans="1:7">
      <c r="A432" s="12"/>
      <c r="B432" s="674" t="s">
        <v>316</v>
      </c>
      <c r="C432" s="12"/>
      <c r="D432" s="1877"/>
      <c r="E432" s="1877"/>
      <c r="F432" s="1877"/>
      <c r="G432" s="12"/>
    </row>
    <row r="433" spans="1:7" s="714" customFormat="1">
      <c r="D433" s="724"/>
      <c r="E433" s="724"/>
      <c r="F433" s="724"/>
    </row>
    <row r="434" spans="1:7">
      <c r="A434" s="12"/>
      <c r="B434" s="713" t="s">
        <v>316</v>
      </c>
      <c r="C434" s="12"/>
      <c r="D434" s="1877" t="s">
        <v>1324</v>
      </c>
      <c r="E434" s="1877"/>
      <c r="F434" s="1877"/>
      <c r="G434" s="12"/>
    </row>
    <row r="435" spans="1:7">
      <c r="A435" s="12"/>
      <c r="B435" s="12"/>
      <c r="C435" s="12"/>
      <c r="D435" s="1877"/>
      <c r="E435" s="1877"/>
      <c r="F435" s="1877"/>
      <c r="G435" s="12"/>
    </row>
    <row r="436" spans="1:7">
      <c r="A436" s="12"/>
      <c r="B436" s="12"/>
      <c r="C436" s="12"/>
      <c r="D436" s="1877"/>
      <c r="E436" s="1877"/>
      <c r="F436" s="1877"/>
      <c r="G436" s="12"/>
    </row>
    <row r="437" spans="1:7">
      <c r="A437" s="12"/>
      <c r="B437" s="12"/>
      <c r="C437" s="12"/>
      <c r="D437" s="1877"/>
      <c r="E437" s="1877"/>
      <c r="F437" s="1877"/>
      <c r="G437" s="12"/>
    </row>
    <row r="438" spans="1:7">
      <c r="D438" s="1877"/>
      <c r="E438" s="1877"/>
      <c r="F438" s="1877"/>
    </row>
    <row r="439" spans="1:7">
      <c r="D439" s="135"/>
      <c r="E439" s="135"/>
      <c r="F439" s="135"/>
    </row>
    <row r="440" spans="1:7">
      <c r="B440" s="674" t="s">
        <v>316</v>
      </c>
      <c r="D440" s="1888" t="s">
        <v>1325</v>
      </c>
      <c r="E440" s="1888"/>
      <c r="F440" s="1888"/>
    </row>
    <row r="441" spans="1:7">
      <c r="A441" s="135"/>
      <c r="B441" s="135"/>
    </row>
    <row r="442" spans="1:7">
      <c r="A442" s="1882" t="s">
        <v>1166</v>
      </c>
      <c r="B442" s="1882"/>
      <c r="C442" s="1882"/>
      <c r="D442" s="1882"/>
      <c r="E442" s="1882"/>
      <c r="F442" s="1882"/>
      <c r="G442" s="1882"/>
    </row>
    <row r="443" spans="1:7">
      <c r="A443" s="135"/>
      <c r="B443" s="135"/>
    </row>
    <row r="444" spans="1:7">
      <c r="D444" s="1933" t="s">
        <v>946</v>
      </c>
      <c r="E444" s="1933"/>
      <c r="F444" s="1933"/>
    </row>
    <row r="445" spans="1:7" s="39" customFormat="1" ht="14.4">
      <c r="A445" s="398"/>
      <c r="B445" s="398"/>
      <c r="C445" s="273"/>
      <c r="D445" s="1934" t="s">
        <v>1326</v>
      </c>
      <c r="E445" s="1934"/>
      <c r="F445" s="1934"/>
      <c r="G445" s="130"/>
    </row>
    <row r="446" spans="1:7" s="39" customFormat="1" ht="14.4">
      <c r="A446" s="398"/>
      <c r="B446" s="398"/>
      <c r="C446" s="273"/>
      <c r="D446" s="727"/>
      <c r="E446" s="6"/>
      <c r="F446" s="6"/>
      <c r="G446" s="130"/>
    </row>
    <row r="447" spans="1:7" s="39" customFormat="1" ht="14.4">
      <c r="A447" s="261"/>
      <c r="B447" s="674" t="s">
        <v>316</v>
      </c>
      <c r="C447" s="273"/>
      <c r="D447" s="1935" t="s">
        <v>1327</v>
      </c>
      <c r="E447" s="1935"/>
      <c r="F447" s="1935"/>
      <c r="G447" s="130"/>
    </row>
    <row r="448" spans="1:7" s="39" customFormat="1" ht="14.4">
      <c r="A448" s="261"/>
      <c r="B448" s="261"/>
      <c r="C448" s="273"/>
      <c r="D448" s="1935"/>
      <c r="E448" s="1935"/>
      <c r="F448" s="1935"/>
      <c r="G448" s="130"/>
    </row>
    <row r="449" spans="1:7" s="39" customFormat="1" ht="14.4">
      <c r="A449" s="261"/>
      <c r="B449" s="261"/>
      <c r="C449" s="273"/>
      <c r="D449" s="725"/>
      <c r="E449" s="6"/>
      <c r="F449" s="6"/>
      <c r="G449" s="130"/>
    </row>
    <row r="450" spans="1:7">
      <c r="B450" s="674" t="s">
        <v>316</v>
      </c>
      <c r="D450" s="1905" t="s">
        <v>1328</v>
      </c>
      <c r="E450" s="1905"/>
      <c r="F450" s="1905"/>
    </row>
    <row r="451" spans="1:7" ht="14.4">
      <c r="A451" s="261"/>
      <c r="D451" s="1905"/>
      <c r="E451" s="1905"/>
      <c r="F451" s="1905"/>
    </row>
    <row r="452" spans="1:7" ht="14.4">
      <c r="A452" s="261"/>
      <c r="B452" s="261"/>
      <c r="D452" s="1905"/>
      <c r="E452" s="1905"/>
      <c r="F452" s="1905"/>
    </row>
    <row r="453" spans="1:7" ht="14.4">
      <c r="A453" s="261"/>
      <c r="B453" s="261"/>
      <c r="D453" s="1905"/>
      <c r="E453" s="1905"/>
      <c r="F453" s="1905"/>
    </row>
    <row r="454" spans="1:7">
      <c r="D454" s="673"/>
      <c r="E454" s="673"/>
      <c r="F454" s="673"/>
      <c r="G454" s="12"/>
    </row>
    <row r="455" spans="1:7" ht="14.4">
      <c r="A455" s="261"/>
      <c r="B455" s="674" t="s">
        <v>316</v>
      </c>
      <c r="D455" s="1858" t="s">
        <v>1329</v>
      </c>
      <c r="E455" s="1858"/>
      <c r="F455" s="1858"/>
      <c r="G455" s="12"/>
    </row>
    <row r="456" spans="1:7" ht="14.4">
      <c r="A456" s="261"/>
      <c r="B456" s="261"/>
      <c r="D456" s="1858"/>
      <c r="E456" s="1858"/>
      <c r="F456" s="1858"/>
      <c r="G456" s="12"/>
    </row>
    <row r="457" spans="1:7" ht="14.4">
      <c r="A457" s="261"/>
      <c r="D457" s="1858"/>
      <c r="E457" s="1858"/>
      <c r="F457" s="1858"/>
      <c r="G457" s="12"/>
    </row>
    <row r="458" spans="1:7" ht="14.4">
      <c r="A458" s="261"/>
      <c r="B458" s="261"/>
      <c r="D458" s="673"/>
      <c r="E458" s="673"/>
      <c r="F458" s="673"/>
      <c r="G458" s="12"/>
    </row>
    <row r="459" spans="1:7" ht="14.4">
      <c r="A459" s="261"/>
      <c r="B459" s="713" t="s">
        <v>316</v>
      </c>
      <c r="D459" s="1881" t="s">
        <v>1330</v>
      </c>
      <c r="E459" s="1881"/>
      <c r="F459" s="1881"/>
      <c r="G459" s="12"/>
    </row>
    <row r="460" spans="1:7" ht="14.4">
      <c r="A460" s="261"/>
      <c r="B460" s="261"/>
      <c r="D460" s="725"/>
      <c r="E460" s="6"/>
      <c r="F460" s="6"/>
      <c r="G460" s="12"/>
    </row>
    <row r="461" spans="1:7" ht="14.4">
      <c r="A461" s="261"/>
      <c r="B461" s="674" t="s">
        <v>316</v>
      </c>
      <c r="D461" s="1856" t="s">
        <v>1331</v>
      </c>
      <c r="E461" s="1856"/>
      <c r="F461" s="1856"/>
      <c r="G461" s="12"/>
    </row>
    <row r="462" spans="1:7" ht="14.4">
      <c r="A462" s="261"/>
      <c r="D462" s="1856"/>
      <c r="E462" s="1856"/>
      <c r="F462" s="1856"/>
      <c r="G462" s="12"/>
    </row>
    <row r="463" spans="1:7">
      <c r="A463" s="23"/>
      <c r="B463" s="670"/>
      <c r="D463" s="728"/>
      <c r="E463" s="6"/>
      <c r="F463" s="6"/>
      <c r="G463" s="12"/>
    </row>
    <row r="464" spans="1:7">
      <c r="A464" s="23"/>
      <c r="B464" s="713" t="s">
        <v>316</v>
      </c>
      <c r="D464" s="1881" t="s">
        <v>1332</v>
      </c>
      <c r="E464" s="1881"/>
      <c r="F464" s="1881"/>
      <c r="G464" s="12"/>
    </row>
    <row r="465" spans="1:7" ht="14.4">
      <c r="A465" s="261"/>
      <c r="B465" s="261"/>
      <c r="D465" s="135"/>
    </row>
    <row r="466" spans="1:7">
      <c r="A466" s="1882" t="s">
        <v>1167</v>
      </c>
      <c r="B466" s="1882"/>
      <c r="C466" s="1882"/>
      <c r="D466" s="1882"/>
      <c r="E466" s="1882"/>
      <c r="F466" s="1882"/>
      <c r="G466" s="1882"/>
    </row>
    <row r="467" spans="1:7" customFormat="1" ht="12" customHeight="1">
      <c r="A467" s="261"/>
      <c r="B467" s="261"/>
      <c r="C467" s="10"/>
      <c r="D467" s="151"/>
      <c r="E467" s="149"/>
      <c r="F467" s="149"/>
      <c r="G467" s="149"/>
    </row>
    <row r="468" spans="1:7" customFormat="1">
      <c r="A468" s="273"/>
      <c r="B468" s="273"/>
      <c r="C468" s="312"/>
      <c r="D468" s="1936" t="s">
        <v>851</v>
      </c>
      <c r="E468" s="1936"/>
      <c r="F468" s="1936"/>
      <c r="G468" s="182"/>
    </row>
    <row r="469" spans="1:7" customFormat="1" ht="13.2" customHeight="1">
      <c r="A469" s="260"/>
      <c r="B469" s="260"/>
      <c r="C469" s="313"/>
      <c r="D469" s="1937" t="s">
        <v>1210</v>
      </c>
      <c r="E469" s="1937"/>
      <c r="F469" s="1937"/>
      <c r="G469" s="149"/>
    </row>
    <row r="470" spans="1:7" customFormat="1">
      <c r="A470" s="260"/>
      <c r="B470" s="260"/>
      <c r="C470" s="313"/>
      <c r="D470" s="1937"/>
      <c r="E470" s="1937"/>
      <c r="F470" s="1937"/>
      <c r="G470" s="149"/>
    </row>
    <row r="471" spans="1:7" customFormat="1">
      <c r="A471" s="260"/>
      <c r="B471" s="260"/>
      <c r="C471" s="313"/>
      <c r="D471" s="1937"/>
      <c r="E471" s="1937"/>
      <c r="F471" s="1937"/>
      <c r="G471" s="149"/>
    </row>
    <row r="472" spans="1:7" customFormat="1">
      <c r="A472" s="260"/>
      <c r="B472" s="260"/>
      <c r="C472" s="313"/>
      <c r="D472" s="1937"/>
      <c r="E472" s="1937"/>
      <c r="F472" s="1937"/>
      <c r="G472" s="149"/>
    </row>
    <row r="473" spans="1:7" customFormat="1">
      <c r="A473" s="260"/>
      <c r="B473" s="260"/>
      <c r="C473" s="313"/>
      <c r="D473" s="1937"/>
      <c r="E473" s="1937"/>
      <c r="F473" s="1937"/>
      <c r="G473" s="149"/>
    </row>
    <row r="474" spans="1:7" customFormat="1">
      <c r="A474" s="260"/>
      <c r="B474" s="260"/>
      <c r="C474" s="313"/>
      <c r="D474" s="466"/>
      <c r="E474" s="149"/>
      <c r="F474" s="151"/>
      <c r="G474" s="149"/>
    </row>
    <row r="475" spans="1:7" customFormat="1" ht="14.55" customHeight="1">
      <c r="A475" s="261"/>
      <c r="B475" s="674" t="s">
        <v>316</v>
      </c>
      <c r="C475" s="313"/>
      <c r="D475" s="1903" t="s">
        <v>1201</v>
      </c>
      <c r="E475" s="1903"/>
      <c r="F475" s="1903"/>
      <c r="G475" s="149"/>
    </row>
    <row r="476" spans="1:7" customFormat="1">
      <c r="A476" s="260"/>
      <c r="B476" s="260"/>
      <c r="C476" s="313"/>
      <c r="D476" s="1903"/>
      <c r="E476" s="1903"/>
      <c r="F476" s="1903"/>
      <c r="G476" s="149"/>
    </row>
    <row r="477" spans="1:7" s="675" customFormat="1">
      <c r="A477" s="260"/>
      <c r="B477" s="260"/>
      <c r="C477" s="313"/>
      <c r="D477" s="1903"/>
      <c r="E477" s="1903"/>
      <c r="F477" s="1903"/>
      <c r="G477" s="149"/>
    </row>
    <row r="478" spans="1:7" s="675" customFormat="1">
      <c r="A478" s="260"/>
      <c r="B478" s="260"/>
      <c r="C478" s="313"/>
      <c r="D478" s="1903"/>
      <c r="E478" s="1903"/>
      <c r="F478" s="1903"/>
      <c r="G478" s="149"/>
    </row>
    <row r="479" spans="1:7" customFormat="1">
      <c r="A479" s="260"/>
      <c r="B479" s="260"/>
      <c r="C479" s="313"/>
      <c r="D479" s="1903"/>
      <c r="E479" s="1903"/>
      <c r="F479" s="1903"/>
      <c r="G479" s="149"/>
    </row>
    <row r="480" spans="1:7" customFormat="1">
      <c r="A480" s="260"/>
      <c r="B480" s="260"/>
      <c r="C480" s="313"/>
      <c r="D480" s="438"/>
      <c r="E480" s="149"/>
      <c r="F480" s="151"/>
      <c r="G480" s="149"/>
    </row>
    <row r="481" spans="1:7" customFormat="1" ht="14.55" customHeight="1">
      <c r="A481" s="261"/>
      <c r="B481" s="674" t="s">
        <v>316</v>
      </c>
      <c r="C481" s="313"/>
      <c r="D481" s="1903" t="s">
        <v>1204</v>
      </c>
      <c r="E481" s="1903"/>
      <c r="F481" s="1903"/>
      <c r="G481" s="149"/>
    </row>
    <row r="482" spans="1:7" customFormat="1">
      <c r="A482" s="260"/>
      <c r="B482" s="260"/>
      <c r="C482" s="313"/>
      <c r="D482" s="1903"/>
      <c r="E482" s="1903"/>
      <c r="F482" s="1903"/>
      <c r="G482" s="149"/>
    </row>
    <row r="483" spans="1:7" s="675" customFormat="1">
      <c r="A483" s="260"/>
      <c r="B483" s="260"/>
      <c r="C483" s="313"/>
      <c r="D483" s="1903"/>
      <c r="E483" s="1903"/>
      <c r="F483" s="1903"/>
      <c r="G483" s="149"/>
    </row>
    <row r="484" spans="1:7" customFormat="1">
      <c r="A484" s="260"/>
      <c r="B484" s="260"/>
      <c r="C484" s="313"/>
      <c r="D484" s="1903"/>
      <c r="E484" s="1903"/>
      <c r="F484" s="1903"/>
      <c r="G484" s="149"/>
    </row>
    <row r="485" spans="1:7" customFormat="1" ht="10.050000000000001" customHeight="1">
      <c r="A485" s="260"/>
      <c r="B485" s="260"/>
      <c r="C485" s="313"/>
      <c r="D485" s="438"/>
      <c r="E485" s="149"/>
      <c r="F485" s="151"/>
      <c r="G485" s="149"/>
    </row>
    <row r="486" spans="1:7" customFormat="1" ht="14.55" customHeight="1">
      <c r="A486" s="261"/>
      <c r="B486" s="674" t="s">
        <v>316</v>
      </c>
      <c r="C486" s="313"/>
      <c r="D486" s="1903" t="s">
        <v>1202</v>
      </c>
      <c r="E486" s="1903"/>
      <c r="F486" s="1903"/>
      <c r="G486" s="149"/>
    </row>
    <row r="487" spans="1:7" customFormat="1">
      <c r="A487" s="260"/>
      <c r="B487" s="260"/>
      <c r="C487" s="313"/>
      <c r="D487" s="1903"/>
      <c r="E487" s="1903"/>
      <c r="F487" s="1903"/>
      <c r="G487" s="149"/>
    </row>
    <row r="488" spans="1:7" customFormat="1">
      <c r="A488" s="260"/>
      <c r="B488" s="260"/>
      <c r="C488" s="313"/>
      <c r="D488" s="1903"/>
      <c r="E488" s="1903"/>
      <c r="F488" s="1903"/>
      <c r="G488" s="149"/>
    </row>
    <row r="489" spans="1:7" s="675" customFormat="1">
      <c r="A489" s="260"/>
      <c r="B489" s="260"/>
      <c r="C489" s="313"/>
      <c r="D489" s="695"/>
      <c r="E489" s="695"/>
      <c r="F489" s="695"/>
      <c r="G489" s="149"/>
    </row>
    <row r="490" spans="1:7" customFormat="1" ht="14.55" customHeight="1">
      <c r="A490" s="261"/>
      <c r="B490" s="674" t="s">
        <v>316</v>
      </c>
      <c r="C490" s="313"/>
      <c r="D490" s="1903" t="s">
        <v>1203</v>
      </c>
      <c r="E490" s="1903"/>
      <c r="F490" s="1903"/>
      <c r="G490" s="149"/>
    </row>
    <row r="491" spans="1:7" customFormat="1">
      <c r="A491" s="260"/>
      <c r="B491" s="260"/>
      <c r="C491" s="313"/>
      <c r="D491" s="1903"/>
      <c r="E491" s="1903"/>
      <c r="F491" s="1903"/>
      <c r="G491" s="149"/>
    </row>
    <row r="492" spans="1:7" customFormat="1">
      <c r="A492" s="260"/>
      <c r="B492" s="260"/>
      <c r="C492" s="313"/>
      <c r="D492" s="1903"/>
      <c r="E492" s="1903"/>
      <c r="F492" s="1903"/>
      <c r="G492" s="149"/>
    </row>
    <row r="493" spans="1:7" customFormat="1">
      <c r="A493" s="260"/>
      <c r="B493" s="260"/>
      <c r="C493" s="313"/>
      <c r="D493" s="1903"/>
      <c r="E493" s="1903"/>
      <c r="F493" s="1903"/>
      <c r="G493" s="149"/>
    </row>
    <row r="494" spans="1:7" customFormat="1">
      <c r="A494" s="260"/>
      <c r="B494" s="260"/>
      <c r="C494" s="313"/>
      <c r="D494" s="1903"/>
      <c r="E494" s="1903"/>
      <c r="F494" s="1903"/>
      <c r="G494" s="149"/>
    </row>
    <row r="495" spans="1:7" customFormat="1">
      <c r="A495" s="260"/>
      <c r="B495" s="260"/>
      <c r="C495" s="313"/>
      <c r="D495" s="1903"/>
      <c r="E495" s="1903"/>
      <c r="F495" s="1903"/>
      <c r="G495" s="149"/>
    </row>
    <row r="496" spans="1:7" customFormat="1">
      <c r="A496" s="260"/>
      <c r="B496" s="260"/>
      <c r="C496" s="313"/>
      <c r="D496" s="1903"/>
      <c r="E496" s="1903"/>
      <c r="F496" s="1903"/>
      <c r="G496" s="149"/>
    </row>
    <row r="497" spans="1:7" customFormat="1">
      <c r="A497" s="482"/>
      <c r="B497" s="482"/>
      <c r="C497" s="481"/>
      <c r="D497" s="1903"/>
      <c r="E497" s="1903"/>
      <c r="F497" s="1903"/>
      <c r="G497" s="149"/>
    </row>
    <row r="498" spans="1:7" customFormat="1">
      <c r="A498" s="482"/>
      <c r="B498" s="482"/>
      <c r="C498" s="481"/>
      <c r="D498" s="1903"/>
      <c r="E498" s="1903"/>
      <c r="F498" s="1903"/>
      <c r="G498" s="149"/>
    </row>
    <row r="499" spans="1:7" customFormat="1">
      <c r="A499" s="482"/>
      <c r="B499" s="482"/>
      <c r="C499" s="481"/>
      <c r="D499" s="438"/>
      <c r="E499" s="149"/>
      <c r="F499" s="151"/>
      <c r="G499" s="149"/>
    </row>
    <row r="500" spans="1:7" customFormat="1" ht="13.2" customHeight="1">
      <c r="A500" s="482"/>
      <c r="B500" s="674" t="s">
        <v>316</v>
      </c>
      <c r="C500" s="481"/>
      <c r="D500" s="1916" t="s">
        <v>1347</v>
      </c>
      <c r="E500" s="1916"/>
      <c r="F500" s="1916"/>
      <c r="G500" s="149"/>
    </row>
    <row r="501" spans="1:7" customFormat="1">
      <c r="A501" s="482"/>
      <c r="B501" s="482"/>
      <c r="C501" s="481"/>
      <c r="D501" s="1916"/>
      <c r="E501" s="1916"/>
      <c r="F501" s="1916"/>
      <c r="G501" s="149"/>
    </row>
    <row r="502" spans="1:7" customFormat="1">
      <c r="A502" s="482"/>
      <c r="B502" s="482"/>
      <c r="C502" s="481"/>
      <c r="D502" s="1916"/>
      <c r="E502" s="1916"/>
      <c r="F502" s="1916"/>
      <c r="G502" s="149"/>
    </row>
    <row r="503" spans="1:7" customFormat="1">
      <c r="A503" s="482"/>
      <c r="B503" s="482"/>
      <c r="C503" s="481"/>
      <c r="D503" s="1916"/>
      <c r="E503" s="1916"/>
      <c r="F503" s="1916"/>
      <c r="G503" s="149"/>
    </row>
    <row r="504" spans="1:7" customFormat="1">
      <c r="A504" s="260"/>
      <c r="B504" s="260"/>
      <c r="C504" s="313"/>
      <c r="D504" s="1916"/>
      <c r="E504" s="1916"/>
      <c r="F504" s="1916"/>
      <c r="G504" s="149"/>
    </row>
    <row r="505" spans="1:7" s="712" customFormat="1">
      <c r="A505" s="715"/>
      <c r="B505" s="715"/>
      <c r="C505" s="313"/>
      <c r="D505" s="736"/>
      <c r="E505" s="736"/>
      <c r="F505" s="736"/>
      <c r="G505" s="149"/>
    </row>
    <row r="506" spans="1:7" customFormat="1" ht="14.55" customHeight="1">
      <c r="A506" s="261"/>
      <c r="B506" s="674" t="s">
        <v>316</v>
      </c>
      <c r="C506" s="10"/>
      <c r="D506" s="1903" t="s">
        <v>1205</v>
      </c>
      <c r="E506" s="1903"/>
      <c r="F506" s="1903"/>
      <c r="G506" s="149"/>
    </row>
    <row r="507" spans="1:7" customFormat="1">
      <c r="A507" s="132"/>
      <c r="B507" s="671"/>
      <c r="C507" s="10"/>
      <c r="D507" s="1903"/>
      <c r="E507" s="1903"/>
      <c r="F507" s="1903"/>
      <c r="G507" s="149"/>
    </row>
    <row r="508" spans="1:7" customFormat="1">
      <c r="A508" s="132"/>
      <c r="B508" s="671"/>
      <c r="C508" s="10"/>
      <c r="D508" s="1903"/>
      <c r="E508" s="1903"/>
      <c r="F508" s="1903"/>
      <c r="G508" s="149"/>
    </row>
    <row r="509" spans="1:7" customFormat="1" ht="12" customHeight="1">
      <c r="A509" s="135"/>
      <c r="B509" s="135"/>
      <c r="C509" s="315"/>
      <c r="D509" s="135"/>
      <c r="E509" s="149"/>
      <c r="F509" s="314"/>
      <c r="G509" s="149"/>
    </row>
    <row r="510" spans="1:7">
      <c r="A510" s="1882" t="s">
        <v>1168</v>
      </c>
      <c r="B510" s="1882"/>
      <c r="C510" s="1882"/>
      <c r="D510" s="1882"/>
      <c r="E510" s="1882"/>
      <c r="F510" s="1882"/>
      <c r="G510" s="1882"/>
    </row>
    <row r="511" spans="1:7">
      <c r="A511" s="135"/>
      <c r="B511" s="135"/>
      <c r="C511" s="266"/>
      <c r="F511" s="134"/>
    </row>
    <row r="512" spans="1:7">
      <c r="B512" s="1878" t="s">
        <v>470</v>
      </c>
      <c r="C512" s="1878"/>
      <c r="D512" s="1878"/>
      <c r="E512" s="1878"/>
      <c r="F512" s="1878"/>
    </row>
    <row r="513" spans="1:7">
      <c r="A513" s="135"/>
      <c r="B513" s="135"/>
      <c r="C513" s="266"/>
      <c r="D513" s="135"/>
      <c r="F513" s="135"/>
    </row>
    <row r="514" spans="1:7">
      <c r="A514" s="1883" t="s">
        <v>1169</v>
      </c>
      <c r="B514" s="1883"/>
      <c r="C514" s="1883"/>
      <c r="D514" s="1883"/>
      <c r="E514" s="1883"/>
      <c r="F514" s="1883"/>
      <c r="G514" s="1883"/>
    </row>
    <row r="515" spans="1:7">
      <c r="A515" s="135"/>
      <c r="B515" s="135"/>
      <c r="C515" s="266"/>
      <c r="D515" s="135"/>
      <c r="F515" s="135"/>
    </row>
    <row r="516" spans="1:7">
      <c r="C516" s="266"/>
      <c r="D516" s="1880" t="s">
        <v>720</v>
      </c>
      <c r="E516" s="1880"/>
      <c r="F516" s="1880"/>
    </row>
    <row r="517" spans="1:7" s="677" customFormat="1">
      <c r="A517" s="694"/>
      <c r="B517" s="694"/>
      <c r="C517" s="266"/>
      <c r="D517" s="1881" t="s">
        <v>1226</v>
      </c>
      <c r="E517" s="1881"/>
      <c r="F517" s="1881"/>
      <c r="G517" s="7"/>
    </row>
    <row r="518" spans="1:7" s="677" customFormat="1">
      <c r="A518" s="694"/>
      <c r="B518" s="694"/>
      <c r="C518" s="266"/>
      <c r="D518" s="699"/>
      <c r="E518" s="699"/>
      <c r="F518" s="699"/>
      <c r="G518" s="7"/>
    </row>
    <row r="519" spans="1:7" ht="13.2" customHeight="1">
      <c r="A519" s="261"/>
      <c r="B519" s="674" t="s">
        <v>316</v>
      </c>
      <c r="C519" s="266"/>
      <c r="D519" s="1881" t="s">
        <v>947</v>
      </c>
      <c r="E519" s="1881"/>
      <c r="F519" s="1881"/>
      <c r="G519" s="12"/>
    </row>
    <row r="520" spans="1:7" ht="13.2" customHeight="1">
      <c r="A520" s="266"/>
      <c r="B520" s="266"/>
      <c r="C520" s="266"/>
      <c r="D520" s="699"/>
      <c r="E520" s="672"/>
      <c r="F520" s="672"/>
      <c r="G520" s="12"/>
    </row>
    <row r="521" spans="1:7" ht="14.4">
      <c r="A521" s="261"/>
      <c r="B521" s="674" t="s">
        <v>316</v>
      </c>
      <c r="C521" s="266"/>
      <c r="D521" s="1856" t="s">
        <v>1227</v>
      </c>
      <c r="E521" s="1856"/>
      <c r="F521" s="1856"/>
      <c r="G521" s="12"/>
    </row>
    <row r="522" spans="1:7">
      <c r="A522" s="266"/>
      <c r="B522" s="266"/>
      <c r="C522" s="266"/>
      <c r="D522" s="1856"/>
      <c r="E522" s="1856"/>
      <c r="F522" s="1856"/>
      <c r="G522" s="12"/>
    </row>
    <row r="523" spans="1:7">
      <c r="A523" s="266"/>
      <c r="B523" s="266"/>
      <c r="C523" s="266"/>
      <c r="D523" s="135"/>
      <c r="E523" s="135"/>
      <c r="F523" s="135"/>
      <c r="G523" s="12"/>
    </row>
    <row r="524" spans="1:7" ht="14.4">
      <c r="A524" s="261"/>
      <c r="B524" s="674" t="s">
        <v>316</v>
      </c>
      <c r="C524" s="266"/>
      <c r="D524" s="1856" t="s">
        <v>1228</v>
      </c>
      <c r="E524" s="1856"/>
      <c r="F524" s="1856"/>
      <c r="G524" s="12"/>
    </row>
    <row r="525" spans="1:7">
      <c r="A525" s="266"/>
      <c r="B525" s="266"/>
      <c r="C525" s="266"/>
      <c r="D525" s="1856"/>
      <c r="E525" s="1856"/>
      <c r="F525" s="1856"/>
      <c r="G525" s="12"/>
    </row>
    <row r="526" spans="1:7">
      <c r="A526" s="266"/>
      <c r="B526" s="266"/>
      <c r="C526" s="266"/>
      <c r="D526" s="135"/>
      <c r="E526" s="135"/>
      <c r="F526" s="135"/>
      <c r="G526" s="12"/>
    </row>
    <row r="527" spans="1:7" ht="14.4">
      <c r="A527" s="261"/>
      <c r="B527" s="674" t="s">
        <v>316</v>
      </c>
      <c r="C527" s="266"/>
      <c r="D527" s="1856" t="s">
        <v>1229</v>
      </c>
      <c r="E527" s="1856"/>
      <c r="F527" s="1856"/>
      <c r="G527" s="12"/>
    </row>
    <row r="528" spans="1:7">
      <c r="A528" s="266"/>
      <c r="B528" s="266"/>
      <c r="C528" s="266"/>
      <c r="D528" s="1856"/>
      <c r="E528" s="1856"/>
      <c r="F528" s="1856"/>
      <c r="G528" s="12"/>
    </row>
    <row r="529" spans="1:7">
      <c r="A529" s="266"/>
      <c r="B529" s="266"/>
      <c r="C529" s="266"/>
      <c r="D529" s="135"/>
      <c r="E529" s="135"/>
      <c r="F529" s="135"/>
      <c r="G529" s="12"/>
    </row>
    <row r="530" spans="1:7" ht="14.4">
      <c r="A530" s="261"/>
      <c r="B530" s="674" t="s">
        <v>316</v>
      </c>
      <c r="C530" s="266"/>
      <c r="D530" s="1856" t="s">
        <v>1230</v>
      </c>
      <c r="E530" s="1856"/>
      <c r="F530" s="1856"/>
      <c r="G530" s="12"/>
    </row>
    <row r="531" spans="1:7">
      <c r="A531" s="266"/>
      <c r="B531" s="266"/>
      <c r="C531" s="266"/>
      <c r="D531" s="1856"/>
      <c r="E531" s="1856"/>
      <c r="F531" s="1856"/>
      <c r="G531" s="12"/>
    </row>
    <row r="532" spans="1:7">
      <c r="A532" s="266"/>
      <c r="B532" s="266"/>
      <c r="C532" s="266"/>
      <c r="D532" s="1856"/>
      <c r="E532" s="1856"/>
      <c r="F532" s="1856"/>
      <c r="G532" s="12"/>
    </row>
    <row r="533" spans="1:7">
      <c r="A533" s="266"/>
      <c r="B533" s="266"/>
      <c r="C533" s="266"/>
      <c r="D533" s="135"/>
      <c r="E533" s="135"/>
      <c r="F533" s="135"/>
    </row>
    <row r="534" spans="1:7" ht="14.4">
      <c r="A534" s="261"/>
      <c r="B534" s="674" t="s">
        <v>316</v>
      </c>
      <c r="C534" s="266"/>
      <c r="D534" s="1879" t="s">
        <v>1348</v>
      </c>
      <c r="E534" s="1879"/>
      <c r="F534" s="1879"/>
    </row>
    <row r="535" spans="1:7">
      <c r="A535" s="266"/>
      <c r="B535" s="266"/>
      <c r="C535" s="266"/>
      <c r="D535" s="1879"/>
      <c r="E535" s="1879"/>
      <c r="F535" s="1879"/>
    </row>
    <row r="536" spans="1:7">
      <c r="A536" s="266"/>
      <c r="B536" s="266"/>
      <c r="C536" s="266"/>
      <c r="D536" s="135"/>
      <c r="E536" s="135"/>
      <c r="F536" s="135"/>
    </row>
    <row r="537" spans="1:7" ht="14.4">
      <c r="A537" s="261"/>
      <c r="B537" s="674" t="s">
        <v>316</v>
      </c>
      <c r="C537" s="266"/>
      <c r="D537" s="1879" t="s">
        <v>1231</v>
      </c>
      <c r="E537" s="1879"/>
      <c r="F537" s="1879"/>
    </row>
    <row r="538" spans="1:7">
      <c r="A538" s="266"/>
      <c r="B538" s="266"/>
      <c r="C538" s="266"/>
      <c r="D538" s="1879"/>
      <c r="E538" s="1879"/>
      <c r="F538" s="1879"/>
    </row>
    <row r="539" spans="1:7">
      <c r="A539" s="266"/>
      <c r="B539" s="266"/>
      <c r="C539" s="266"/>
      <c r="D539" s="135"/>
      <c r="E539" s="135"/>
      <c r="F539" s="135"/>
    </row>
    <row r="540" spans="1:7" ht="14.4">
      <c r="A540" s="261"/>
      <c r="B540" s="674" t="s">
        <v>316</v>
      </c>
      <c r="C540" s="266"/>
      <c r="D540" s="1856" t="s">
        <v>1232</v>
      </c>
      <c r="E540" s="1856"/>
      <c r="F540" s="1856"/>
    </row>
    <row r="541" spans="1:7">
      <c r="A541" s="266"/>
      <c r="B541" s="266"/>
      <c r="C541" s="266"/>
      <c r="D541" s="1856"/>
      <c r="E541" s="1856"/>
      <c r="F541" s="1856"/>
      <c r="G541" s="57"/>
    </row>
    <row r="542" spans="1:7">
      <c r="A542" s="266"/>
      <c r="B542" s="266"/>
      <c r="C542" s="266"/>
      <c r="D542" s="135"/>
      <c r="E542" s="135"/>
      <c r="F542" s="135"/>
      <c r="G542" s="57"/>
    </row>
    <row r="543" spans="1:7" ht="14.4">
      <c r="A543" s="261"/>
      <c r="B543" s="674" t="s">
        <v>316</v>
      </c>
      <c r="C543" s="266"/>
      <c r="D543" s="1881" t="s">
        <v>1233</v>
      </c>
      <c r="E543" s="1881"/>
      <c r="F543" s="1881"/>
      <c r="G543" s="57"/>
    </row>
    <row r="544" spans="1:7">
      <c r="A544" s="23"/>
      <c r="B544" s="670"/>
      <c r="C544" s="266"/>
      <c r="D544" s="1881" t="s">
        <v>881</v>
      </c>
      <c r="E544" s="1881"/>
      <c r="F544" s="1881"/>
      <c r="G544" s="57"/>
    </row>
    <row r="545" spans="1:7">
      <c r="A545" s="23"/>
      <c r="B545" s="670"/>
      <c r="C545" s="266"/>
      <c r="D545" s="6"/>
      <c r="E545" s="1886" t="s">
        <v>1234</v>
      </c>
      <c r="F545" s="1886"/>
      <c r="G545" s="57"/>
    </row>
    <row r="546" spans="1:7" ht="14.4">
      <c r="A546" s="261"/>
      <c r="B546" s="261"/>
      <c r="C546" s="266"/>
      <c r="E546" s="135"/>
      <c r="F546" s="135"/>
      <c r="G546" s="57"/>
    </row>
    <row r="547" spans="1:7" ht="14.4">
      <c r="A547" s="261"/>
      <c r="B547" s="674" t="s">
        <v>316</v>
      </c>
      <c r="C547" s="266"/>
      <c r="D547" s="1887" t="s">
        <v>1235</v>
      </c>
      <c r="E547" s="1887"/>
      <c r="F547" s="1887"/>
      <c r="G547" s="57"/>
    </row>
    <row r="548" spans="1:7">
      <c r="C548" s="266"/>
      <c r="D548" s="1856" t="s">
        <v>1236</v>
      </c>
      <c r="E548" s="1856"/>
      <c r="F548" s="1856"/>
      <c r="G548" s="57"/>
    </row>
    <row r="549" spans="1:7">
      <c r="A549" s="266"/>
      <c r="B549" s="266"/>
      <c r="C549" s="266"/>
      <c r="D549" s="1856"/>
      <c r="E549" s="1856"/>
      <c r="F549" s="1856"/>
      <c r="G549" s="57"/>
    </row>
    <row r="550" spans="1:7">
      <c r="A550" s="266"/>
      <c r="B550" s="266"/>
      <c r="C550" s="266"/>
      <c r="D550" s="1856"/>
      <c r="E550" s="1856"/>
      <c r="F550" s="1856"/>
      <c r="G550" s="57"/>
    </row>
    <row r="551" spans="1:7">
      <c r="A551" s="266"/>
      <c r="B551" s="266"/>
      <c r="C551" s="266"/>
      <c r="D551" s="135"/>
      <c r="E551" s="135"/>
      <c r="F551" s="135"/>
      <c r="G551" s="57"/>
    </row>
    <row r="552" spans="1:7" ht="14.4">
      <c r="A552" s="261"/>
      <c r="B552" s="674" t="s">
        <v>316</v>
      </c>
      <c r="C552" s="266"/>
      <c r="D552" s="1856" t="s">
        <v>1237</v>
      </c>
      <c r="E552" s="1856"/>
      <c r="F552" s="1856"/>
      <c r="G552" s="57"/>
    </row>
    <row r="553" spans="1:7" ht="14.4">
      <c r="A553" s="261"/>
      <c r="B553" s="261"/>
      <c r="C553" s="266"/>
      <c r="D553" s="1856"/>
      <c r="E553" s="1856"/>
      <c r="F553" s="1856"/>
      <c r="G553" s="57"/>
    </row>
    <row r="554" spans="1:7" ht="14.4">
      <c r="A554" s="261"/>
      <c r="B554" s="261"/>
      <c r="C554" s="266"/>
      <c r="D554" s="1856"/>
      <c r="E554" s="1856"/>
      <c r="F554" s="1856"/>
      <c r="G554" s="57"/>
    </row>
    <row r="555" spans="1:7" ht="14.4">
      <c r="A555" s="261"/>
      <c r="B555" s="261"/>
      <c r="C555" s="266"/>
      <c r="D555" s="1856"/>
      <c r="E555" s="1856"/>
      <c r="F555" s="1856"/>
      <c r="G555" s="57"/>
    </row>
    <row r="556" spans="1:7" ht="14.4">
      <c r="A556" s="261"/>
      <c r="B556" s="261"/>
      <c r="C556" s="266"/>
      <c r="D556" s="135"/>
      <c r="E556" s="135"/>
      <c r="F556" s="135"/>
      <c r="G556" s="57"/>
    </row>
    <row r="557" spans="1:7">
      <c r="A557" s="1882" t="s">
        <v>1170</v>
      </c>
      <c r="B557" s="1882"/>
      <c r="C557" s="1882"/>
      <c r="D557" s="1882"/>
      <c r="E557" s="1882"/>
      <c r="F557" s="1882"/>
      <c r="G557" s="1882"/>
    </row>
    <row r="558" spans="1:7">
      <c r="A558" s="266"/>
      <c r="B558" s="266"/>
      <c r="C558" s="266"/>
      <c r="E558" s="135"/>
      <c r="F558" s="135"/>
      <c r="G558" s="57"/>
    </row>
    <row r="559" spans="1:7" ht="12.75" customHeight="1">
      <c r="C559" s="255"/>
      <c r="D559" s="1898" t="s">
        <v>216</v>
      </c>
      <c r="E559" s="1898"/>
      <c r="F559" s="1898"/>
      <c r="G559" s="57"/>
    </row>
    <row r="560" spans="1:7">
      <c r="A560" s="260"/>
      <c r="B560" s="260"/>
      <c r="C560" s="260"/>
      <c r="D560" s="1904" t="s">
        <v>1186</v>
      </c>
      <c r="E560" s="1904"/>
      <c r="F560" s="1904"/>
      <c r="G560" s="57"/>
    </row>
    <row r="561" spans="1:7">
      <c r="A561" s="12"/>
      <c r="B561" s="12"/>
      <c r="C561" s="260"/>
      <c r="D561" s="372"/>
      <c r="G561" s="57"/>
    </row>
    <row r="562" spans="1:7">
      <c r="A562" s="260"/>
      <c r="B562" s="674" t="s">
        <v>316</v>
      </c>
      <c r="D562" s="1904" t="s">
        <v>953</v>
      </c>
      <c r="E562" s="1904"/>
      <c r="F562" s="1904"/>
      <c r="G562" s="57"/>
    </row>
    <row r="563" spans="1:7">
      <c r="A563" s="23"/>
      <c r="B563" s="670"/>
      <c r="D563" s="324"/>
    </row>
    <row r="564" spans="1:7">
      <c r="A564" s="23"/>
      <c r="B564" s="674" t="s">
        <v>316</v>
      </c>
      <c r="D564" s="1905" t="s">
        <v>1187</v>
      </c>
      <c r="E564" s="1905"/>
      <c r="F564" s="1905"/>
    </row>
    <row r="565" spans="1:7">
      <c r="A565" s="23"/>
      <c r="B565" s="670"/>
      <c r="D565" s="1905"/>
      <c r="E565" s="1905"/>
      <c r="F565" s="1905"/>
    </row>
    <row r="566" spans="1:7">
      <c r="A566" s="23"/>
      <c r="B566" s="683"/>
      <c r="D566" s="1905"/>
      <c r="E566" s="1905"/>
      <c r="F566" s="1905"/>
    </row>
    <row r="567" spans="1:7">
      <c r="A567" s="23"/>
      <c r="B567" s="670"/>
      <c r="D567" s="473"/>
    </row>
    <row r="568" spans="1:7" s="677" customFormat="1">
      <c r="A568" s="683"/>
      <c r="B568" s="674" t="s">
        <v>316</v>
      </c>
      <c r="C568" s="684"/>
      <c r="D568" s="1905" t="s">
        <v>1188</v>
      </c>
      <c r="E568" s="1905"/>
      <c r="F568" s="1905"/>
      <c r="G568" s="7"/>
    </row>
    <row r="569" spans="1:7" s="677" customFormat="1">
      <c r="A569" s="683"/>
      <c r="B569" s="683"/>
      <c r="C569" s="684"/>
      <c r="D569" s="1905"/>
      <c r="E569" s="1905"/>
      <c r="F569" s="1905"/>
      <c r="G569" s="7"/>
    </row>
    <row r="570" spans="1:7" s="677" customFormat="1">
      <c r="A570" s="683"/>
      <c r="B570" s="683"/>
      <c r="C570" s="684"/>
      <c r="D570" s="1905"/>
      <c r="E570" s="1905"/>
      <c r="F570" s="1905"/>
      <c r="G570" s="7"/>
    </row>
    <row r="571" spans="1:7" s="677" customFormat="1">
      <c r="A571" s="683"/>
      <c r="B571" s="683"/>
      <c r="C571" s="684"/>
      <c r="D571" s="1905"/>
      <c r="E571" s="1905"/>
      <c r="F571" s="1905"/>
      <c r="G571" s="7"/>
    </row>
    <row r="572" spans="1:7" s="677" customFormat="1">
      <c r="A572" s="683"/>
      <c r="B572" s="683"/>
      <c r="C572" s="684"/>
      <c r="D572" s="689"/>
      <c r="E572" s="689"/>
      <c r="F572" s="689"/>
      <c r="G572" s="7"/>
    </row>
    <row r="573" spans="1:7">
      <c r="A573" s="23"/>
      <c r="B573" s="674" t="s">
        <v>316</v>
      </c>
      <c r="D573" s="1905" t="s">
        <v>1189</v>
      </c>
      <c r="E573" s="1905"/>
      <c r="F573" s="1905"/>
    </row>
    <row r="574" spans="1:7">
      <c r="A574" s="23"/>
      <c r="B574" s="670"/>
      <c r="D574" s="1905"/>
      <c r="E574" s="1905"/>
      <c r="F574" s="1905"/>
    </row>
    <row r="575" spans="1:7">
      <c r="A575" s="23"/>
      <c r="B575" s="670"/>
      <c r="D575" s="372"/>
    </row>
    <row r="576" spans="1:7" s="677" customFormat="1">
      <c r="A576" s="683"/>
      <c r="B576" s="674" t="s">
        <v>316</v>
      </c>
      <c r="C576" s="684"/>
      <c r="D576" s="1904" t="s">
        <v>1190</v>
      </c>
      <c r="E576" s="1904"/>
      <c r="F576" s="1904"/>
      <c r="G576" s="7"/>
    </row>
    <row r="577" spans="1:7" s="677" customFormat="1">
      <c r="A577" s="683"/>
      <c r="B577" s="683"/>
      <c r="C577" s="684"/>
      <c r="D577" s="1904"/>
      <c r="E577" s="1904"/>
      <c r="F577" s="1904"/>
      <c r="G577" s="7"/>
    </row>
    <row r="578" spans="1:7" s="677" customFormat="1">
      <c r="A578" s="683"/>
      <c r="B578" s="683"/>
      <c r="C578" s="684"/>
      <c r="D578" s="372"/>
      <c r="E578" s="7"/>
      <c r="F578" s="7"/>
      <c r="G578" s="7"/>
    </row>
    <row r="579" spans="1:7" ht="14.4">
      <c r="A579" s="261"/>
      <c r="B579" s="674" t="s">
        <v>316</v>
      </c>
      <c r="D579" s="1904" t="s">
        <v>948</v>
      </c>
      <c r="E579" s="1904"/>
      <c r="F579" s="1904"/>
    </row>
    <row r="580" spans="1:7" ht="14.4">
      <c r="A580" s="261"/>
      <c r="B580" s="261"/>
      <c r="D580" s="372"/>
    </row>
    <row r="581" spans="1:7" ht="14.4">
      <c r="A581" s="261"/>
      <c r="B581" s="674" t="s">
        <v>316</v>
      </c>
      <c r="D581" s="1904" t="s">
        <v>1191</v>
      </c>
      <c r="E581" s="1904"/>
      <c r="F581" s="1904"/>
    </row>
    <row r="582" spans="1:7" ht="14.4">
      <c r="A582" s="261"/>
      <c r="B582" s="261"/>
      <c r="D582" s="1904"/>
      <c r="E582" s="1904"/>
      <c r="F582" s="1904"/>
    </row>
    <row r="583" spans="1:7">
      <c r="D583" s="1904"/>
      <c r="E583" s="1904"/>
      <c r="F583" s="1904"/>
    </row>
    <row r="584" spans="1:7">
      <c r="D584" s="1904"/>
      <c r="E584" s="1904"/>
      <c r="F584" s="1904"/>
    </row>
    <row r="585" spans="1:7" s="677" customFormat="1">
      <c r="A585" s="684"/>
      <c r="B585" s="684"/>
      <c r="C585" s="684"/>
      <c r="D585" s="1904"/>
      <c r="E585" s="1904"/>
      <c r="F585" s="1904"/>
      <c r="G585" s="7"/>
    </row>
    <row r="586" spans="1:7" s="677" customFormat="1">
      <c r="A586" s="684"/>
      <c r="B586" s="684"/>
      <c r="C586" s="684"/>
      <c r="D586" s="1904"/>
      <c r="E586" s="1904"/>
      <c r="F586" s="1904"/>
      <c r="G586" s="7"/>
    </row>
    <row r="587" spans="1:7"/>
    <row r="588" spans="1:7">
      <c r="A588" s="1882" t="s">
        <v>1171</v>
      </c>
      <c r="B588" s="1882"/>
      <c r="C588" s="1882"/>
      <c r="D588" s="1882"/>
      <c r="E588" s="1882"/>
      <c r="F588" s="1882"/>
      <c r="G588" s="1882"/>
    </row>
    <row r="589" spans="1:7"/>
    <row r="590" spans="1:7">
      <c r="D590" s="1872" t="s">
        <v>1271</v>
      </c>
      <c r="E590" s="1872"/>
      <c r="F590" s="1872"/>
    </row>
    <row r="591" spans="1:7">
      <c r="D591" s="1873" t="s">
        <v>1272</v>
      </c>
      <c r="E591" s="1873"/>
      <c r="F591" s="1873"/>
    </row>
    <row r="592" spans="1:7" s="714" customFormat="1">
      <c r="A592" s="700"/>
      <c r="B592" s="700"/>
      <c r="C592" s="700"/>
      <c r="D592" s="718"/>
      <c r="E592" s="717"/>
      <c r="F592" s="717"/>
      <c r="G592" s="7"/>
    </row>
    <row r="593" spans="1:7" s="39" customFormat="1" ht="14.4">
      <c r="A593" s="398"/>
      <c r="B593" s="674" t="s">
        <v>316</v>
      </c>
      <c r="C593" s="273"/>
      <c r="D593" s="1874" t="s">
        <v>1273</v>
      </c>
      <c r="E593" s="1874"/>
      <c r="F593" s="1874"/>
      <c r="G593" s="130"/>
    </row>
    <row r="594" spans="1:7">
      <c r="D594" s="1874"/>
      <c r="E594" s="1874"/>
      <c r="F594" s="1874"/>
    </row>
    <row r="595" spans="1:7">
      <c r="D595" s="1874"/>
      <c r="E595" s="1874"/>
      <c r="F595" s="1874"/>
    </row>
    <row r="596" spans="1:7"/>
    <row r="597" spans="1:7">
      <c r="A597" s="1882" t="s">
        <v>1172</v>
      </c>
      <c r="B597" s="1882"/>
      <c r="C597" s="1882"/>
      <c r="D597" s="1882"/>
      <c r="E597" s="1882"/>
      <c r="F597" s="1882"/>
      <c r="G597" s="1882"/>
    </row>
    <row r="598" spans="1:7">
      <c r="A598" s="135"/>
      <c r="B598" s="135"/>
      <c r="G598" s="57"/>
    </row>
    <row r="599" spans="1:7">
      <c r="A599" s="257"/>
      <c r="B599" s="669"/>
      <c r="C599" s="255"/>
      <c r="D599" s="1875" t="s">
        <v>1274</v>
      </c>
      <c r="E599" s="1875"/>
      <c r="F599" s="1875"/>
      <c r="G599" s="57"/>
    </row>
    <row r="600" spans="1:7">
      <c r="A600" s="257"/>
      <c r="B600" s="669"/>
      <c r="C600" s="255"/>
      <c r="D600" s="1875"/>
      <c r="E600" s="1875"/>
      <c r="F600" s="1875"/>
      <c r="G600" s="57"/>
    </row>
    <row r="601" spans="1:7">
      <c r="C601" s="260"/>
      <c r="D601" s="1873" t="s">
        <v>1275</v>
      </c>
      <c r="E601" s="1873"/>
      <c r="F601" s="1873"/>
      <c r="G601" s="57"/>
    </row>
    <row r="602" spans="1:7" s="714" customFormat="1">
      <c r="A602" s="700"/>
      <c r="B602" s="700"/>
      <c r="C602" s="715"/>
      <c r="D602" s="719"/>
      <c r="E602" s="719"/>
      <c r="F602" s="719"/>
      <c r="G602" s="57"/>
    </row>
    <row r="603" spans="1:7">
      <c r="A603" s="23"/>
      <c r="B603" s="674" t="s">
        <v>316</v>
      </c>
      <c r="D603" s="1873" t="s">
        <v>453</v>
      </c>
      <c r="E603" s="1873"/>
      <c r="F603" s="1873"/>
      <c r="G603" s="57"/>
    </row>
    <row r="604" spans="1:7">
      <c r="C604" s="268"/>
      <c r="E604" s="12"/>
      <c r="G604" s="57"/>
    </row>
    <row r="605" spans="1:7">
      <c r="A605" s="23"/>
      <c r="B605" s="674" t="s">
        <v>316</v>
      </c>
      <c r="D605" s="1876" t="s">
        <v>1276</v>
      </c>
      <c r="E605" s="1876"/>
      <c r="F605" s="1876"/>
      <c r="G605" s="57"/>
    </row>
    <row r="606" spans="1:7">
      <c r="D606" s="1876"/>
      <c r="E606" s="1876"/>
      <c r="F606" s="1876"/>
      <c r="G606" s="57"/>
    </row>
    <row r="607" spans="1:7">
      <c r="D607" s="12"/>
      <c r="G607" s="57"/>
    </row>
    <row r="608" spans="1:7">
      <c r="B608" s="674" t="s">
        <v>316</v>
      </c>
      <c r="D608" s="1876" t="s">
        <v>1277</v>
      </c>
      <c r="E608" s="1876"/>
      <c r="F608" s="1876"/>
      <c r="G608" s="57"/>
    </row>
    <row r="609" spans="1:7">
      <c r="C609" s="268"/>
      <c r="D609" s="1876"/>
      <c r="E609" s="1876"/>
      <c r="F609" s="1876"/>
      <c r="G609" s="57"/>
    </row>
    <row r="610" spans="1:7">
      <c r="C610" s="268"/>
      <c r="G610" s="57"/>
    </row>
    <row r="611" spans="1:7">
      <c r="B611" s="674" t="s">
        <v>316</v>
      </c>
      <c r="C611" s="268"/>
      <c r="D611" s="1876" t="s">
        <v>1278</v>
      </c>
      <c r="E611" s="1876"/>
      <c r="F611" s="1876"/>
      <c r="G611" s="57"/>
    </row>
    <row r="612" spans="1:7">
      <c r="C612" s="268"/>
      <c r="D612" s="1876"/>
      <c r="E612" s="1876"/>
      <c r="F612" s="1876"/>
      <c r="G612" s="57"/>
    </row>
    <row r="613" spans="1:7">
      <c r="C613" s="268"/>
      <c r="G613" s="57"/>
    </row>
    <row r="614" spans="1:7">
      <c r="A614" s="1882" t="s">
        <v>1173</v>
      </c>
      <c r="B614" s="1882"/>
      <c r="C614" s="1882"/>
      <c r="D614" s="1882"/>
      <c r="E614" s="1882"/>
      <c r="F614" s="1882"/>
      <c r="G614" s="1882"/>
    </row>
    <row r="615" spans="1:7">
      <c r="A615" s="267"/>
      <c r="B615" s="267"/>
      <c r="C615" s="267"/>
      <c r="G615" s="57"/>
    </row>
    <row r="616" spans="1:7">
      <c r="C616" s="23"/>
      <c r="D616" s="1872" t="s">
        <v>1279</v>
      </c>
      <c r="E616" s="1872"/>
      <c r="F616" s="1872"/>
      <c r="G616" s="57"/>
    </row>
    <row r="617" spans="1:7">
      <c r="A617" s="23"/>
      <c r="B617" s="670"/>
      <c r="C617" s="265"/>
      <c r="D617" s="50"/>
      <c r="G617" s="57"/>
    </row>
    <row r="618" spans="1:7" ht="14.4">
      <c r="A618" s="261"/>
      <c r="B618" s="674" t="s">
        <v>316</v>
      </c>
      <c r="C618" s="265"/>
      <c r="D618" s="1917" t="s">
        <v>1280</v>
      </c>
      <c r="E618" s="1917"/>
      <c r="F618" s="1917"/>
      <c r="G618" s="57"/>
    </row>
    <row r="619" spans="1:7">
      <c r="C619" s="265"/>
      <c r="D619" s="1917"/>
      <c r="E619" s="1917"/>
      <c r="F619" s="1917"/>
      <c r="G619" s="57"/>
    </row>
    <row r="620" spans="1:7">
      <c r="C620" s="265"/>
      <c r="D620" s="1917"/>
      <c r="E620" s="1917"/>
      <c r="F620" s="1917"/>
      <c r="G620" s="57"/>
    </row>
    <row r="621" spans="1:7">
      <c r="C621" s="265"/>
      <c r="D621" s="1917"/>
      <c r="E621" s="1917"/>
      <c r="F621" s="1917"/>
      <c r="G621" s="57"/>
    </row>
    <row r="622" spans="1:7">
      <c r="C622" s="265"/>
      <c r="D622" s="1917"/>
      <c r="E622" s="1917"/>
      <c r="F622" s="1917"/>
      <c r="G622" s="57"/>
    </row>
    <row r="623" spans="1:7">
      <c r="C623" s="265"/>
      <c r="D623" s="1917"/>
      <c r="E623" s="1917"/>
      <c r="F623" s="1917"/>
      <c r="G623" s="57"/>
    </row>
    <row r="624" spans="1:7" s="714" customFormat="1">
      <c r="A624" s="700"/>
      <c r="B624" s="700"/>
      <c r="C624" s="265"/>
      <c r="D624" s="720"/>
      <c r="E624" s="720"/>
      <c r="F624" s="720"/>
      <c r="G624" s="57"/>
    </row>
    <row r="625" spans="1:7" ht="14.4">
      <c r="A625" s="261"/>
      <c r="B625" s="674" t="s">
        <v>316</v>
      </c>
      <c r="C625" s="265"/>
      <c r="D625" s="1917" t="s">
        <v>1281</v>
      </c>
      <c r="E625" s="1917"/>
      <c r="F625" s="1917"/>
      <c r="G625" s="57"/>
    </row>
    <row r="626" spans="1:7">
      <c r="A626" s="266"/>
      <c r="B626" s="266"/>
      <c r="C626" s="266"/>
      <c r="D626" s="1917"/>
      <c r="E626" s="1917"/>
      <c r="F626" s="1917"/>
      <c r="G626" s="57"/>
    </row>
    <row r="627" spans="1:7">
      <c r="A627" s="266"/>
      <c r="B627" s="266"/>
      <c r="C627" s="266"/>
      <c r="D627" s="151"/>
      <c r="E627" s="147"/>
      <c r="F627" s="147"/>
      <c r="G627" s="57"/>
    </row>
    <row r="628" spans="1:7" ht="14.4">
      <c r="A628" s="261"/>
      <c r="B628" s="674" t="s">
        <v>316</v>
      </c>
      <c r="C628" s="266"/>
      <c r="D628" s="1874" t="s">
        <v>1282</v>
      </c>
      <c r="E628" s="1874"/>
      <c r="F628" s="1874"/>
      <c r="G628" s="57"/>
    </row>
    <row r="629" spans="1:7" ht="14.4">
      <c r="A629" s="261"/>
      <c r="B629" s="261"/>
      <c r="C629" s="266"/>
      <c r="D629" s="1874"/>
      <c r="E629" s="1874"/>
      <c r="F629" s="1874"/>
      <c r="G629" s="57"/>
    </row>
    <row r="630" spans="1:7" ht="14.4">
      <c r="A630" s="261"/>
      <c r="B630" s="261"/>
      <c r="C630" s="266"/>
      <c r="D630" s="1874"/>
      <c r="E630" s="1874"/>
      <c r="F630" s="1874"/>
      <c r="G630" s="57"/>
    </row>
    <row r="631" spans="1:7">
      <c r="A631" s="266"/>
      <c r="B631" s="266"/>
      <c r="C631" s="266"/>
      <c r="D631" s="1874"/>
      <c r="E631" s="1874"/>
      <c r="F631" s="1874"/>
      <c r="G631" s="57"/>
    </row>
    <row r="632" spans="1:7" s="714" customFormat="1">
      <c r="A632" s="266"/>
      <c r="B632" s="266"/>
      <c r="C632" s="266"/>
      <c r="D632" s="721"/>
      <c r="E632" s="721"/>
      <c r="F632" s="721"/>
      <c r="G632" s="57"/>
    </row>
    <row r="633" spans="1:7">
      <c r="A633" s="266"/>
      <c r="B633" s="674" t="s">
        <v>316</v>
      </c>
      <c r="C633" s="266"/>
      <c r="D633" s="1922" t="s">
        <v>1283</v>
      </c>
      <c r="E633" s="1922"/>
      <c r="F633" s="1922"/>
      <c r="G633" s="57"/>
    </row>
    <row r="634" spans="1:7">
      <c r="A634" s="266"/>
      <c r="B634" s="266"/>
      <c r="C634" s="266"/>
      <c r="D634" s="722"/>
      <c r="E634" s="722"/>
      <c r="F634" s="722"/>
      <c r="G634" s="57"/>
    </row>
    <row r="635" spans="1:7">
      <c r="A635" s="1882" t="s">
        <v>1174</v>
      </c>
      <c r="B635" s="1882"/>
      <c r="C635" s="1882"/>
      <c r="D635" s="1882"/>
      <c r="E635" s="1882"/>
      <c r="F635" s="1882"/>
      <c r="G635" s="1882"/>
    </row>
    <row r="636" spans="1:7">
      <c r="A636" s="135"/>
      <c r="B636" s="135"/>
      <c r="C636" s="266"/>
      <c r="D636" s="147"/>
      <c r="E636" s="147"/>
      <c r="F636" s="147"/>
      <c r="G636" s="57"/>
    </row>
    <row r="637" spans="1:7">
      <c r="C637" s="267"/>
      <c r="D637" s="1923" t="s">
        <v>1333</v>
      </c>
      <c r="E637" s="1923"/>
      <c r="F637" s="1923"/>
      <c r="G637" s="57"/>
    </row>
    <row r="638" spans="1:7">
      <c r="A638" s="260"/>
      <c r="B638" s="260"/>
      <c r="C638" s="260"/>
      <c r="D638" s="1924" t="s">
        <v>1334</v>
      </c>
      <c r="E638" s="1924"/>
      <c r="F638" s="1924"/>
      <c r="G638" s="57"/>
    </row>
    <row r="639" spans="1:7" s="714" customFormat="1">
      <c r="A639" s="715"/>
      <c r="B639" s="715"/>
      <c r="C639" s="715"/>
      <c r="D639" s="729"/>
      <c r="E639" s="729"/>
      <c r="F639" s="729"/>
      <c r="G639" s="57"/>
    </row>
    <row r="640" spans="1:7" ht="14.55" customHeight="1">
      <c r="A640" s="261"/>
      <c r="B640" s="674" t="s">
        <v>316</v>
      </c>
      <c r="C640" s="266"/>
      <c r="D640" s="1870" t="s">
        <v>1335</v>
      </c>
      <c r="E640" s="1870"/>
      <c r="F640" s="1870"/>
      <c r="G640" s="57"/>
    </row>
    <row r="641" spans="1:11" ht="14.4">
      <c r="A641" s="261"/>
      <c r="B641" s="261"/>
      <c r="C641" s="266"/>
      <c r="D641" s="1870"/>
      <c r="E641" s="1870"/>
      <c r="F641" s="1870"/>
      <c r="G641" s="57"/>
    </row>
    <row r="642" spans="1:11" ht="14.4">
      <c r="A642" s="261"/>
      <c r="B642" s="261"/>
      <c r="C642" s="266"/>
      <c r="D642" s="1870"/>
      <c r="E642" s="1870"/>
      <c r="F642" s="1870"/>
      <c r="G642" s="57"/>
    </row>
    <row r="643" spans="1:11" ht="14.4">
      <c r="A643" s="261"/>
      <c r="B643" s="261"/>
      <c r="C643" s="266"/>
      <c r="D643" s="1870"/>
      <c r="E643" s="1870"/>
      <c r="F643" s="1870"/>
      <c r="G643" s="57"/>
    </row>
    <row r="644" spans="1:11" s="677" customFormat="1" ht="14.4">
      <c r="A644" s="261"/>
      <c r="B644" s="261"/>
      <c r="C644" s="266"/>
      <c r="D644" s="1870"/>
      <c r="E644" s="1870"/>
      <c r="F644" s="1870"/>
      <c r="G644" s="57"/>
    </row>
    <row r="645" spans="1:11" s="714" customFormat="1" ht="14.4">
      <c r="A645" s="709"/>
      <c r="B645" s="709"/>
      <c r="C645" s="266"/>
      <c r="D645" s="731"/>
      <c r="E645" s="731"/>
      <c r="F645" s="731"/>
      <c r="G645" s="57"/>
    </row>
    <row r="646" spans="1:11" s="677" customFormat="1" ht="14.4">
      <c r="A646" s="261"/>
      <c r="B646" s="674" t="s">
        <v>316</v>
      </c>
      <c r="C646" s="266"/>
      <c r="D646" s="1900" t="s">
        <v>1185</v>
      </c>
      <c r="E646" s="1900"/>
      <c r="F646" s="1900"/>
      <c r="G646" s="57"/>
    </row>
    <row r="647" spans="1:11" s="677" customFormat="1" ht="14.4">
      <c r="A647" s="261"/>
      <c r="B647" s="261"/>
      <c r="C647" s="266"/>
      <c r="D647" s="1901" t="s">
        <v>1336</v>
      </c>
      <c r="E647" s="1901"/>
      <c r="F647" s="1901"/>
      <c r="G647" s="57"/>
    </row>
    <row r="648" spans="1:11" s="677" customFormat="1" ht="14.4">
      <c r="A648" s="261"/>
      <c r="B648" s="261"/>
      <c r="C648" s="266"/>
      <c r="D648" s="1901"/>
      <c r="E648" s="1901"/>
      <c r="F648" s="1901"/>
      <c r="G648" s="57"/>
    </row>
    <row r="649" spans="1:11" s="677" customFormat="1" ht="14.4">
      <c r="A649" s="261"/>
      <c r="B649" s="261"/>
      <c r="C649" s="266"/>
      <c r="D649" s="1901"/>
      <c r="E649" s="1901"/>
      <c r="F649" s="1901"/>
      <c r="G649" s="57"/>
    </row>
    <row r="650" spans="1:11" s="677" customFormat="1" ht="14.4">
      <c r="A650" s="261"/>
      <c r="B650" s="261"/>
      <c r="C650" s="266"/>
      <c r="D650" s="1901"/>
      <c r="E650" s="1901"/>
      <c r="F650" s="1901"/>
      <c r="G650" s="57"/>
    </row>
    <row r="651" spans="1:11" s="677" customFormat="1" ht="14.4">
      <c r="A651" s="261"/>
      <c r="B651" s="261"/>
      <c r="C651" s="266"/>
      <c r="D651" s="1901"/>
      <c r="E651" s="1901"/>
      <c r="F651" s="1901"/>
      <c r="G651" s="57"/>
    </row>
    <row r="652" spans="1:11" s="677" customFormat="1" ht="14.4">
      <c r="A652" s="261"/>
      <c r="B652" s="261"/>
      <c r="C652" s="266"/>
      <c r="D652" s="1902" t="s">
        <v>1337</v>
      </c>
      <c r="E652" s="1902"/>
      <c r="F652" s="1902"/>
      <c r="G652" s="57"/>
    </row>
    <row r="653" spans="1:11">
      <c r="A653" s="266"/>
      <c r="B653" s="266"/>
      <c r="C653" s="266"/>
      <c r="D653" s="147"/>
      <c r="E653" s="147"/>
      <c r="F653" s="147"/>
      <c r="G653" s="57"/>
    </row>
    <row r="654" spans="1:11">
      <c r="A654" s="1882" t="s">
        <v>1175</v>
      </c>
      <c r="B654" s="1882"/>
      <c r="C654" s="1882"/>
      <c r="D654" s="1882"/>
      <c r="E654" s="1882"/>
      <c r="F654" s="1882"/>
      <c r="G654" s="1882"/>
      <c r="H654" s="269"/>
      <c r="I654" s="269"/>
      <c r="J654" s="269"/>
      <c r="K654" s="269"/>
    </row>
    <row r="655" spans="1:11" s="714" customFormat="1">
      <c r="A655" s="730"/>
      <c r="B655" s="730"/>
      <c r="C655" s="730"/>
      <c r="D655" s="730"/>
      <c r="E655" s="730"/>
      <c r="F655" s="730"/>
      <c r="G655" s="730"/>
      <c r="H655" s="269"/>
      <c r="I655" s="269"/>
      <c r="J655" s="269"/>
      <c r="K655" s="269"/>
    </row>
    <row r="656" spans="1:11">
      <c r="C656" s="267"/>
      <c r="D656" s="1880" t="s">
        <v>104</v>
      </c>
      <c r="E656" s="1880"/>
      <c r="F656" s="1880"/>
      <c r="G656" s="57"/>
      <c r="H656" s="269"/>
      <c r="I656" s="269"/>
      <c r="J656" s="269"/>
      <c r="K656" s="269"/>
    </row>
    <row r="657" spans="1:11">
      <c r="A657" s="267"/>
      <c r="B657" s="267"/>
      <c r="C657" s="267"/>
      <c r="D657" s="1880" t="s">
        <v>128</v>
      </c>
      <c r="E657" s="1880"/>
      <c r="F657" s="1880"/>
      <c r="G657" s="57"/>
      <c r="H657" s="269"/>
      <c r="I657" s="269"/>
      <c r="J657" s="269"/>
      <c r="K657" s="269"/>
    </row>
    <row r="658" spans="1:11">
      <c r="A658" s="260"/>
      <c r="B658" s="260"/>
      <c r="C658" s="260"/>
      <c r="D658" s="1881" t="s">
        <v>1211</v>
      </c>
      <c r="E658" s="1881"/>
      <c r="F658" s="1881"/>
      <c r="G658" s="57"/>
      <c r="H658" s="269"/>
      <c r="I658" s="269"/>
      <c r="J658" s="269"/>
      <c r="K658" s="269"/>
    </row>
    <row r="659" spans="1:11">
      <c r="A659" s="260"/>
      <c r="B659" s="260"/>
      <c r="C659" s="260"/>
      <c r="G659" s="57"/>
      <c r="H659" s="269"/>
      <c r="I659" s="269"/>
      <c r="J659" s="269"/>
      <c r="K659" s="269"/>
    </row>
    <row r="660" spans="1:11" ht="14.4">
      <c r="A660" s="261"/>
      <c r="B660" s="674" t="s">
        <v>316</v>
      </c>
      <c r="C660" s="260"/>
      <c r="D660" s="1881" t="s">
        <v>949</v>
      </c>
      <c r="E660" s="1881"/>
      <c r="F660" s="1881"/>
      <c r="G660" s="57"/>
      <c r="H660" s="269"/>
      <c r="I660" s="269"/>
      <c r="J660" s="269"/>
      <c r="K660" s="269"/>
    </row>
    <row r="661" spans="1:11">
      <c r="A661" s="260"/>
      <c r="B661" s="260"/>
      <c r="C661" s="260"/>
      <c r="D661" s="1881" t="s">
        <v>960</v>
      </c>
      <c r="E661" s="1881"/>
      <c r="F661" s="1881"/>
      <c r="G661" s="57"/>
      <c r="H661" s="269"/>
      <c r="I661" s="269"/>
      <c r="J661" s="269"/>
      <c r="K661" s="269"/>
    </row>
    <row r="662" spans="1:11">
      <c r="A662" s="260"/>
      <c r="B662" s="260"/>
      <c r="C662" s="260"/>
      <c r="D662" s="6"/>
      <c r="E662" s="1860" t="s">
        <v>1212</v>
      </c>
      <c r="F662" s="1860"/>
      <c r="G662" s="57"/>
      <c r="H662" s="269"/>
      <c r="I662" s="269"/>
      <c r="J662" s="269"/>
      <c r="K662" s="269"/>
    </row>
    <row r="663" spans="1:11">
      <c r="A663" s="260"/>
      <c r="B663" s="260"/>
      <c r="C663" s="260"/>
      <c r="D663" s="6"/>
      <c r="E663" s="1860"/>
      <c r="F663" s="1860"/>
      <c r="G663" s="57"/>
      <c r="H663" s="269"/>
      <c r="I663" s="269"/>
      <c r="J663" s="269"/>
      <c r="K663" s="269"/>
    </row>
    <row r="664" spans="1:11">
      <c r="A664" s="260"/>
      <c r="B664" s="260"/>
      <c r="C664" s="260"/>
      <c r="D664" s="270"/>
      <c r="E664" s="135"/>
      <c r="G664" s="57"/>
      <c r="H664" s="269"/>
      <c r="I664" s="269"/>
      <c r="J664" s="269"/>
      <c r="K664" s="269"/>
    </row>
    <row r="665" spans="1:11" ht="14.4">
      <c r="A665" s="261"/>
      <c r="B665" s="674" t="s">
        <v>316</v>
      </c>
      <c r="C665" s="260"/>
      <c r="D665" s="1856" t="s">
        <v>1213</v>
      </c>
      <c r="E665" s="1856"/>
      <c r="F665" s="1856"/>
      <c r="G665" s="57"/>
      <c r="H665" s="269"/>
      <c r="I665" s="269"/>
      <c r="J665" s="269"/>
      <c r="K665" s="269"/>
    </row>
    <row r="666" spans="1:11">
      <c r="A666" s="23"/>
      <c r="B666" s="670"/>
      <c r="C666" s="260"/>
      <c r="D666" s="1856"/>
      <c r="E666" s="1856"/>
      <c r="F666" s="1856"/>
      <c r="G666" s="57"/>
      <c r="H666" s="269"/>
      <c r="I666" s="269"/>
      <c r="J666" s="269"/>
      <c r="K666" s="269"/>
    </row>
    <row r="667" spans="1:11">
      <c r="A667" s="260"/>
      <c r="B667" s="260"/>
      <c r="C667" s="260"/>
      <c r="D667" s="1856"/>
      <c r="E667" s="1856"/>
      <c r="F667" s="1856"/>
      <c r="G667" s="57"/>
      <c r="H667" s="269"/>
      <c r="I667" s="269"/>
      <c r="J667" s="269"/>
      <c r="K667" s="269"/>
    </row>
    <row r="668" spans="1:11">
      <c r="A668" s="260"/>
      <c r="B668" s="260"/>
      <c r="C668" s="260"/>
      <c r="G668" s="57"/>
      <c r="H668" s="269"/>
      <c r="I668" s="269"/>
      <c r="J668" s="269"/>
      <c r="K668" s="269"/>
    </row>
    <row r="669" spans="1:11" ht="14.4">
      <c r="A669" s="261"/>
      <c r="B669" s="674" t="s">
        <v>316</v>
      </c>
      <c r="C669" s="260"/>
      <c r="D669" s="1881" t="s">
        <v>989</v>
      </c>
      <c r="E669" s="1881"/>
      <c r="F669" s="1881"/>
      <c r="G669" s="57"/>
      <c r="H669" s="269"/>
      <c r="I669" s="269"/>
      <c r="J669" s="269"/>
      <c r="K669" s="269"/>
    </row>
    <row r="670" spans="1:11" ht="14.4">
      <c r="A670" s="261"/>
      <c r="B670" s="261"/>
      <c r="C670" s="260"/>
      <c r="D670" s="1881" t="s">
        <v>960</v>
      </c>
      <c r="E670" s="1881"/>
      <c r="F670" s="1881"/>
      <c r="G670" s="57"/>
      <c r="H670" s="269"/>
      <c r="I670" s="269"/>
      <c r="J670" s="269"/>
      <c r="K670" s="269"/>
    </row>
    <row r="671" spans="1:11">
      <c r="A671" s="260"/>
      <c r="B671" s="260"/>
      <c r="C671" s="260"/>
      <c r="D671" s="6"/>
      <c r="E671" s="1886" t="s">
        <v>1214</v>
      </c>
      <c r="F671" s="1886"/>
      <c r="G671" s="57"/>
      <c r="H671" s="269"/>
      <c r="I671" s="269"/>
      <c r="J671" s="269"/>
      <c r="K671" s="269"/>
    </row>
    <row r="672" spans="1:11">
      <c r="A672" s="260"/>
      <c r="B672" s="260"/>
      <c r="C672" s="260"/>
      <c r="D672" s="50"/>
      <c r="G672" s="57"/>
      <c r="H672" s="269"/>
      <c r="I672" s="269"/>
      <c r="J672" s="269"/>
      <c r="K672" s="269"/>
    </row>
    <row r="673" spans="1:11" ht="14.4">
      <c r="A673" s="261"/>
      <c r="B673" s="674" t="s">
        <v>316</v>
      </c>
      <c r="C673" s="260"/>
      <c r="D673" s="1879" t="s">
        <v>1224</v>
      </c>
      <c r="E673" s="1879"/>
      <c r="F673" s="1879"/>
      <c r="G673" s="57"/>
      <c r="H673" s="269"/>
      <c r="I673" s="269"/>
      <c r="J673" s="269"/>
      <c r="K673" s="269"/>
    </row>
    <row r="674" spans="1:11">
      <c r="A674" s="260"/>
      <c r="B674" s="260"/>
      <c r="C674" s="260"/>
      <c r="D674" s="1879"/>
      <c r="E674" s="1879"/>
      <c r="F674" s="1879"/>
      <c r="G674" s="57"/>
      <c r="H674" s="269"/>
      <c r="I674" s="269"/>
      <c r="J674" s="269"/>
      <c r="K674" s="269"/>
    </row>
    <row r="675" spans="1:11">
      <c r="A675" s="260"/>
      <c r="B675" s="260"/>
      <c r="C675" s="260"/>
      <c r="D675" s="1879"/>
      <c r="E675" s="1879"/>
      <c r="F675" s="1879"/>
      <c r="G675" s="57"/>
      <c r="H675" s="269"/>
      <c r="I675" s="269"/>
      <c r="J675" s="269"/>
      <c r="K675" s="269"/>
    </row>
    <row r="676" spans="1:11">
      <c r="A676" s="260"/>
      <c r="B676" s="260"/>
      <c r="C676" s="260"/>
      <c r="D676" s="1879"/>
      <c r="E676" s="1879"/>
      <c r="F676" s="1879"/>
      <c r="G676" s="57"/>
      <c r="H676" s="269"/>
      <c r="I676" s="269"/>
      <c r="J676" s="269"/>
      <c r="K676" s="269"/>
    </row>
    <row r="677" spans="1:11">
      <c r="A677" s="260"/>
      <c r="B677" s="260"/>
      <c r="C677" s="260"/>
      <c r="D677" s="1879"/>
      <c r="E677" s="1879"/>
      <c r="F677" s="1879"/>
      <c r="G677" s="57"/>
      <c r="H677" s="269"/>
      <c r="I677" s="269"/>
      <c r="J677" s="269"/>
      <c r="K677" s="269"/>
    </row>
    <row r="678" spans="1:11" s="39" customFormat="1">
      <c r="A678" s="482"/>
      <c r="B678" s="482"/>
      <c r="C678" s="482"/>
      <c r="D678" s="1879"/>
      <c r="E678" s="1879"/>
      <c r="F678" s="1879"/>
      <c r="G678" s="60"/>
      <c r="H678" s="272"/>
      <c r="I678" s="272"/>
      <c r="J678" s="272"/>
      <c r="K678" s="272"/>
    </row>
    <row r="679" spans="1:11" s="39" customFormat="1">
      <c r="A679" s="482"/>
      <c r="B679" s="482"/>
      <c r="C679" s="482"/>
      <c r="D679" s="696"/>
      <c r="E679" s="696"/>
      <c r="F679" s="696"/>
      <c r="G679" s="60"/>
      <c r="H679" s="272"/>
      <c r="I679" s="272"/>
      <c r="J679" s="272"/>
      <c r="K679" s="272"/>
    </row>
    <row r="680" spans="1:11" ht="14.4">
      <c r="A680" s="261"/>
      <c r="B680" s="674" t="s">
        <v>316</v>
      </c>
      <c r="C680" s="260"/>
      <c r="D680" s="1879" t="s">
        <v>1215</v>
      </c>
      <c r="E680" s="1879"/>
      <c r="F680" s="1879"/>
      <c r="G680" s="57"/>
      <c r="H680" s="269"/>
      <c r="I680" s="269"/>
      <c r="J680" s="269"/>
      <c r="K680" s="269"/>
    </row>
    <row r="681" spans="1:11">
      <c r="A681" s="260"/>
      <c r="B681" s="260"/>
      <c r="C681" s="260"/>
      <c r="D681" s="1879"/>
      <c r="E681" s="1879"/>
      <c r="F681" s="1879"/>
      <c r="G681" s="57"/>
      <c r="H681" s="269"/>
      <c r="I681" s="269"/>
      <c r="J681" s="269"/>
      <c r="K681" s="269"/>
    </row>
    <row r="682" spans="1:11">
      <c r="A682" s="260"/>
      <c r="B682" s="260"/>
      <c r="C682" s="260"/>
      <c r="D682" s="1879"/>
      <c r="E682" s="1879"/>
      <c r="F682" s="1879"/>
      <c r="G682" s="57"/>
      <c r="H682" s="269"/>
      <c r="I682" s="269"/>
      <c r="J682" s="269"/>
      <c r="K682" s="269"/>
    </row>
    <row r="683" spans="1:11" ht="15" customHeight="1">
      <c r="A683" s="260"/>
      <c r="B683" s="260"/>
      <c r="C683" s="260"/>
      <c r="D683" s="1879"/>
      <c r="E683" s="1879"/>
      <c r="F683" s="1879"/>
      <c r="G683" s="57"/>
      <c r="H683" s="269"/>
      <c r="I683" s="269"/>
      <c r="J683" s="269"/>
      <c r="K683" s="269"/>
    </row>
    <row r="684" spans="1:11" ht="15" customHeight="1">
      <c r="A684" s="260"/>
      <c r="B684" s="260"/>
      <c r="C684" s="260"/>
      <c r="D684" s="1879"/>
      <c r="E684" s="1879"/>
      <c r="F684" s="1879"/>
      <c r="G684" s="57"/>
      <c r="H684" s="269"/>
      <c r="I684" s="269"/>
      <c r="J684" s="269"/>
      <c r="K684" s="269"/>
    </row>
    <row r="685" spans="1:11">
      <c r="A685" s="260"/>
      <c r="B685" s="260"/>
      <c r="C685" s="260"/>
      <c r="D685" s="1879"/>
      <c r="E685" s="1879"/>
      <c r="F685" s="1879"/>
      <c r="G685" s="57"/>
      <c r="H685" s="269"/>
      <c r="I685" s="269"/>
      <c r="J685" s="269"/>
      <c r="K685" s="269"/>
    </row>
    <row r="686" spans="1:11">
      <c r="A686" s="260"/>
      <c r="B686" s="260"/>
      <c r="C686" s="260"/>
      <c r="D686" s="1879"/>
      <c r="E686" s="1879"/>
      <c r="F686" s="1879"/>
      <c r="G686" s="57"/>
      <c r="H686" s="269"/>
      <c r="I686" s="269"/>
      <c r="J686" s="269"/>
      <c r="K686" s="269"/>
    </row>
    <row r="687" spans="1:11">
      <c r="A687" s="260"/>
      <c r="B687" s="260"/>
      <c r="C687" s="260"/>
      <c r="D687" s="1879"/>
      <c r="E687" s="1879"/>
      <c r="F687" s="1879"/>
      <c r="G687" s="57"/>
      <c r="H687" s="269"/>
      <c r="I687" s="269"/>
      <c r="J687" s="269"/>
      <c r="K687" s="269"/>
    </row>
    <row r="688" spans="1:11" ht="15" customHeight="1">
      <c r="A688" s="260"/>
      <c r="B688" s="260"/>
      <c r="C688" s="260"/>
      <c r="D688" s="1879"/>
      <c r="E688" s="1879"/>
      <c r="F688" s="1879"/>
      <c r="G688" s="57"/>
      <c r="H688" s="269"/>
      <c r="I688" s="269"/>
      <c r="J688" s="269"/>
      <c r="K688" s="269"/>
    </row>
    <row r="689" spans="1:11">
      <c r="A689" s="260"/>
      <c r="B689" s="260"/>
      <c r="C689" s="260"/>
      <c r="D689" s="1879"/>
      <c r="E689" s="1879"/>
      <c r="F689" s="1879"/>
      <c r="G689" s="57"/>
      <c r="H689" s="269"/>
      <c r="I689" s="269"/>
      <c r="J689" s="269"/>
      <c r="K689" s="269"/>
    </row>
    <row r="690" spans="1:11">
      <c r="A690" s="260"/>
      <c r="B690" s="260"/>
      <c r="C690" s="260"/>
      <c r="D690" s="1879"/>
      <c r="E690" s="1879"/>
      <c r="F690" s="1879"/>
      <c r="G690" s="57"/>
      <c r="H690" s="269"/>
      <c r="I690" s="269"/>
      <c r="J690" s="269"/>
      <c r="K690" s="269"/>
    </row>
    <row r="691" spans="1:11">
      <c r="A691" s="260"/>
      <c r="B691" s="260"/>
      <c r="C691" s="260"/>
      <c r="D691" s="1879"/>
      <c r="E691" s="1879"/>
      <c r="F691" s="1879"/>
      <c r="G691" s="57"/>
      <c r="H691" s="269"/>
      <c r="I691" s="269"/>
      <c r="J691" s="269"/>
      <c r="K691" s="269"/>
    </row>
    <row r="692" spans="1:11" s="677" customFormat="1">
      <c r="A692" s="260"/>
      <c r="B692" s="260"/>
      <c r="C692" s="260"/>
      <c r="D692" s="696"/>
      <c r="E692" s="696"/>
      <c r="F692" s="696"/>
      <c r="G692" s="57"/>
      <c r="H692" s="269"/>
      <c r="I692" s="269"/>
      <c r="J692" s="269"/>
      <c r="K692" s="269"/>
    </row>
    <row r="693" spans="1:11" ht="14.4">
      <c r="A693" s="261"/>
      <c r="B693" s="674" t="s">
        <v>316</v>
      </c>
      <c r="C693" s="260"/>
      <c r="D693" s="1879" t="s">
        <v>1225</v>
      </c>
      <c r="E693" s="1879"/>
      <c r="F693" s="1879"/>
      <c r="G693" s="57"/>
      <c r="H693" s="269"/>
      <c r="I693" s="269"/>
      <c r="J693" s="269"/>
      <c r="K693" s="269"/>
    </row>
    <row r="694" spans="1:11">
      <c r="A694" s="260"/>
      <c r="B694" s="260"/>
      <c r="C694" s="260"/>
      <c r="D694" s="1879"/>
      <c r="E694" s="1879"/>
      <c r="F694" s="1879"/>
      <c r="G694" s="57"/>
      <c r="H694" s="269"/>
      <c r="I694" s="269"/>
      <c r="J694" s="269"/>
      <c r="K694" s="269"/>
    </row>
    <row r="695" spans="1:11">
      <c r="A695" s="260"/>
      <c r="B695" s="260"/>
      <c r="C695" s="260"/>
      <c r="D695" s="1879"/>
      <c r="E695" s="1879"/>
      <c r="F695" s="1879"/>
      <c r="G695" s="57"/>
      <c r="H695" s="269"/>
      <c r="I695" s="269"/>
      <c r="J695" s="269"/>
      <c r="K695" s="269"/>
    </row>
    <row r="696" spans="1:11" s="677" customFormat="1">
      <c r="A696" s="260"/>
      <c r="B696" s="260"/>
      <c r="C696" s="260"/>
      <c r="D696" s="696"/>
      <c r="E696" s="696"/>
      <c r="F696" s="696"/>
      <c r="G696" s="57"/>
      <c r="H696" s="269"/>
      <c r="I696" s="269"/>
      <c r="J696" s="269"/>
      <c r="K696" s="269"/>
    </row>
    <row r="697" spans="1:11" s="677" customFormat="1">
      <c r="A697" s="260"/>
      <c r="B697" s="674" t="s">
        <v>316</v>
      </c>
      <c r="C697" s="260"/>
      <c r="D697" s="1879" t="s">
        <v>1222</v>
      </c>
      <c r="E697" s="1879"/>
      <c r="F697" s="1879"/>
      <c r="G697" s="57"/>
      <c r="H697" s="269"/>
      <c r="I697" s="269"/>
      <c r="J697" s="269"/>
      <c r="K697" s="269"/>
    </row>
    <row r="698" spans="1:11" s="677" customFormat="1">
      <c r="A698" s="260"/>
      <c r="B698" s="260"/>
      <c r="C698" s="260"/>
      <c r="D698" s="1879"/>
      <c r="E698" s="1879"/>
      <c r="F698" s="1879"/>
      <c r="G698" s="57"/>
      <c r="H698" s="269"/>
      <c r="I698" s="269"/>
      <c r="J698" s="269"/>
      <c r="K698" s="269"/>
    </row>
    <row r="699" spans="1:11" s="677" customFormat="1">
      <c r="A699" s="260"/>
      <c r="B699" s="260"/>
      <c r="C699" s="260"/>
      <c r="D699" s="696"/>
      <c r="E699" s="696"/>
      <c r="F699" s="696"/>
      <c r="G699" s="57"/>
      <c r="H699" s="269"/>
      <c r="I699" s="269"/>
      <c r="J699" s="269"/>
      <c r="K699" s="269"/>
    </row>
    <row r="700" spans="1:11" s="677" customFormat="1">
      <c r="A700" s="260"/>
      <c r="B700" s="674" t="s">
        <v>316</v>
      </c>
      <c r="C700" s="260"/>
      <c r="D700" s="1879" t="s">
        <v>1223</v>
      </c>
      <c r="E700" s="1879"/>
      <c r="F700" s="1879"/>
      <c r="G700" s="57"/>
      <c r="H700" s="269"/>
      <c r="I700" s="269"/>
      <c r="J700" s="269"/>
      <c r="K700" s="269"/>
    </row>
    <row r="701" spans="1:11" s="677" customFormat="1">
      <c r="A701" s="260"/>
      <c r="B701" s="260"/>
      <c r="C701" s="260"/>
      <c r="D701" s="1879"/>
      <c r="E701" s="1879"/>
      <c r="F701" s="1879"/>
      <c r="G701" s="57"/>
      <c r="H701" s="269"/>
      <c r="I701" s="269"/>
      <c r="J701" s="269"/>
      <c r="K701" s="269"/>
    </row>
    <row r="702" spans="1:11" s="677" customFormat="1">
      <c r="A702" s="260"/>
      <c r="B702" s="260"/>
      <c r="C702" s="260"/>
      <c r="D702" s="1879"/>
      <c r="E702" s="1879"/>
      <c r="F702" s="1879"/>
      <c r="G702" s="57"/>
      <c r="H702" s="269"/>
      <c r="I702" s="269"/>
      <c r="J702" s="269"/>
      <c r="K702" s="269"/>
    </row>
    <row r="703" spans="1:11" s="677" customFormat="1">
      <c r="A703" s="260"/>
      <c r="B703" s="260"/>
      <c r="C703" s="260"/>
      <c r="D703" s="696"/>
      <c r="E703" s="696"/>
      <c r="F703" s="696"/>
      <c r="G703" s="57"/>
      <c r="H703" s="269"/>
      <c r="I703" s="269"/>
      <c r="J703" s="269"/>
      <c r="K703" s="269"/>
    </row>
    <row r="704" spans="1:11">
      <c r="A704" s="260"/>
      <c r="B704" s="674" t="s">
        <v>316</v>
      </c>
      <c r="C704" s="260"/>
      <c r="D704" s="1879" t="s">
        <v>1216</v>
      </c>
      <c r="E704" s="1879"/>
      <c r="F704" s="1879"/>
      <c r="G704" s="57"/>
      <c r="H704" s="269"/>
      <c r="I704" s="269"/>
      <c r="J704" s="269"/>
      <c r="K704" s="269"/>
    </row>
    <row r="705" spans="1:11">
      <c r="A705" s="260"/>
      <c r="B705" s="260"/>
      <c r="C705" s="260"/>
      <c r="D705" s="1879"/>
      <c r="E705" s="1879"/>
      <c r="F705" s="1879"/>
      <c r="G705" s="57"/>
      <c r="H705" s="269"/>
      <c r="I705" s="269"/>
      <c r="J705" s="269"/>
      <c r="K705" s="269"/>
    </row>
    <row r="706" spans="1:11">
      <c r="A706" s="260"/>
      <c r="B706" s="260"/>
      <c r="C706" s="260"/>
      <c r="D706" s="1879"/>
      <c r="E706" s="1879"/>
      <c r="F706" s="1879"/>
      <c r="G706" s="57"/>
      <c r="H706" s="269"/>
      <c r="I706" s="269"/>
      <c r="J706" s="269"/>
      <c r="K706" s="269"/>
    </row>
    <row r="707" spans="1:11">
      <c r="A707" s="260"/>
      <c r="B707" s="260"/>
      <c r="C707" s="260"/>
      <c r="D707" s="130"/>
      <c r="G707" s="57"/>
      <c r="H707" s="269"/>
      <c r="I707" s="269"/>
      <c r="J707" s="269"/>
      <c r="K707" s="269"/>
    </row>
    <row r="708" spans="1:11">
      <c r="A708" s="260"/>
      <c r="B708" s="674" t="s">
        <v>316</v>
      </c>
      <c r="C708" s="260"/>
      <c r="D708" s="1879" t="s">
        <v>1217</v>
      </c>
      <c r="E708" s="1879"/>
      <c r="F708" s="1879"/>
      <c r="G708" s="57"/>
      <c r="H708" s="269"/>
      <c r="I708" s="269"/>
      <c r="J708" s="269"/>
      <c r="K708" s="269"/>
    </row>
    <row r="709" spans="1:11">
      <c r="A709" s="260"/>
      <c r="B709" s="260"/>
      <c r="C709" s="260"/>
      <c r="D709" s="1879"/>
      <c r="E709" s="1879"/>
      <c r="F709" s="1879"/>
      <c r="G709" s="57"/>
      <c r="H709" s="269"/>
      <c r="I709" s="269"/>
      <c r="J709" s="269"/>
      <c r="K709" s="269"/>
    </row>
    <row r="710" spans="1:11">
      <c r="A710" s="260"/>
      <c r="B710" s="260"/>
      <c r="C710" s="260"/>
      <c r="D710" s="1879"/>
      <c r="E710" s="1879"/>
      <c r="F710" s="1879"/>
      <c r="G710" s="57"/>
      <c r="H710" s="269"/>
      <c r="I710" s="269"/>
      <c r="J710" s="269"/>
      <c r="K710" s="269"/>
    </row>
    <row r="711" spans="1:11">
      <c r="A711" s="260"/>
      <c r="B711" s="260"/>
      <c r="C711" s="260"/>
      <c r="D711" s="12"/>
      <c r="G711" s="57"/>
      <c r="H711" s="269"/>
      <c r="I711" s="269"/>
      <c r="J711" s="269"/>
      <c r="K711" s="269"/>
    </row>
    <row r="712" spans="1:11" ht="14.4">
      <c r="A712" s="261"/>
      <c r="B712" s="674" t="s">
        <v>316</v>
      </c>
      <c r="C712" s="260"/>
      <c r="D712" s="1856" t="s">
        <v>1218</v>
      </c>
      <c r="E712" s="1856"/>
      <c r="F712" s="1856"/>
      <c r="G712" s="57"/>
      <c r="H712" s="269"/>
      <c r="I712" s="269"/>
      <c r="J712" s="269"/>
      <c r="K712" s="269"/>
    </row>
    <row r="713" spans="1:11">
      <c r="A713" s="260"/>
      <c r="B713" s="260"/>
      <c r="C713" s="260"/>
      <c r="D713" s="1856"/>
      <c r="E713" s="1856"/>
      <c r="F713" s="1856"/>
      <c r="G713" s="57"/>
      <c r="H713" s="269"/>
      <c r="I713" s="269"/>
      <c r="J713" s="269"/>
      <c r="K713" s="269"/>
    </row>
    <row r="714" spans="1:11">
      <c r="A714" s="260"/>
      <c r="B714" s="260"/>
      <c r="C714" s="260"/>
      <c r="D714" s="1856"/>
      <c r="E714" s="1856"/>
      <c r="F714" s="1856"/>
      <c r="G714" s="57"/>
      <c r="H714" s="269"/>
      <c r="I714" s="269"/>
      <c r="J714" s="269"/>
      <c r="K714" s="269"/>
    </row>
    <row r="715" spans="1:11">
      <c r="A715" s="260"/>
      <c r="B715" s="260"/>
      <c r="C715" s="260"/>
      <c r="D715" s="1856"/>
      <c r="E715" s="1856"/>
      <c r="F715" s="1856"/>
      <c r="G715" s="57"/>
      <c r="H715" s="269"/>
      <c r="I715" s="269"/>
      <c r="J715" s="269"/>
      <c r="K715" s="269"/>
    </row>
    <row r="716" spans="1:11">
      <c r="A716" s="260"/>
      <c r="B716" s="260"/>
      <c r="C716" s="260"/>
      <c r="D716" s="263"/>
      <c r="G716" s="57"/>
      <c r="H716" s="269"/>
      <c r="I716" s="269"/>
      <c r="J716" s="269"/>
      <c r="K716" s="269"/>
    </row>
    <row r="717" spans="1:11" ht="14.4">
      <c r="A717" s="261"/>
      <c r="B717" s="674" t="s">
        <v>316</v>
      </c>
      <c r="C717" s="260"/>
      <c r="D717" s="1879" t="s">
        <v>1351</v>
      </c>
      <c r="E717" s="1879"/>
      <c r="F717" s="1879"/>
      <c r="G717" s="57"/>
      <c r="H717" s="269"/>
      <c r="I717" s="269"/>
      <c r="J717" s="269"/>
      <c r="K717" s="269"/>
    </row>
    <row r="718" spans="1:11">
      <c r="A718" s="260"/>
      <c r="B718" s="260"/>
      <c r="C718" s="260"/>
      <c r="D718" s="1879"/>
      <c r="E718" s="1879"/>
      <c r="F718" s="1879"/>
      <c r="G718" s="57"/>
      <c r="H718" s="269"/>
      <c r="I718" s="269"/>
      <c r="J718" s="269"/>
      <c r="K718" s="269"/>
    </row>
    <row r="719" spans="1:11">
      <c r="A719" s="260"/>
      <c r="B719" s="260"/>
      <c r="C719" s="260"/>
      <c r="D719" s="1879"/>
      <c r="E719" s="1879"/>
      <c r="F719" s="1879"/>
      <c r="G719" s="57"/>
      <c r="H719" s="269"/>
      <c r="I719" s="269"/>
      <c r="J719" s="269"/>
      <c r="K719" s="269"/>
    </row>
    <row r="720" spans="1:11">
      <c r="A720" s="260"/>
      <c r="B720" s="260"/>
      <c r="C720" s="260"/>
      <c r="D720" s="1879"/>
      <c r="E720" s="1879"/>
      <c r="F720" s="1879"/>
      <c r="G720" s="57"/>
      <c r="H720" s="269"/>
      <c r="I720" s="269"/>
      <c r="J720" s="269"/>
      <c r="K720" s="269"/>
    </row>
    <row r="721" spans="1:11">
      <c r="A721" s="260"/>
      <c r="B721" s="260"/>
      <c r="C721" s="260"/>
      <c r="D721" s="1879"/>
      <c r="E721" s="1879"/>
      <c r="F721" s="1879"/>
      <c r="G721" s="57"/>
      <c r="H721" s="269"/>
      <c r="I721" s="269"/>
      <c r="J721" s="269"/>
      <c r="K721" s="269"/>
    </row>
    <row r="722" spans="1:11">
      <c r="A722" s="260"/>
      <c r="B722" s="260"/>
      <c r="C722" s="260"/>
      <c r="D722" s="1879"/>
      <c r="E722" s="1879"/>
      <c r="F722" s="1879"/>
      <c r="G722" s="57"/>
      <c r="H722" s="269"/>
      <c r="I722" s="269"/>
      <c r="J722" s="269"/>
      <c r="K722" s="269"/>
    </row>
    <row r="723" spans="1:11">
      <c r="A723" s="260"/>
      <c r="B723" s="260"/>
      <c r="C723" s="260"/>
      <c r="D723" s="1879"/>
      <c r="E723" s="1879"/>
      <c r="F723" s="1879"/>
      <c r="G723" s="57"/>
      <c r="H723" s="269"/>
      <c r="I723" s="269"/>
      <c r="J723" s="269"/>
      <c r="K723" s="269"/>
    </row>
    <row r="724" spans="1:11">
      <c r="A724" s="260"/>
      <c r="B724" s="260"/>
      <c r="C724" s="260"/>
      <c r="D724" s="1890" t="s">
        <v>1219</v>
      </c>
      <c r="E724" s="1890"/>
      <c r="F724" s="1890"/>
      <c r="G724" s="57"/>
      <c r="H724" s="269"/>
      <c r="I724" s="269"/>
      <c r="J724" s="269"/>
      <c r="K724" s="269"/>
    </row>
    <row r="725" spans="1:11" s="677" customFormat="1">
      <c r="A725" s="260"/>
      <c r="B725" s="260"/>
      <c r="C725" s="260"/>
      <c r="D725" s="528"/>
      <c r="E725" s="7"/>
      <c r="F725" s="7"/>
      <c r="G725" s="57"/>
      <c r="H725" s="269"/>
      <c r="I725" s="269"/>
      <c r="J725" s="269"/>
      <c r="K725" s="269"/>
    </row>
    <row r="726" spans="1:11">
      <c r="A726" s="1883" t="s">
        <v>1176</v>
      </c>
      <c r="B726" s="1883"/>
      <c r="C726" s="1883"/>
      <c r="D726" s="1883"/>
      <c r="E726" s="1883"/>
      <c r="F726" s="1883"/>
      <c r="G726" s="1883"/>
      <c r="H726" s="269"/>
      <c r="I726" s="269"/>
      <c r="J726" s="269"/>
      <c r="K726" s="269"/>
    </row>
    <row r="727" spans="1:11">
      <c r="A727" s="260"/>
      <c r="B727" s="260"/>
      <c r="C727" s="260"/>
      <c r="D727" s="263"/>
      <c r="G727" s="271"/>
      <c r="H727" s="269"/>
      <c r="I727" s="269"/>
      <c r="J727" s="269"/>
      <c r="K727" s="269"/>
    </row>
    <row r="728" spans="1:11" ht="13.2" customHeight="1">
      <c r="C728" s="260"/>
      <c r="D728" s="1898" t="s">
        <v>1192</v>
      </c>
      <c r="E728" s="1898"/>
      <c r="F728" s="1898"/>
      <c r="G728" s="271"/>
      <c r="H728" s="269"/>
      <c r="I728" s="269"/>
      <c r="J728" s="269"/>
      <c r="K728" s="269"/>
    </row>
    <row r="729" spans="1:11">
      <c r="A729" s="260"/>
      <c r="B729" s="260"/>
      <c r="C729" s="260"/>
      <c r="D729" s="1885" t="s">
        <v>1193</v>
      </c>
      <c r="E729" s="1885"/>
      <c r="F729" s="1885"/>
      <c r="G729" s="271"/>
      <c r="H729" s="269"/>
      <c r="I729" s="269"/>
      <c r="J729" s="269"/>
      <c r="K729" s="269"/>
    </row>
    <row r="730" spans="1:11">
      <c r="A730" s="260"/>
      <c r="B730" s="260"/>
      <c r="C730" s="260"/>
      <c r="G730" s="271"/>
      <c r="H730" s="269"/>
      <c r="I730" s="269"/>
      <c r="J730" s="269"/>
      <c r="K730" s="269"/>
    </row>
    <row r="731" spans="1:11" s="39" customFormat="1" ht="14.4">
      <c r="A731" s="261"/>
      <c r="B731" s="674" t="s">
        <v>316</v>
      </c>
      <c r="C731" s="132"/>
      <c r="D731" s="1856" t="s">
        <v>1194</v>
      </c>
      <c r="E731" s="1856"/>
      <c r="F731" s="1856"/>
      <c r="G731" s="271"/>
      <c r="H731" s="272"/>
      <c r="I731" s="272"/>
      <c r="J731" s="272"/>
      <c r="K731" s="272"/>
    </row>
    <row r="732" spans="1:11" s="39" customFormat="1" ht="10.5" customHeight="1">
      <c r="A732" s="132"/>
      <c r="B732" s="671"/>
      <c r="C732" s="132"/>
      <c r="D732" s="1856"/>
      <c r="E732" s="1856"/>
      <c r="F732" s="1856"/>
      <c r="G732" s="271"/>
      <c r="H732" s="272"/>
      <c r="I732" s="272"/>
      <c r="J732" s="272"/>
      <c r="K732" s="272"/>
    </row>
    <row r="733" spans="1:11" s="39" customFormat="1">
      <c r="A733" s="132"/>
      <c r="B733" s="671"/>
      <c r="C733" s="132"/>
      <c r="D733" s="1856"/>
      <c r="E733" s="1856"/>
      <c r="F733" s="1856"/>
      <c r="G733" s="271"/>
      <c r="H733" s="272"/>
      <c r="I733" s="272"/>
      <c r="J733" s="272"/>
      <c r="K733" s="272"/>
    </row>
    <row r="734" spans="1:11">
      <c r="D734" s="1856"/>
      <c r="E734" s="1856"/>
      <c r="F734" s="1856"/>
      <c r="G734" s="271"/>
      <c r="H734" s="269"/>
      <c r="I734" s="269"/>
      <c r="J734" s="269"/>
      <c r="K734" s="269"/>
    </row>
    <row r="735" spans="1:11">
      <c r="A735" s="273"/>
      <c r="B735" s="273"/>
      <c r="C735" s="273"/>
      <c r="D735" s="1856"/>
      <c r="E735" s="1856"/>
      <c r="F735" s="1856"/>
      <c r="G735" s="275"/>
      <c r="H735" s="269"/>
      <c r="I735" s="269"/>
      <c r="J735" s="269"/>
      <c r="K735" s="269"/>
    </row>
    <row r="736" spans="1:11" ht="15.75" customHeight="1">
      <c r="A736" s="273"/>
      <c r="B736" s="273"/>
      <c r="C736" s="273"/>
      <c r="D736" s="1856"/>
      <c r="E736" s="1856"/>
      <c r="F736" s="1856"/>
      <c r="G736" s="275"/>
      <c r="H736" s="269"/>
      <c r="I736" s="269"/>
      <c r="J736" s="269"/>
      <c r="K736" s="269"/>
    </row>
    <row r="737" spans="1:11">
      <c r="A737" s="273"/>
      <c r="B737" s="273"/>
      <c r="C737" s="273"/>
      <c r="D737" s="372"/>
      <c r="E737" s="274"/>
      <c r="F737" s="274"/>
      <c r="G737" s="275"/>
      <c r="H737" s="269"/>
      <c r="I737" s="269"/>
      <c r="J737" s="269"/>
      <c r="K737" s="269"/>
    </row>
    <row r="738" spans="1:11" s="404" customFormat="1" ht="14.4">
      <c r="A738" s="402"/>
      <c r="B738" s="674" t="s">
        <v>316</v>
      </c>
      <c r="C738" s="403"/>
      <c r="D738" s="1858" t="s">
        <v>1195</v>
      </c>
      <c r="E738" s="1858"/>
      <c r="F738" s="1858"/>
      <c r="G738" s="311"/>
    </row>
    <row r="739" spans="1:11" s="404" customFormat="1">
      <c r="A739" s="403"/>
      <c r="B739" s="403"/>
      <c r="C739" s="403"/>
      <c r="D739" s="1858"/>
      <c r="E739" s="1858"/>
      <c r="F739" s="1858"/>
      <c r="G739" s="311"/>
    </row>
    <row r="740" spans="1:11" s="404" customFormat="1">
      <c r="A740" s="403"/>
      <c r="B740" s="403"/>
      <c r="C740" s="403"/>
      <c r="D740" s="1858"/>
      <c r="E740" s="1858"/>
      <c r="F740" s="1858"/>
      <c r="G740" s="311"/>
    </row>
    <row r="741" spans="1:11" s="404" customFormat="1">
      <c r="A741" s="403"/>
      <c r="B741" s="403"/>
      <c r="C741" s="403"/>
      <c r="D741" s="1858"/>
      <c r="E741" s="1858"/>
      <c r="F741" s="1858"/>
      <c r="G741" s="311"/>
    </row>
    <row r="742" spans="1:11" s="404" customFormat="1">
      <c r="A742" s="403"/>
      <c r="B742" s="403"/>
      <c r="C742" s="403"/>
      <c r="D742" s="372"/>
      <c r="E742" s="311"/>
      <c r="F742" s="311"/>
      <c r="G742" s="311"/>
    </row>
    <row r="743" spans="1:11" s="404" customFormat="1" ht="14.4">
      <c r="A743" s="261"/>
      <c r="B743" s="674" t="s">
        <v>316</v>
      </c>
      <c r="C743" s="403"/>
      <c r="D743" s="1899" t="s">
        <v>1196</v>
      </c>
      <c r="E743" s="1899"/>
      <c r="F743" s="1899"/>
      <c r="G743" s="311"/>
    </row>
    <row r="744" spans="1:11" s="404" customFormat="1">
      <c r="A744" s="403"/>
      <c r="B744" s="403"/>
      <c r="C744" s="403"/>
      <c r="D744" s="1899"/>
      <c r="E744" s="1899"/>
      <c r="F744" s="1899"/>
      <c r="G744" s="311"/>
    </row>
    <row r="745" spans="1:11" s="404" customFormat="1">
      <c r="A745" s="403"/>
      <c r="B745" s="403"/>
      <c r="C745" s="403"/>
      <c r="D745" s="1899"/>
      <c r="E745" s="1899"/>
      <c r="F745" s="1899"/>
      <c r="G745" s="311"/>
    </row>
    <row r="746" spans="1:11">
      <c r="A746" s="273"/>
      <c r="B746" s="273"/>
      <c r="C746" s="273"/>
      <c r="D746" s="372"/>
      <c r="E746" s="274"/>
      <c r="F746" s="274"/>
      <c r="G746" s="275"/>
      <c r="H746" s="269"/>
      <c r="I746" s="269"/>
      <c r="J746" s="269"/>
      <c r="K746" s="269"/>
    </row>
    <row r="747" spans="1:11" ht="14.4">
      <c r="A747" s="261"/>
      <c r="B747" s="674" t="s">
        <v>316</v>
      </c>
      <c r="C747" s="273"/>
      <c r="D747" s="1858" t="s">
        <v>1197</v>
      </c>
      <c r="E747" s="1858"/>
      <c r="F747" s="1858"/>
      <c r="G747" s="275"/>
      <c r="H747" s="269"/>
      <c r="I747" s="269"/>
      <c r="J747" s="269"/>
      <c r="K747" s="269"/>
    </row>
    <row r="748" spans="1:11">
      <c r="A748" s="273"/>
      <c r="B748" s="273"/>
      <c r="C748" s="273"/>
      <c r="D748" s="1858"/>
      <c r="E748" s="1858"/>
      <c r="F748" s="1858"/>
      <c r="G748" s="275"/>
      <c r="H748" s="269"/>
      <c r="I748" s="269"/>
      <c r="J748" s="269"/>
      <c r="K748" s="269"/>
    </row>
    <row r="749" spans="1:11" s="677" customFormat="1">
      <c r="A749" s="273"/>
      <c r="B749" s="273"/>
      <c r="C749" s="273"/>
      <c r="D749" s="690"/>
      <c r="E749" s="690"/>
      <c r="F749" s="690"/>
      <c r="G749" s="275"/>
      <c r="H749" s="269"/>
      <c r="I749" s="269"/>
      <c r="J749" s="269"/>
      <c r="K749" s="269"/>
    </row>
    <row r="750" spans="1:11" s="677" customFormat="1">
      <c r="A750" s="273"/>
      <c r="B750" s="674" t="s">
        <v>316</v>
      </c>
      <c r="C750" s="273"/>
      <c r="D750" s="1858" t="s">
        <v>1198</v>
      </c>
      <c r="E750" s="1858"/>
      <c r="F750" s="1858"/>
      <c r="G750" s="275"/>
      <c r="H750" s="269"/>
      <c r="I750" s="269"/>
      <c r="J750" s="269"/>
      <c r="K750" s="269"/>
    </row>
    <row r="751" spans="1:11" s="677" customFormat="1">
      <c r="A751" s="273"/>
      <c r="B751" s="273"/>
      <c r="C751" s="273"/>
      <c r="D751" s="1858"/>
      <c r="E751" s="1858"/>
      <c r="F751" s="1858"/>
      <c r="G751" s="275"/>
      <c r="H751" s="269"/>
      <c r="I751" s="269"/>
      <c r="J751" s="269"/>
      <c r="K751" s="269"/>
    </row>
    <row r="752" spans="1:11" s="677" customFormat="1">
      <c r="A752" s="273"/>
      <c r="B752" s="273"/>
      <c r="C752" s="273"/>
      <c r="D752" s="1858"/>
      <c r="E752" s="1858"/>
      <c r="F752" s="1858"/>
      <c r="G752" s="275"/>
      <c r="H752" s="269"/>
      <c r="I752" s="269"/>
      <c r="J752" s="269"/>
      <c r="K752" s="269"/>
    </row>
    <row r="753" spans="1:11" s="677" customFormat="1">
      <c r="A753" s="273"/>
      <c r="B753" s="273"/>
      <c r="C753" s="273"/>
      <c r="D753" s="690"/>
      <c r="E753" s="690"/>
      <c r="F753" s="690"/>
      <c r="G753" s="275"/>
      <c r="H753" s="269"/>
      <c r="I753" s="269"/>
      <c r="J753" s="269"/>
      <c r="K753" s="269"/>
    </row>
    <row r="754" spans="1:11">
      <c r="A754" s="1893" t="s">
        <v>1199</v>
      </c>
      <c r="B754" s="1893"/>
      <c r="C754" s="1893"/>
      <c r="D754" s="1893"/>
      <c r="E754" s="1893"/>
      <c r="F754" s="1893"/>
      <c r="G754" s="1893"/>
    </row>
    <row r="755" spans="1:11">
      <c r="A755" s="260"/>
      <c r="B755" s="260"/>
      <c r="C755" s="260"/>
      <c r="D755" s="276"/>
      <c r="F755" s="147"/>
      <c r="G755" s="271"/>
    </row>
    <row r="756" spans="1:11">
      <c r="A756" s="273"/>
      <c r="B756" s="273"/>
      <c r="C756" s="437"/>
      <c r="D756" s="1894" t="s">
        <v>1183</v>
      </c>
      <c r="E756" s="1894"/>
      <c r="F756" s="1894"/>
      <c r="G756" s="271"/>
    </row>
    <row r="757" spans="1:11">
      <c r="A757" s="498"/>
      <c r="B757" s="498"/>
      <c r="C757" s="497"/>
      <c r="D757" s="1895" t="s">
        <v>1200</v>
      </c>
      <c r="E757" s="1895"/>
      <c r="F757" s="1895"/>
      <c r="G757" s="271"/>
    </row>
    <row r="758" spans="1:11">
      <c r="A758" s="273"/>
      <c r="B758" s="273"/>
      <c r="C758" s="437"/>
      <c r="D758" s="688"/>
      <c r="E758" s="688"/>
      <c r="F758" s="688"/>
      <c r="G758" s="271"/>
    </row>
    <row r="759" spans="1:11" ht="14.4">
      <c r="A759" s="261"/>
      <c r="B759" s="674" t="s">
        <v>316</v>
      </c>
      <c r="C759" s="437"/>
      <c r="D759" s="1896" t="s">
        <v>1068</v>
      </c>
      <c r="E759" s="1896"/>
      <c r="F759" s="1896"/>
      <c r="G759" s="271"/>
    </row>
    <row r="760" spans="1:11">
      <c r="A760" s="273"/>
      <c r="B760" s="273"/>
      <c r="C760" s="437"/>
      <c r="D760" s="687"/>
      <c r="E760" s="1897" t="s">
        <v>1184</v>
      </c>
      <c r="F760" s="1897"/>
      <c r="G760" s="271"/>
    </row>
    <row r="761" spans="1:11">
      <c r="A761" s="267"/>
      <c r="B761" s="267"/>
      <c r="C761" s="267"/>
      <c r="D761" s="135"/>
      <c r="F761" s="57"/>
      <c r="G761" s="271"/>
    </row>
    <row r="762" spans="1:11">
      <c r="A762" s="1891" t="s">
        <v>471</v>
      </c>
      <c r="B762" s="1891"/>
      <c r="C762" s="1891"/>
      <c r="D762" s="1891"/>
      <c r="E762" s="1891"/>
      <c r="F762" s="1891"/>
      <c r="G762" s="1891"/>
    </row>
    <row r="763" spans="1:11">
      <c r="A763" s="255"/>
      <c r="B763" s="668"/>
      <c r="C763" s="266"/>
      <c r="D763" s="271"/>
      <c r="E763" s="271"/>
      <c r="F763" s="271"/>
      <c r="G763" s="271"/>
    </row>
    <row r="764" spans="1:11">
      <c r="A764" s="135"/>
      <c r="B764" s="1892" t="s">
        <v>1067</v>
      </c>
      <c r="C764" s="1892"/>
      <c r="D764" s="1892"/>
      <c r="E764" s="1892"/>
      <c r="F764" s="1892"/>
      <c r="G764" s="271"/>
    </row>
    <row r="765" spans="1:11">
      <c r="A765" s="23"/>
      <c r="B765" s="670"/>
      <c r="G765" s="271"/>
    </row>
    <row r="766" spans="1:11">
      <c r="A766" s="1891" t="s">
        <v>472</v>
      </c>
      <c r="B766" s="1891"/>
      <c r="C766" s="1891"/>
      <c r="D766" s="1891"/>
      <c r="E766" s="1891"/>
      <c r="F766" s="1891"/>
      <c r="G766" s="1891"/>
    </row>
    <row r="767" spans="1:11">
      <c r="A767" s="255"/>
      <c r="B767" s="668"/>
      <c r="C767" s="255"/>
      <c r="D767" s="263"/>
      <c r="G767" s="271"/>
    </row>
    <row r="768" spans="1:11">
      <c r="A768" s="135"/>
      <c r="B768" s="1888" t="s">
        <v>470</v>
      </c>
      <c r="C768" s="1888"/>
      <c r="D768" s="1888"/>
      <c r="E768" s="1888"/>
      <c r="F768" s="1888"/>
      <c r="G768" s="271"/>
    </row>
    <row r="769" spans="1:7" ht="14.4">
      <c r="A769" s="261"/>
      <c r="B769" s="261"/>
      <c r="D769" s="135"/>
      <c r="E769" s="135"/>
      <c r="F769" s="271"/>
      <c r="G769" s="271"/>
    </row>
    <row r="770" spans="1:7">
      <c r="A770" s="1891" t="s">
        <v>473</v>
      </c>
      <c r="B770" s="1891"/>
      <c r="C770" s="1891"/>
      <c r="D770" s="1891"/>
      <c r="E770" s="1891"/>
      <c r="F770" s="1891"/>
      <c r="G770" s="1891"/>
    </row>
    <row r="771" spans="1:7">
      <c r="C771" s="260"/>
      <c r="D771" s="259"/>
      <c r="E771" s="135"/>
      <c r="F771" s="271"/>
      <c r="G771" s="271"/>
    </row>
    <row r="772" spans="1:7">
      <c r="A772" s="135"/>
      <c r="B772" s="1888" t="s">
        <v>470</v>
      </c>
      <c r="C772" s="1888"/>
      <c r="D772" s="1888"/>
      <c r="E772" s="1888"/>
      <c r="F772" s="1888"/>
      <c r="G772" s="271"/>
    </row>
    <row r="773" spans="1:7">
      <c r="A773" s="135"/>
      <c r="B773" s="135"/>
      <c r="C773" s="266"/>
      <c r="D773" s="271"/>
      <c r="E773" s="271"/>
      <c r="F773" s="271"/>
      <c r="G773" s="271"/>
    </row>
    <row r="774" spans="1:7">
      <c r="A774" s="1891" t="s">
        <v>474</v>
      </c>
      <c r="B774" s="1891"/>
      <c r="C774" s="1891"/>
      <c r="D774" s="1891"/>
      <c r="E774" s="1891"/>
      <c r="F774" s="1891"/>
      <c r="G774" s="1891"/>
    </row>
    <row r="775" spans="1:7">
      <c r="A775" s="135"/>
      <c r="B775" s="135"/>
    </row>
    <row r="776" spans="1:7">
      <c r="A776" s="135"/>
      <c r="B776" s="1888" t="s">
        <v>470</v>
      </c>
      <c r="C776" s="1888"/>
      <c r="D776" s="1888"/>
      <c r="E776" s="1888"/>
      <c r="F776" s="1888"/>
    </row>
    <row r="777" spans="1:7">
      <c r="A777" s="266"/>
      <c r="B777" s="266"/>
      <c r="C777" s="266"/>
      <c r="D777" s="258"/>
      <c r="F777" s="271"/>
    </row>
    <row r="778" spans="1:7">
      <c r="A778" s="1891" t="s">
        <v>475</v>
      </c>
      <c r="B778" s="1891"/>
      <c r="C778" s="1891"/>
      <c r="D778" s="1891"/>
      <c r="E778" s="1891"/>
      <c r="F778" s="1891"/>
      <c r="G778" s="1891"/>
    </row>
    <row r="779" spans="1:7">
      <c r="A779" s="135"/>
      <c r="B779" s="135"/>
    </row>
    <row r="780" spans="1:7">
      <c r="A780" s="135"/>
      <c r="B780" s="1888" t="s">
        <v>470</v>
      </c>
      <c r="C780" s="1888"/>
      <c r="D780" s="1888"/>
      <c r="E780" s="1888"/>
      <c r="F780" s="1888"/>
    </row>
    <row r="781" spans="1:7">
      <c r="A781" s="266"/>
      <c r="B781" s="266"/>
      <c r="C781" s="266"/>
      <c r="D781" s="258"/>
      <c r="F781" s="271"/>
    </row>
    <row r="782" spans="1:7">
      <c r="A782" s="1891" t="s">
        <v>476</v>
      </c>
      <c r="B782" s="1891"/>
      <c r="C782" s="1891"/>
      <c r="D782" s="1891"/>
      <c r="E782" s="1891"/>
      <c r="F782" s="1891"/>
      <c r="G782" s="1891"/>
    </row>
    <row r="783" spans="1:7">
      <c r="A783" s="135"/>
      <c r="B783" s="135"/>
    </row>
    <row r="784" spans="1:7">
      <c r="A784" s="135"/>
      <c r="B784" s="1888" t="s">
        <v>470</v>
      </c>
      <c r="C784" s="1888"/>
      <c r="D784" s="1888"/>
      <c r="E784" s="1888"/>
      <c r="F784" s="1888"/>
    </row>
    <row r="785" spans="1:7">
      <c r="A785" s="265"/>
      <c r="B785" s="265"/>
      <c r="C785" s="265"/>
      <c r="D785" s="277"/>
      <c r="E785" s="57"/>
      <c r="F785" s="57"/>
      <c r="G785" s="57"/>
    </row>
    <row r="786" spans="1:7">
      <c r="A786" s="1891" t="s">
        <v>192</v>
      </c>
      <c r="B786" s="1891"/>
      <c r="C786" s="1891"/>
      <c r="D786" s="1891"/>
      <c r="E786" s="1891"/>
      <c r="F786" s="1891"/>
      <c r="G786" s="1891"/>
    </row>
    <row r="787" spans="1:7">
      <c r="A787" s="135"/>
      <c r="B787" s="135"/>
    </row>
    <row r="788" spans="1:7">
      <c r="A788" s="135"/>
      <c r="B788" s="1888" t="s">
        <v>470</v>
      </c>
      <c r="C788" s="1888"/>
      <c r="D788" s="1888"/>
      <c r="E788" s="1888"/>
      <c r="F788" s="1888"/>
    </row>
    <row r="789" spans="1:7">
      <c r="A789" s="135"/>
      <c r="B789" s="135"/>
      <c r="D789" s="258"/>
    </row>
    <row r="790" spans="1:7">
      <c r="A790" s="1891" t="s">
        <v>936</v>
      </c>
      <c r="B790" s="1891"/>
      <c r="C790" s="1891"/>
      <c r="D790" s="1891"/>
      <c r="E790" s="1891"/>
      <c r="F790" s="1891"/>
      <c r="G790" s="1891"/>
    </row>
    <row r="791" spans="1:7">
      <c r="A791" s="135"/>
      <c r="B791" s="135"/>
    </row>
    <row r="792" spans="1:7">
      <c r="A792" s="135"/>
      <c r="B792" s="1888" t="s">
        <v>470</v>
      </c>
      <c r="C792" s="1888"/>
      <c r="D792" s="1888"/>
      <c r="E792" s="1888"/>
      <c r="F792" s="1888"/>
      <c r="G792" s="12"/>
    </row>
    <row r="793" spans="1:7">
      <c r="A793" s="255"/>
      <c r="B793" s="668"/>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6" zoomScaleNormal="100" zoomScaleSheetLayoutView="100" workbookViewId="0">
      <selection activeCell="A2" sqref="A2:J2"/>
    </sheetView>
  </sheetViews>
  <sheetFormatPr defaultColWidth="0" defaultRowHeight="12.45" customHeight="1" zeroHeight="1"/>
  <cols>
    <col min="1" max="10" width="10.77734375" style="717" customWidth="1"/>
    <col min="11" max="16384" width="8.77734375" style="717" hidden="1"/>
  </cols>
  <sheetData>
    <row r="1" spans="1:10" ht="14.25" customHeight="1"/>
    <row r="2" spans="1:10" ht="15.6">
      <c r="A2" s="1938" t="s">
        <v>2396</v>
      </c>
      <c r="B2" s="1939"/>
      <c r="C2" s="1939"/>
      <c r="D2" s="1939"/>
      <c r="E2" s="1939"/>
      <c r="F2" s="1939"/>
      <c r="G2" s="1939"/>
      <c r="H2" s="1939"/>
      <c r="I2" s="1939"/>
      <c r="J2" s="1939"/>
    </row>
    <row r="3" spans="1:10" ht="15">
      <c r="A3" s="1943" t="s">
        <v>1499</v>
      </c>
      <c r="B3" s="1944"/>
      <c r="C3" s="1944"/>
      <c r="D3" s="1944"/>
      <c r="E3" s="1944"/>
      <c r="F3" s="1944"/>
      <c r="G3" s="1944"/>
      <c r="H3" s="1944"/>
      <c r="I3" s="1944"/>
      <c r="J3" s="1944"/>
    </row>
    <row r="4" spans="1:10" ht="13.2"/>
    <row r="5" spans="1:10" ht="12.75" customHeight="1">
      <c r="A5" s="1940" t="s">
        <v>2399</v>
      </c>
      <c r="B5" s="1940"/>
      <c r="C5" s="1940"/>
      <c r="D5" s="1940"/>
      <c r="E5" s="1940"/>
      <c r="F5" s="1940"/>
      <c r="G5" s="1940"/>
      <c r="H5" s="1940"/>
      <c r="I5" s="1940"/>
      <c r="J5" s="1940"/>
    </row>
    <row r="6" spans="1:10" ht="13.2">
      <c r="A6" s="1940"/>
      <c r="B6" s="1940"/>
      <c r="C6" s="1940"/>
      <c r="D6" s="1940"/>
      <c r="E6" s="1940"/>
      <c r="F6" s="1940"/>
      <c r="G6" s="1940"/>
      <c r="H6" s="1940"/>
      <c r="I6" s="1940"/>
      <c r="J6" s="1940"/>
    </row>
    <row r="7" spans="1:10" ht="30" customHeight="1">
      <c r="A7" s="1940"/>
      <c r="B7" s="1940"/>
      <c r="C7" s="1940"/>
      <c r="D7" s="1940"/>
      <c r="E7" s="1940"/>
      <c r="F7" s="1940"/>
      <c r="G7" s="1940"/>
      <c r="H7" s="1940"/>
      <c r="I7" s="1940"/>
      <c r="J7" s="1940"/>
    </row>
    <row r="8" spans="1:10" ht="13.2">
      <c r="A8" s="767"/>
      <c r="B8" s="767"/>
      <c r="C8" s="767"/>
      <c r="D8" s="767"/>
      <c r="E8" s="767"/>
      <c r="F8" s="767"/>
      <c r="G8" s="767"/>
      <c r="H8" s="767"/>
      <c r="I8" s="767"/>
      <c r="J8" s="767"/>
    </row>
    <row r="9" spans="1:10" ht="12.75" customHeight="1">
      <c r="A9" s="1814" t="s">
        <v>2400</v>
      </c>
      <c r="B9" s="1813"/>
      <c r="C9" s="1813"/>
      <c r="D9" s="1813"/>
      <c r="E9" s="1813"/>
      <c r="F9" s="1813"/>
      <c r="G9" s="1813"/>
      <c r="H9" s="1813"/>
      <c r="I9" s="1813"/>
      <c r="J9" s="1813"/>
    </row>
    <row r="10" spans="1:10" ht="13.2"/>
    <row r="11" spans="1:10" ht="12.75" customHeight="1">
      <c r="A11" s="1945" t="s">
        <v>2402</v>
      </c>
      <c r="B11" s="1945"/>
      <c r="C11" s="1945"/>
      <c r="D11" s="1945"/>
      <c r="E11" s="1945"/>
      <c r="F11" s="1945"/>
      <c r="G11" s="1945"/>
      <c r="H11" s="1945"/>
      <c r="I11" s="1945"/>
      <c r="J11" s="1945"/>
    </row>
    <row r="12" spans="1:10" ht="13.2">
      <c r="A12" s="1945"/>
      <c r="B12" s="1945"/>
      <c r="C12" s="1945"/>
      <c r="D12" s="1945"/>
      <c r="E12" s="1945"/>
      <c r="F12" s="1945"/>
      <c r="G12" s="1945"/>
      <c r="H12" s="1945"/>
      <c r="I12" s="1945"/>
      <c r="J12" s="1945"/>
    </row>
    <row r="13" spans="1:10" s="1753" customFormat="1" ht="13.2">
      <c r="A13" s="1945"/>
      <c r="B13" s="1945"/>
      <c r="C13" s="1945"/>
      <c r="D13" s="1945"/>
      <c r="E13" s="1945"/>
      <c r="F13" s="1945"/>
      <c r="G13" s="1945"/>
      <c r="H13" s="1945"/>
      <c r="I13" s="1945"/>
      <c r="J13" s="1945"/>
    </row>
    <row r="14" spans="1:10" ht="13.2">
      <c r="A14" s="1946"/>
      <c r="B14" s="1946"/>
      <c r="C14" s="1946"/>
      <c r="D14" s="1946"/>
      <c r="E14" s="1946"/>
      <c r="F14" s="1946"/>
      <c r="G14" s="1946"/>
      <c r="H14" s="1946"/>
      <c r="I14" s="1946"/>
      <c r="J14" s="1946"/>
    </row>
    <row r="15" spans="1:10" ht="13.2">
      <c r="A15" s="1946"/>
      <c r="B15" s="1946"/>
      <c r="C15" s="1946"/>
      <c r="D15" s="1946"/>
      <c r="E15" s="1946"/>
      <c r="F15" s="1946"/>
      <c r="G15" s="1946"/>
      <c r="H15" s="1946"/>
      <c r="I15" s="1946"/>
      <c r="J15" s="1946"/>
    </row>
    <row r="16" spans="1:10" ht="13.2">
      <c r="A16" s="1946"/>
      <c r="B16" s="1946"/>
      <c r="C16" s="1946"/>
      <c r="D16" s="1946"/>
      <c r="E16" s="1946"/>
      <c r="F16" s="1946"/>
      <c r="G16" s="1946"/>
      <c r="H16" s="1946"/>
      <c r="I16" s="1946"/>
      <c r="J16" s="1946"/>
    </row>
    <row r="17" spans="1:10" s="1753" customFormat="1" ht="13.2">
      <c r="A17" s="1816"/>
      <c r="B17" s="1816"/>
      <c r="C17" s="1816"/>
      <c r="D17" s="1816"/>
      <c r="E17" s="1816"/>
      <c r="F17" s="1816"/>
      <c r="G17" s="1816"/>
      <c r="H17" s="1816"/>
      <c r="I17" s="1816"/>
      <c r="J17" s="1816"/>
    </row>
    <row r="18" spans="1:10" ht="13.2">
      <c r="A18" s="768" t="s">
        <v>2401</v>
      </c>
      <c r="B18" s="767"/>
      <c r="C18" s="767"/>
      <c r="D18" s="767"/>
      <c r="E18" s="767"/>
      <c r="F18" s="767"/>
      <c r="G18" s="767"/>
      <c r="H18" s="767"/>
      <c r="I18" s="767"/>
      <c r="J18" s="767"/>
    </row>
    <row r="19" spans="1:10" ht="13.2">
      <c r="A19" s="769" t="s">
        <v>256</v>
      </c>
      <c r="B19" s="769"/>
      <c r="C19" s="769"/>
      <c r="D19" s="769"/>
      <c r="E19" s="769"/>
      <c r="F19" s="769"/>
      <c r="G19" s="769"/>
      <c r="H19" s="769"/>
      <c r="I19" s="769"/>
      <c r="J19" s="769"/>
    </row>
    <row r="20" spans="1:10" ht="13.2">
      <c r="A20" s="1947" t="s">
        <v>1389</v>
      </c>
      <c r="B20" s="1944"/>
      <c r="C20" s="1944"/>
      <c r="D20" s="1944"/>
      <c r="E20" s="1944"/>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0" t="s">
        <v>1390</v>
      </c>
      <c r="B57" s="1941"/>
      <c r="C57" s="1941"/>
      <c r="D57" s="1941"/>
      <c r="E57" s="1941"/>
      <c r="F57" s="1941"/>
      <c r="G57" s="1941"/>
      <c r="H57" s="1941"/>
      <c r="I57" s="1941"/>
      <c r="J57" s="1941"/>
    </row>
    <row r="58" spans="1:10" ht="13.2">
      <c r="A58" s="1941"/>
      <c r="B58" s="1941"/>
      <c r="C58" s="1941"/>
      <c r="D58" s="1941"/>
      <c r="E58" s="1941"/>
      <c r="F58" s="1941"/>
      <c r="G58" s="1941"/>
      <c r="H58" s="1941"/>
      <c r="I58" s="1941"/>
      <c r="J58" s="1941"/>
    </row>
    <row r="59" spans="1:10" ht="13.2">
      <c r="A59" s="1941"/>
      <c r="B59" s="1941"/>
      <c r="C59" s="1941"/>
      <c r="D59" s="1941"/>
      <c r="E59" s="1941"/>
      <c r="F59" s="1941"/>
      <c r="G59" s="1941"/>
      <c r="H59" s="1941"/>
      <c r="I59" s="1941"/>
      <c r="J59" s="1941"/>
    </row>
    <row r="60" spans="1:10" ht="13.2"/>
    <row r="61" spans="1:10" ht="13.2">
      <c r="A61" s="667" t="s">
        <v>1389</v>
      </c>
    </row>
    <row r="62" spans="1:10" ht="13.2"/>
    <row r="63" spans="1:10" ht="13.2"/>
    <row r="64" spans="1:10" ht="13.2"/>
    <row r="65" spans="1:9" ht="13.2"/>
    <row r="66" spans="1:9" ht="13.2"/>
    <row r="67" spans="1:9" ht="13.2"/>
    <row r="68" spans="1:9" ht="13.2"/>
    <row r="69" spans="1:9" ht="13.2"/>
    <row r="70" spans="1:9" ht="13.2"/>
    <row r="71" spans="1:9" ht="13.2"/>
    <row r="72" spans="1:9" ht="13.2">
      <c r="A72" s="1942" t="s">
        <v>2397</v>
      </c>
      <c r="B72" s="1942"/>
      <c r="C72" s="1942"/>
      <c r="D72" s="1942"/>
      <c r="E72" s="1942"/>
      <c r="F72" s="1942"/>
      <c r="G72" s="1942"/>
      <c r="H72" s="1942"/>
      <c r="I72" s="1942"/>
    </row>
    <row r="73" spans="1:9" ht="13.2">
      <c r="A73" s="1864" t="s">
        <v>1092</v>
      </c>
      <c r="B73" s="1864"/>
      <c r="C73" s="1864"/>
      <c r="D73" s="1864"/>
      <c r="E73" s="1864"/>
    </row>
    <row r="74" spans="1:9" ht="13.2">
      <c r="A74" s="1864" t="s">
        <v>1391</v>
      </c>
      <c r="B74" s="1864"/>
      <c r="C74" s="1864"/>
      <c r="D74" s="1864"/>
      <c r="E74" s="1864"/>
    </row>
    <row r="75" spans="1:9" ht="13.2">
      <c r="A75" s="1864" t="s">
        <v>2398</v>
      </c>
      <c r="B75" s="1864"/>
      <c r="C75" s="1864"/>
      <c r="D75" s="1864"/>
      <c r="E75" s="1864"/>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682" zoomScaleNormal="100" zoomScaleSheetLayoutView="100" workbookViewId="0">
      <selection activeCell="B679" sqref="B679"/>
    </sheetView>
  </sheetViews>
  <sheetFormatPr defaultColWidth="8.77734375" defaultRowHeight="13.2" zeroHeight="1"/>
  <cols>
    <col min="1" max="1" width="3.44140625" style="783" customWidth="1"/>
    <col min="2" max="2" width="13.44140625" style="783" customWidth="1"/>
    <col min="3" max="3" width="2.44140625" style="783" customWidth="1"/>
    <col min="4" max="5" width="3.44140625" style="784" customWidth="1"/>
    <col min="6" max="6" width="65.44140625" style="784" customWidth="1"/>
    <col min="7" max="7" width="1.44140625" style="784" customWidth="1"/>
    <col min="8" max="8" width="3.44140625" style="785" customWidth="1"/>
    <col min="9" max="9" width="24.44140625" style="1758" customWidth="1"/>
    <col min="10" max="16384" width="8.77734375" style="785"/>
  </cols>
  <sheetData>
    <row r="1" spans="1:9"/>
    <row r="2" spans="1:9">
      <c r="A2" s="1948" t="s">
        <v>2237</v>
      </c>
      <c r="B2" s="1948"/>
      <c r="C2" s="1948"/>
      <c r="D2" s="1948"/>
      <c r="E2" s="1948"/>
      <c r="F2" s="1948"/>
      <c r="G2" s="1948"/>
      <c r="H2" s="1948"/>
      <c r="I2" s="1948"/>
    </row>
    <row r="3" spans="1:9">
      <c r="A3" s="1949" t="s">
        <v>2238</v>
      </c>
      <c r="B3" s="1949"/>
      <c r="C3" s="1949"/>
      <c r="D3" s="1949"/>
      <c r="E3" s="1949"/>
      <c r="F3" s="1949"/>
      <c r="G3" s="1949"/>
      <c r="H3" s="1949"/>
      <c r="I3" s="1949"/>
    </row>
    <row r="4" spans="1:9">
      <c r="A4" s="1974"/>
      <c r="B4" s="1974"/>
      <c r="C4" s="1978"/>
      <c r="D4" s="1978"/>
      <c r="E4" s="1978"/>
      <c r="F4" s="1978"/>
      <c r="G4" s="1978"/>
      <c r="I4" s="637"/>
    </row>
    <row r="5" spans="1:9" s="786" customFormat="1">
      <c r="A5" s="1974"/>
      <c r="B5" s="1974"/>
      <c r="C5" s="1975"/>
      <c r="D5" s="1975"/>
      <c r="E5" s="1975"/>
      <c r="F5" s="1975"/>
      <c r="G5" s="1975"/>
      <c r="I5" s="1821"/>
    </row>
    <row r="6" spans="1:9" s="786" customFormat="1">
      <c r="A6" s="1970" t="s">
        <v>1253</v>
      </c>
      <c r="B6" s="1970"/>
      <c r="C6" s="1971"/>
      <c r="D6" s="1971"/>
      <c r="E6" s="1971"/>
      <c r="F6" s="1971"/>
      <c r="G6" s="1971"/>
      <c r="I6" s="1820" t="s">
        <v>2412</v>
      </c>
    </row>
    <row r="7" spans="1:9" s="786" customFormat="1">
      <c r="A7" s="1970" t="s">
        <v>1254</v>
      </c>
      <c r="B7" s="1970"/>
      <c r="C7" s="1971"/>
      <c r="D7" s="1971"/>
      <c r="E7" s="1971"/>
      <c r="F7" s="1971"/>
      <c r="G7" s="1971"/>
      <c r="I7" s="1820" t="s">
        <v>2413</v>
      </c>
    </row>
    <row r="8" spans="1:9">
      <c r="A8" s="787"/>
      <c r="B8" s="787"/>
      <c r="C8" s="788"/>
      <c r="D8" s="788"/>
      <c r="E8" s="788"/>
      <c r="F8" s="788"/>
    </row>
    <row r="9" spans="1:9">
      <c r="A9" s="1912" t="s">
        <v>1256</v>
      </c>
      <c r="B9" s="1912"/>
      <c r="C9" s="1912"/>
      <c r="D9" s="1912"/>
      <c r="E9" s="1912"/>
      <c r="F9" s="1912"/>
      <c r="G9" s="1912"/>
      <c r="H9" s="1837"/>
      <c r="I9" s="1838"/>
    </row>
    <row r="10" spans="1:9">
      <c r="A10" s="788"/>
      <c r="B10" s="788"/>
      <c r="E10" s="789"/>
    </row>
    <row r="11" spans="1:9" ht="13.8" customHeight="1">
      <c r="C11" s="788"/>
      <c r="D11" s="1973" t="s">
        <v>1255</v>
      </c>
      <c r="E11" s="1973"/>
      <c r="F11" s="1973"/>
    </row>
    <row r="12" spans="1:9">
      <c r="C12" s="788"/>
      <c r="D12" s="1973"/>
      <c r="E12" s="1973"/>
      <c r="F12" s="1973"/>
    </row>
    <row r="13" spans="1:9">
      <c r="A13" s="790"/>
      <c r="B13" s="790"/>
      <c r="C13" s="790"/>
      <c r="D13" s="1922" t="s">
        <v>1238</v>
      </c>
      <c r="E13" s="1922"/>
      <c r="F13" s="1922"/>
    </row>
    <row r="14" spans="1:9">
      <c r="A14" s="790"/>
      <c r="B14" s="790"/>
      <c r="C14" s="790"/>
      <c r="D14" s="791"/>
    </row>
    <row r="15" spans="1:9" ht="14.4">
      <c r="A15" s="792"/>
      <c r="B15" s="793" t="s">
        <v>2516</v>
      </c>
      <c r="C15" s="794"/>
      <c r="D15" s="1917" t="s">
        <v>1239</v>
      </c>
      <c r="E15" s="1917"/>
      <c r="F15" s="1917"/>
      <c r="I15" s="1758" t="s">
        <v>2414</v>
      </c>
    </row>
    <row r="16" spans="1:9">
      <c r="A16" s="790"/>
      <c r="B16" s="790"/>
      <c r="C16" s="794"/>
      <c r="D16" s="1917"/>
      <c r="E16" s="1917"/>
      <c r="F16" s="1917"/>
    </row>
    <row r="17" spans="1:9">
      <c r="A17" s="790"/>
      <c r="B17" s="790"/>
      <c r="C17" s="794"/>
      <c r="D17" s="1917"/>
      <c r="E17" s="1917"/>
      <c r="F17" s="1917"/>
    </row>
    <row r="18" spans="1:9">
      <c r="A18" s="790"/>
      <c r="B18" s="790"/>
      <c r="C18" s="790"/>
    </row>
    <row r="19" spans="1:9" ht="14.4">
      <c r="A19" s="792"/>
      <c r="B19" s="793" t="s">
        <v>2621</v>
      </c>
      <c r="D19" s="1896" t="s">
        <v>1240</v>
      </c>
      <c r="E19" s="1896"/>
      <c r="F19" s="1896"/>
      <c r="I19" s="1758" t="s">
        <v>2415</v>
      </c>
    </row>
    <row r="20" spans="1:9" ht="14.4">
      <c r="A20" s="792"/>
      <c r="B20" s="792"/>
      <c r="D20" s="795"/>
    </row>
    <row r="21" spans="1:9" ht="14.4">
      <c r="A21" s="792"/>
      <c r="B21" s="793" t="s">
        <v>2516</v>
      </c>
      <c r="D21" s="1917" t="s">
        <v>1241</v>
      </c>
      <c r="E21" s="1917"/>
      <c r="F21" s="1917"/>
      <c r="I21" s="1758" t="s">
        <v>2415</v>
      </c>
    </row>
    <row r="22" spans="1:9" ht="14.4">
      <c r="A22" s="792"/>
      <c r="B22" s="792"/>
      <c r="D22" s="1917"/>
      <c r="E22" s="1917"/>
      <c r="F22" s="1917"/>
    </row>
    <row r="23" spans="1:9"/>
    <row r="24" spans="1:9" ht="14.4">
      <c r="A24" s="792"/>
      <c r="B24" s="793" t="s">
        <v>2621</v>
      </c>
      <c r="D24" s="1962" t="s">
        <v>1242</v>
      </c>
      <c r="E24" s="1962"/>
      <c r="F24" s="1962"/>
      <c r="I24" s="1758" t="s">
        <v>2418</v>
      </c>
    </row>
    <row r="25" spans="1:9">
      <c r="D25" s="1962"/>
      <c r="E25" s="1962"/>
      <c r="F25" s="1962"/>
    </row>
    <row r="26" spans="1:9">
      <c r="D26" s="1962"/>
      <c r="E26" s="1962"/>
      <c r="F26" s="1962"/>
    </row>
    <row r="27" spans="1:9">
      <c r="D27" s="1962"/>
      <c r="E27" s="1962"/>
      <c r="F27" s="1962"/>
    </row>
    <row r="28" spans="1:9">
      <c r="D28" s="1962"/>
      <c r="E28" s="1962"/>
      <c r="F28" s="1962"/>
    </row>
    <row r="29" spans="1:9" s="786" customFormat="1">
      <c r="A29" s="796"/>
      <c r="B29" s="796"/>
      <c r="C29" s="796"/>
      <c r="D29" s="728"/>
      <c r="E29" s="797"/>
      <c r="F29" s="797"/>
      <c r="G29" s="797"/>
      <c r="I29" s="1821"/>
    </row>
    <row r="30" spans="1:9" s="786" customFormat="1">
      <c r="A30" s="796"/>
      <c r="B30" s="793" t="s">
        <v>2516</v>
      </c>
      <c r="C30" s="796"/>
      <c r="D30" s="1874" t="s">
        <v>1243</v>
      </c>
      <c r="E30" s="1874"/>
      <c r="F30" s="1874"/>
      <c r="G30" s="797"/>
      <c r="I30" s="1821" t="s">
        <v>2414</v>
      </c>
    </row>
    <row r="31" spans="1:9" s="786" customFormat="1">
      <c r="A31" s="796"/>
      <c r="B31" s="796"/>
      <c r="C31" s="796"/>
      <c r="D31" s="1874"/>
      <c r="E31" s="1874"/>
      <c r="F31" s="1874"/>
      <c r="G31" s="797"/>
      <c r="I31" s="1821"/>
    </row>
    <row r="32" spans="1:9" ht="14.4">
      <c r="A32" s="792"/>
      <c r="B32" s="792"/>
      <c r="D32" s="798"/>
    </row>
    <row r="33" spans="1:9" ht="14.55" customHeight="1">
      <c r="A33" s="792"/>
      <c r="B33" s="793" t="s">
        <v>2516</v>
      </c>
      <c r="D33" s="1874" t="s">
        <v>1422</v>
      </c>
      <c r="E33" s="1874"/>
      <c r="F33" s="1874"/>
      <c r="I33" s="1821" t="s">
        <v>2486</v>
      </c>
    </row>
    <row r="34" spans="1:9" ht="14.4">
      <c r="A34" s="792"/>
      <c r="B34" s="792"/>
      <c r="D34" s="1874"/>
      <c r="E34" s="1874"/>
      <c r="F34" s="1874"/>
    </row>
    <row r="35" spans="1:9" ht="14.4">
      <c r="A35" s="792"/>
      <c r="B35" s="792"/>
      <c r="D35" s="1874"/>
      <c r="E35" s="1874"/>
      <c r="F35" s="1874"/>
    </row>
    <row r="36" spans="1:9" ht="14.4">
      <c r="A36" s="792"/>
      <c r="B36" s="792"/>
      <c r="D36" s="1874"/>
      <c r="E36" s="1874"/>
      <c r="F36" s="1874"/>
    </row>
    <row r="37" spans="1:9" ht="14.4">
      <c r="A37" s="792"/>
      <c r="B37" s="792"/>
      <c r="D37" s="785"/>
    </row>
    <row r="38" spans="1:9" ht="14.4">
      <c r="A38" s="792"/>
      <c r="B38" s="793" t="s">
        <v>2516</v>
      </c>
      <c r="D38" s="1874" t="s">
        <v>1245</v>
      </c>
      <c r="E38" s="1874"/>
      <c r="F38" s="1874"/>
    </row>
    <row r="39" spans="1:9" ht="14.4">
      <c r="A39" s="792"/>
      <c r="B39" s="792"/>
      <c r="D39" s="1874"/>
      <c r="E39" s="1874"/>
      <c r="F39" s="1874"/>
    </row>
    <row r="40" spans="1:9" ht="14.4">
      <c r="A40" s="792"/>
      <c r="B40" s="792"/>
      <c r="D40" s="1874"/>
      <c r="E40" s="1874"/>
      <c r="F40" s="1874"/>
    </row>
    <row r="41" spans="1:9" ht="14.4">
      <c r="A41" s="792"/>
      <c r="B41" s="792"/>
      <c r="D41" s="1874"/>
      <c r="E41" s="1874"/>
      <c r="F41" s="1874"/>
    </row>
    <row r="42" spans="1:9" ht="14.4">
      <c r="A42" s="792"/>
      <c r="B42" s="792"/>
      <c r="D42" s="1874"/>
      <c r="E42" s="1874"/>
      <c r="F42" s="1874"/>
    </row>
    <row r="43" spans="1:9" ht="14.4">
      <c r="A43" s="792"/>
      <c r="B43" s="792"/>
      <c r="D43" s="776"/>
      <c r="E43" s="776"/>
      <c r="F43" s="776"/>
    </row>
    <row r="44" spans="1:9" ht="14.4">
      <c r="A44" s="792"/>
      <c r="B44" s="793" t="s">
        <v>2516</v>
      </c>
      <c r="D44" s="1874" t="s">
        <v>1246</v>
      </c>
      <c r="E44" s="1874"/>
      <c r="F44" s="1874"/>
      <c r="I44" s="1821" t="s">
        <v>2486</v>
      </c>
    </row>
    <row r="45" spans="1:9" ht="14.4">
      <c r="A45" s="792"/>
      <c r="B45" s="792"/>
      <c r="D45" s="1874"/>
      <c r="E45" s="1874"/>
      <c r="F45" s="1874"/>
    </row>
    <row r="46" spans="1:9" ht="14.4">
      <c r="A46" s="792"/>
      <c r="B46" s="792"/>
      <c r="D46" s="1874"/>
      <c r="E46" s="1874"/>
      <c r="F46" s="1874"/>
    </row>
    <row r="47" spans="1:9" ht="23.25" customHeight="1">
      <c r="A47" s="792"/>
      <c r="B47" s="792"/>
      <c r="D47" s="1874"/>
      <c r="E47" s="1874"/>
      <c r="F47" s="1874"/>
    </row>
    <row r="48" spans="1:9" ht="14.4">
      <c r="A48" s="792"/>
      <c r="B48" s="792"/>
      <c r="D48" s="780"/>
    </row>
    <row r="49" spans="1:9" ht="14.55" customHeight="1">
      <c r="A49" s="792"/>
      <c r="B49" s="793" t="s">
        <v>2516</v>
      </c>
      <c r="D49" s="1874" t="s">
        <v>1247</v>
      </c>
      <c r="E49" s="1874"/>
      <c r="F49" s="1874"/>
      <c r="I49" s="1821" t="s">
        <v>2486</v>
      </c>
    </row>
    <row r="50" spans="1:9" ht="14.4">
      <c r="A50" s="792"/>
      <c r="B50" s="792"/>
      <c r="D50" s="1874"/>
      <c r="E50" s="1874"/>
      <c r="F50" s="1874"/>
    </row>
    <row r="51" spans="1:9" ht="14.4">
      <c r="A51" s="792"/>
      <c r="B51" s="792"/>
      <c r="D51" s="1874"/>
      <c r="E51" s="1874"/>
      <c r="F51" s="1874"/>
    </row>
    <row r="52" spans="1:9" s="613" customFormat="1" ht="14.4">
      <c r="A52" s="792"/>
      <c r="B52" s="792"/>
      <c r="C52" s="799"/>
      <c r="D52" s="797"/>
      <c r="E52" s="688"/>
      <c r="F52" s="688"/>
      <c r="G52" s="688"/>
      <c r="I52" s="637"/>
    </row>
    <row r="53" spans="1:9" s="613" customFormat="1" ht="14.4">
      <c r="A53" s="800"/>
      <c r="B53" s="793" t="s">
        <v>2621</v>
      </c>
      <c r="C53" s="801"/>
      <c r="D53" s="1874" t="s">
        <v>1248</v>
      </c>
      <c r="E53" s="1874"/>
      <c r="F53" s="1874"/>
      <c r="G53" s="688"/>
      <c r="I53" s="1758"/>
    </row>
    <row r="54" spans="1:9" s="613" customFormat="1" ht="14.4">
      <c r="A54" s="800"/>
      <c r="B54" s="800"/>
      <c r="C54" s="801"/>
      <c r="D54" s="1874"/>
      <c r="E54" s="1874"/>
      <c r="F54" s="1874"/>
      <c r="G54" s="688"/>
      <c r="I54" s="637"/>
    </row>
    <row r="55" spans="1:9" s="786" customFormat="1">
      <c r="A55" s="796"/>
      <c r="B55" s="796"/>
      <c r="C55" s="796"/>
      <c r="D55" s="728"/>
      <c r="E55" s="797"/>
      <c r="F55" s="797"/>
      <c r="G55" s="797"/>
      <c r="I55" s="1821"/>
    </row>
    <row r="56" spans="1:9" ht="14.4">
      <c r="A56" s="792"/>
      <c r="B56" s="793" t="s">
        <v>2516</v>
      </c>
      <c r="D56" s="1874" t="s">
        <v>1249</v>
      </c>
      <c r="E56" s="1874"/>
      <c r="F56" s="1874"/>
      <c r="I56" s="1758" t="s">
        <v>2416</v>
      </c>
    </row>
    <row r="57" spans="1:9">
      <c r="D57" s="1874"/>
      <c r="E57" s="1874"/>
      <c r="F57" s="1874"/>
    </row>
    <row r="58" spans="1:9">
      <c r="D58" s="1874"/>
      <c r="E58" s="1874"/>
      <c r="F58" s="1874"/>
    </row>
    <row r="59" spans="1:9">
      <c r="D59" s="688"/>
    </row>
    <row r="60" spans="1:9" ht="14.4">
      <c r="A60" s="792"/>
      <c r="B60" s="793" t="s">
        <v>2516</v>
      </c>
      <c r="D60" s="1874" t="s">
        <v>1250</v>
      </c>
      <c r="E60" s="1874"/>
      <c r="F60" s="1874"/>
      <c r="I60" s="1758" t="s">
        <v>2417</v>
      </c>
    </row>
    <row r="61" spans="1:9">
      <c r="D61" s="1874"/>
      <c r="E61" s="1874"/>
      <c r="F61" s="1874"/>
    </row>
    <row r="62" spans="1:9"/>
    <row r="63" spans="1:9" ht="14.4">
      <c r="A63" s="792"/>
      <c r="B63" s="793" t="s">
        <v>2621</v>
      </c>
      <c r="D63" s="1874" t="s">
        <v>1251</v>
      </c>
      <c r="E63" s="1874"/>
      <c r="F63" s="1874"/>
    </row>
    <row r="64" spans="1:9">
      <c r="D64" s="1874"/>
      <c r="E64" s="1874"/>
      <c r="F64" s="1874"/>
      <c r="I64" s="1758" t="s">
        <v>2418</v>
      </c>
    </row>
    <row r="65" spans="1:9">
      <c r="D65" s="1874"/>
      <c r="E65" s="1874"/>
      <c r="F65" s="1874"/>
    </row>
    <row r="66" spans="1:9">
      <c r="D66" s="785"/>
    </row>
    <row r="67" spans="1:9" ht="14.4">
      <c r="A67" s="792"/>
      <c r="B67" s="793" t="s">
        <v>2621</v>
      </c>
      <c r="D67" s="1917" t="s">
        <v>1252</v>
      </c>
      <c r="E67" s="1917"/>
      <c r="F67" s="1917"/>
      <c r="I67" s="1758" t="s">
        <v>2418</v>
      </c>
    </row>
    <row r="68" spans="1:9">
      <c r="D68" s="1917"/>
      <c r="E68" s="1917"/>
      <c r="F68" s="1917"/>
    </row>
    <row r="69" spans="1:9" ht="14.4">
      <c r="A69" s="792"/>
      <c r="B69" s="792"/>
      <c r="D69" s="795"/>
    </row>
    <row r="70" spans="1:9">
      <c r="A70" s="1882" t="s">
        <v>1159</v>
      </c>
      <c r="B70" s="1882"/>
      <c r="C70" s="1882"/>
      <c r="D70" s="1882"/>
      <c r="E70" s="1882"/>
      <c r="F70" s="1882"/>
      <c r="G70" s="1882"/>
      <c r="H70" s="1837"/>
      <c r="I70" s="1838"/>
    </row>
    <row r="71" spans="1:9"/>
    <row r="72" spans="1:9">
      <c r="C72" s="802"/>
      <c r="D72" s="1955" t="s">
        <v>1257</v>
      </c>
      <c r="E72" s="1955"/>
      <c r="F72" s="1955"/>
    </row>
    <row r="73" spans="1:9">
      <c r="A73" s="795"/>
      <c r="B73" s="795"/>
      <c r="D73" s="1917" t="s">
        <v>1284</v>
      </c>
      <c r="E73" s="1917"/>
      <c r="F73" s="1917"/>
    </row>
    <row r="74" spans="1:9">
      <c r="A74" s="795"/>
      <c r="B74" s="795"/>
    </row>
    <row r="75" spans="1:9" ht="13.8" customHeight="1">
      <c r="A75" s="792"/>
      <c r="B75" s="793" t="s">
        <v>2621</v>
      </c>
      <c r="D75" s="1917" t="s">
        <v>1471</v>
      </c>
      <c r="E75" s="1917"/>
      <c r="F75" s="1917"/>
      <c r="I75" s="1758" t="s">
        <v>2419</v>
      </c>
    </row>
    <row r="76" spans="1:9" ht="14.4">
      <c r="A76" s="792"/>
      <c r="B76" s="792"/>
      <c r="D76" s="1917"/>
      <c r="E76" s="1917"/>
      <c r="F76" s="1917"/>
    </row>
    <row r="77" spans="1:9" ht="14.4">
      <c r="A77" s="792"/>
      <c r="B77" s="792"/>
      <c r="D77" s="1917"/>
      <c r="E77" s="1917"/>
      <c r="F77" s="1917"/>
    </row>
    <row r="78" spans="1:9" ht="14.4">
      <c r="A78" s="792"/>
      <c r="B78" s="792"/>
      <c r="D78" s="1917"/>
      <c r="E78" s="1917"/>
      <c r="F78" s="1917"/>
    </row>
    <row r="79" spans="1:9" ht="14.4">
      <c r="A79" s="792"/>
      <c r="B79" s="792"/>
      <c r="D79" s="1917"/>
      <c r="E79" s="1917"/>
      <c r="F79" s="1917"/>
    </row>
    <row r="80" spans="1:9" ht="14.4">
      <c r="A80" s="792"/>
      <c r="B80" s="792"/>
      <c r="D80" s="1917"/>
      <c r="E80" s="1917"/>
      <c r="F80" s="1917"/>
    </row>
    <row r="81" spans="1:9" ht="14.4">
      <c r="A81" s="792"/>
      <c r="B81" s="792"/>
      <c r="D81" s="1917"/>
      <c r="E81" s="1917"/>
      <c r="F81" s="1917"/>
    </row>
    <row r="82" spans="1:9" ht="14.4">
      <c r="A82" s="792"/>
      <c r="B82" s="792"/>
      <c r="D82" s="1917"/>
      <c r="E82" s="1917"/>
      <c r="F82" s="1917"/>
    </row>
    <row r="83" spans="1:9" ht="14.4">
      <c r="A83" s="792"/>
      <c r="B83" s="792"/>
      <c r="D83" s="873"/>
      <c r="E83" s="873"/>
      <c r="F83" s="873"/>
    </row>
    <row r="84" spans="1:9" ht="15" customHeight="1">
      <c r="A84" s="792"/>
      <c r="B84" s="793" t="s">
        <v>2621</v>
      </c>
      <c r="D84" s="1917" t="s">
        <v>2239</v>
      </c>
      <c r="E84" s="1917"/>
      <c r="F84" s="1917"/>
      <c r="I84" s="1758" t="s">
        <v>2420</v>
      </c>
    </row>
    <row r="85" spans="1:9" ht="14.4">
      <c r="A85" s="792"/>
      <c r="B85" s="792"/>
      <c r="D85" s="1917"/>
      <c r="E85" s="1917"/>
      <c r="F85" s="1917"/>
    </row>
    <row r="86" spans="1:9" ht="14.4">
      <c r="A86" s="792"/>
      <c r="B86" s="792"/>
      <c r="D86" s="1696"/>
      <c r="E86" s="1696"/>
      <c r="F86" s="1696"/>
    </row>
    <row r="87" spans="1:9" ht="14.4">
      <c r="A87" s="792"/>
      <c r="B87" s="793" t="s">
        <v>2621</v>
      </c>
      <c r="D87" s="1917" t="s">
        <v>2243</v>
      </c>
      <c r="E87" s="1917"/>
      <c r="F87" s="1917"/>
      <c r="I87" s="1758" t="s">
        <v>2421</v>
      </c>
    </row>
    <row r="88" spans="1:9" ht="14.4">
      <c r="A88" s="792"/>
      <c r="B88" s="792"/>
      <c r="D88" s="1917"/>
      <c r="E88" s="1917"/>
      <c r="F88" s="1917"/>
    </row>
    <row r="89" spans="1:9" ht="14.4">
      <c r="A89" s="792"/>
      <c r="B89" s="792"/>
      <c r="D89" s="1917"/>
      <c r="E89" s="1917"/>
      <c r="F89" s="1917"/>
    </row>
    <row r="90" spans="1:9" ht="14.4">
      <c r="A90" s="792"/>
      <c r="B90" s="792"/>
      <c r="D90" s="1696"/>
      <c r="E90" s="1696"/>
      <c r="F90" s="1696"/>
    </row>
    <row r="91" spans="1:9" ht="14.4">
      <c r="A91" s="792"/>
      <c r="B91" s="793" t="s">
        <v>2516</v>
      </c>
      <c r="D91" s="1917" t="s">
        <v>2241</v>
      </c>
      <c r="E91" s="1917"/>
      <c r="F91" s="1917"/>
      <c r="I91" s="1758" t="s">
        <v>2466</v>
      </c>
    </row>
    <row r="92" spans="1:9" s="1713" customFormat="1" ht="14.4">
      <c r="A92" s="1711"/>
      <c r="B92" s="1711"/>
      <c r="C92" s="1712"/>
      <c r="D92" s="1917"/>
      <c r="E92" s="1917"/>
      <c r="F92" s="1917"/>
      <c r="I92" s="1822"/>
    </row>
    <row r="93" spans="1:9" ht="14.4">
      <c r="A93" s="792"/>
      <c r="B93" s="792"/>
      <c r="D93" s="1702"/>
      <c r="E93" s="1703" t="s">
        <v>2242</v>
      </c>
      <c r="F93" s="1696"/>
    </row>
    <row r="94" spans="1:9" ht="14.4">
      <c r="A94" s="792"/>
      <c r="B94" s="792"/>
      <c r="D94" s="873"/>
      <c r="E94" s="873"/>
      <c r="F94" s="873"/>
    </row>
    <row r="95" spans="1:9" ht="14.4">
      <c r="A95" s="792"/>
      <c r="B95" s="793" t="s">
        <v>2516</v>
      </c>
      <c r="D95" s="1917" t="s">
        <v>2240</v>
      </c>
      <c r="E95" s="1917"/>
      <c r="F95" s="1917"/>
      <c r="I95" s="1758" t="s">
        <v>2422</v>
      </c>
    </row>
    <row r="96" spans="1:9" ht="14.4">
      <c r="A96" s="792"/>
      <c r="B96" s="792"/>
      <c r="D96" s="1917"/>
      <c r="E96" s="1917"/>
      <c r="F96" s="1917"/>
    </row>
    <row r="97" spans="1:9" ht="14.4">
      <c r="A97" s="792"/>
      <c r="B97" s="792"/>
      <c r="D97" s="1696"/>
      <c r="E97" s="1696"/>
      <c r="F97" s="1696"/>
    </row>
    <row r="98" spans="1:9" ht="14.55" customHeight="1">
      <c r="A98" s="792"/>
      <c r="B98" s="793" t="s">
        <v>2516</v>
      </c>
      <c r="D98" s="1917" t="s">
        <v>1397</v>
      </c>
      <c r="E98" s="1917"/>
      <c r="F98" s="1917"/>
      <c r="G98" s="785"/>
      <c r="I98" s="1758" t="s">
        <v>2423</v>
      </c>
    </row>
    <row r="99" spans="1:9" ht="14.4">
      <c r="A99" s="792"/>
      <c r="B99" s="792"/>
      <c r="D99" s="1917"/>
      <c r="E99" s="1917"/>
      <c r="F99" s="1917"/>
      <c r="G99" s="785"/>
    </row>
    <row r="100" spans="1:9" ht="14.4">
      <c r="A100" s="792"/>
      <c r="B100" s="792"/>
      <c r="D100" s="1917"/>
      <c r="E100" s="1917"/>
      <c r="F100" s="1917"/>
      <c r="G100" s="785"/>
    </row>
    <row r="101" spans="1:9" ht="14.4">
      <c r="A101" s="792"/>
      <c r="B101" s="792"/>
      <c r="D101" s="1917"/>
      <c r="E101" s="1917"/>
      <c r="F101" s="1917"/>
      <c r="G101" s="785"/>
    </row>
    <row r="102" spans="1:9" ht="14.4">
      <c r="A102" s="792"/>
      <c r="B102" s="792"/>
      <c r="D102" s="1917"/>
      <c r="E102" s="1917"/>
      <c r="F102" s="1917"/>
      <c r="G102" s="785"/>
    </row>
    <row r="103" spans="1:9" ht="14.4">
      <c r="A103" s="792"/>
      <c r="B103" s="792"/>
      <c r="D103" s="1917"/>
      <c r="E103" s="1917"/>
      <c r="F103" s="1917"/>
      <c r="G103" s="785"/>
    </row>
    <row r="104" spans="1:9" ht="14.4">
      <c r="A104" s="792"/>
      <c r="B104" s="792"/>
      <c r="D104" s="1917"/>
      <c r="E104" s="1917"/>
      <c r="F104" s="1917"/>
      <c r="G104" s="785"/>
    </row>
    <row r="105" spans="1:9" ht="14.4">
      <c r="A105" s="792"/>
      <c r="B105" s="792"/>
      <c r="D105" s="1917"/>
      <c r="E105" s="1917"/>
      <c r="F105" s="1917"/>
      <c r="G105" s="785"/>
    </row>
    <row r="106" spans="1:9" ht="14.4">
      <c r="A106" s="792"/>
      <c r="B106" s="792"/>
      <c r="D106" s="1917"/>
      <c r="E106" s="1917"/>
      <c r="F106" s="1917"/>
      <c r="G106" s="785"/>
    </row>
    <row r="107" spans="1:9" ht="14.4">
      <c r="A107" s="792"/>
      <c r="B107" s="792"/>
      <c r="D107" s="1917"/>
      <c r="E107" s="1917"/>
      <c r="F107" s="1917"/>
      <c r="G107" s="785"/>
    </row>
    <row r="108" spans="1:9" ht="14.4">
      <c r="A108" s="792"/>
      <c r="B108" s="792"/>
      <c r="D108" s="1917"/>
      <c r="E108" s="1917"/>
      <c r="F108" s="1917"/>
      <c r="G108" s="785"/>
    </row>
    <row r="109" spans="1:9" ht="14.4">
      <c r="A109" s="792"/>
      <c r="B109" s="792"/>
      <c r="D109" s="1917"/>
      <c r="E109" s="1917"/>
      <c r="F109" s="1917"/>
      <c r="G109" s="785"/>
    </row>
    <row r="110" spans="1:9" ht="14.4">
      <c r="A110" s="792"/>
      <c r="B110" s="792"/>
      <c r="D110" s="1917"/>
      <c r="E110" s="1917"/>
      <c r="F110" s="1917"/>
      <c r="G110" s="785"/>
    </row>
    <row r="111" spans="1:9" ht="14.4">
      <c r="A111" s="792"/>
      <c r="B111" s="792"/>
      <c r="D111" s="1917"/>
      <c r="E111" s="1917"/>
      <c r="F111" s="1917"/>
    </row>
    <row r="112" spans="1:9" ht="14.4">
      <c r="A112" s="792"/>
      <c r="B112" s="792"/>
      <c r="D112" s="1917"/>
      <c r="E112" s="1917"/>
      <c r="F112" s="1917"/>
    </row>
    <row r="113" spans="1:11" ht="14.4">
      <c r="A113" s="792"/>
      <c r="B113" s="792"/>
      <c r="D113" s="899"/>
      <c r="E113" s="899"/>
      <c r="F113" s="899"/>
    </row>
    <row r="114" spans="1:11" ht="14.25" customHeight="1">
      <c r="A114" s="792"/>
      <c r="B114" s="793" t="s">
        <v>2516</v>
      </c>
      <c r="D114" s="1915" t="s">
        <v>1259</v>
      </c>
      <c r="E114" s="1915"/>
      <c r="F114" s="1915"/>
    </row>
    <row r="115" spans="1:11" ht="14.4">
      <c r="A115" s="792"/>
      <c r="B115" s="792"/>
      <c r="D115" s="1915"/>
      <c r="E115" s="1915"/>
      <c r="F115" s="1915"/>
    </row>
    <row r="116" spans="1:11" ht="14.4">
      <c r="A116" s="792"/>
      <c r="B116" s="792"/>
      <c r="D116" s="1915"/>
      <c r="E116" s="1915"/>
      <c r="F116" s="1915"/>
    </row>
    <row r="117" spans="1:11" ht="14.4">
      <c r="A117" s="792"/>
      <c r="B117" s="792"/>
      <c r="D117" s="1915"/>
      <c r="E117" s="1915"/>
      <c r="F117" s="1915"/>
    </row>
    <row r="118" spans="1:11" ht="14.4">
      <c r="A118" s="792"/>
      <c r="B118" s="792"/>
      <c r="D118" s="1915"/>
      <c r="E118" s="1915"/>
      <c r="F118" s="1915"/>
    </row>
    <row r="119" spans="1:11" ht="14.4">
      <c r="A119" s="792"/>
      <c r="B119" s="792"/>
      <c r="D119" s="1915"/>
      <c r="E119" s="1915"/>
      <c r="F119" s="1915"/>
    </row>
    <row r="120" spans="1:11" ht="14.4">
      <c r="A120" s="792"/>
      <c r="B120" s="792"/>
      <c r="D120" s="1915"/>
      <c r="E120" s="1915"/>
      <c r="F120" s="1915"/>
    </row>
    <row r="121" spans="1:11" ht="14.4">
      <c r="A121" s="792"/>
      <c r="B121" s="792"/>
      <c r="D121" s="1915"/>
      <c r="E121" s="1915"/>
      <c r="F121" s="1915"/>
    </row>
    <row r="122" spans="1:11">
      <c r="C122" s="717"/>
      <c r="D122" s="900"/>
      <c r="E122" s="900"/>
      <c r="F122" s="900"/>
      <c r="G122" s="717"/>
      <c r="H122" s="717"/>
      <c r="I122" s="617"/>
      <c r="J122" s="717"/>
      <c r="K122" s="717"/>
    </row>
    <row r="123" spans="1:11" ht="14.4">
      <c r="A123" s="792"/>
      <c r="B123" s="793" t="s">
        <v>2621</v>
      </c>
      <c r="C123" s="717"/>
      <c r="D123" s="1915" t="s">
        <v>1261</v>
      </c>
      <c r="E123" s="1915"/>
      <c r="F123" s="1915"/>
      <c r="G123" s="717"/>
      <c r="H123" s="717"/>
      <c r="I123" s="617" t="s">
        <v>2424</v>
      </c>
      <c r="J123" s="717"/>
      <c r="K123" s="717"/>
    </row>
    <row r="124" spans="1:11" ht="14.4">
      <c r="A124" s="792"/>
      <c r="B124" s="792"/>
      <c r="C124" s="717"/>
      <c r="D124" s="1915"/>
      <c r="E124" s="1915"/>
      <c r="F124" s="1915"/>
      <c r="G124" s="717"/>
      <c r="H124" s="717"/>
      <c r="I124" s="617"/>
      <c r="J124" s="717"/>
      <c r="K124" s="717"/>
    </row>
    <row r="125" spans="1:11"/>
    <row r="126" spans="1:11" ht="14.4">
      <c r="A126" s="792"/>
      <c r="B126" s="793" t="s">
        <v>2516</v>
      </c>
      <c r="C126" s="799"/>
      <c r="D126" s="1917" t="s">
        <v>1262</v>
      </c>
      <c r="E126" s="1917"/>
      <c r="F126" s="1917"/>
      <c r="I126" s="617" t="s">
        <v>2424</v>
      </c>
    </row>
    <row r="127" spans="1:11">
      <c r="C127" s="799"/>
      <c r="D127" s="1917"/>
      <c r="E127" s="1917"/>
      <c r="F127" s="1917"/>
    </row>
    <row r="128" spans="1:11">
      <c r="C128" s="799"/>
      <c r="D128" s="1917"/>
      <c r="E128" s="1917"/>
      <c r="F128" s="1917"/>
    </row>
    <row r="129" spans="1:9">
      <c r="C129" s="799"/>
      <c r="D129" s="1917"/>
      <c r="E129" s="1917"/>
      <c r="F129" s="1917"/>
    </row>
    <row r="130" spans="1:9">
      <c r="C130" s="799"/>
      <c r="D130" s="1917"/>
      <c r="E130" s="1917"/>
      <c r="F130" s="1917"/>
    </row>
    <row r="131" spans="1:9">
      <c r="C131" s="799"/>
      <c r="D131" s="667"/>
      <c r="E131" s="667"/>
      <c r="F131" s="667"/>
    </row>
    <row r="132" spans="1:9" s="717" customFormat="1" ht="14.4">
      <c r="A132" s="792"/>
      <c r="B132" s="793" t="s">
        <v>2621</v>
      </c>
      <c r="C132" s="799"/>
      <c r="D132" s="1874" t="s">
        <v>1263</v>
      </c>
      <c r="E132" s="1874"/>
      <c r="F132" s="1874"/>
      <c r="G132" s="667"/>
      <c r="I132" s="617" t="s">
        <v>2425</v>
      </c>
    </row>
    <row r="133" spans="1:9" s="807" customFormat="1" ht="13.8" customHeight="1">
      <c r="A133" s="804"/>
      <c r="B133" s="804"/>
      <c r="C133" s="805"/>
      <c r="D133" s="1874"/>
      <c r="E133" s="1874"/>
      <c r="F133" s="1874"/>
      <c r="G133" s="806"/>
      <c r="I133" s="1823"/>
    </row>
    <row r="134" spans="1:9" s="717" customFormat="1" ht="13.8" customHeight="1">
      <c r="A134" s="783"/>
      <c r="B134" s="783"/>
      <c r="C134" s="799"/>
      <c r="D134" s="1874"/>
      <c r="E134" s="1874"/>
      <c r="F134" s="1874"/>
      <c r="G134" s="667"/>
      <c r="I134" s="617"/>
    </row>
    <row r="135" spans="1:9" s="717" customFormat="1" ht="13.8" customHeight="1">
      <c r="A135" s="783"/>
      <c r="B135" s="783"/>
      <c r="C135" s="799"/>
      <c r="D135" s="1874"/>
      <c r="E135" s="1874"/>
      <c r="F135" s="1874"/>
      <c r="G135" s="667"/>
      <c r="I135" s="617"/>
    </row>
    <row r="136" spans="1:9" s="717" customFormat="1" ht="13.8" customHeight="1">
      <c r="A136" s="783"/>
      <c r="B136" s="783"/>
      <c r="C136" s="799"/>
      <c r="D136" s="1874"/>
      <c r="E136" s="1874"/>
      <c r="F136" s="1874"/>
      <c r="G136" s="667"/>
      <c r="I136" s="617"/>
    </row>
    <row r="137" spans="1:9" s="717" customFormat="1" ht="13.8" customHeight="1">
      <c r="A137" s="808"/>
      <c r="B137" s="808"/>
      <c r="C137" s="799"/>
      <c r="D137" s="1874"/>
      <c r="E137" s="1874"/>
      <c r="F137" s="1874"/>
      <c r="G137" s="667"/>
      <c r="I137" s="617"/>
    </row>
    <row r="138" spans="1:9" s="613" customFormat="1" ht="13.8" customHeight="1">
      <c r="A138" s="796"/>
      <c r="B138" s="796"/>
      <c r="C138" s="801"/>
      <c r="D138" s="1874"/>
      <c r="E138" s="1874"/>
      <c r="F138" s="1874"/>
      <c r="G138" s="688"/>
      <c r="I138" s="637"/>
    </row>
    <row r="139" spans="1:9" s="613" customFormat="1" ht="13.8" customHeight="1">
      <c r="A139" s="796"/>
      <c r="B139" s="796"/>
      <c r="C139" s="801"/>
      <c r="D139" s="1874"/>
      <c r="E139" s="1874"/>
      <c r="F139" s="1874"/>
      <c r="G139" s="688"/>
      <c r="I139" s="637"/>
    </row>
    <row r="140" spans="1:9" s="717" customFormat="1" ht="13.8" customHeight="1">
      <c r="A140" s="783"/>
      <c r="B140" s="783"/>
      <c r="C140" s="799"/>
      <c r="D140" s="1874"/>
      <c r="E140" s="1874"/>
      <c r="F140" s="1874"/>
      <c r="G140" s="667"/>
      <c r="I140" s="617"/>
    </row>
    <row r="141" spans="1:9" s="717" customFormat="1" ht="13.8" customHeight="1">
      <c r="A141" s="783"/>
      <c r="B141" s="783"/>
      <c r="C141" s="799"/>
      <c r="D141" s="1874"/>
      <c r="E141" s="1874"/>
      <c r="F141" s="1874"/>
      <c r="G141" s="667"/>
      <c r="I141" s="617"/>
    </row>
    <row r="142" spans="1:9" s="717" customFormat="1" ht="13.8" customHeight="1">
      <c r="A142" s="783"/>
      <c r="B142" s="783"/>
      <c r="C142" s="799"/>
      <c r="D142" s="1874"/>
      <c r="E142" s="1874"/>
      <c r="F142" s="1874"/>
      <c r="G142" s="667"/>
      <c r="I142" s="617"/>
    </row>
    <row r="143" spans="1:9" s="717" customFormat="1" ht="13.8" customHeight="1">
      <c r="A143" s="783"/>
      <c r="B143" s="783"/>
      <c r="C143" s="799"/>
      <c r="D143" s="1874"/>
      <c r="E143" s="1874"/>
      <c r="F143" s="1874"/>
      <c r="G143" s="667"/>
      <c r="I143" s="617"/>
    </row>
    <row r="144" spans="1:9" s="717" customFormat="1" ht="13.8" customHeight="1">
      <c r="A144" s="783"/>
      <c r="B144" s="783"/>
      <c r="C144" s="799"/>
      <c r="D144" s="791"/>
      <c r="E144" s="780"/>
      <c r="F144" s="780"/>
      <c r="G144" s="667"/>
      <c r="I144" s="617"/>
    </row>
    <row r="145" spans="1:9" s="717" customFormat="1" ht="13.8" customHeight="1">
      <c r="A145" s="783"/>
      <c r="B145" s="793" t="s">
        <v>2516</v>
      </c>
      <c r="C145" s="799"/>
      <c r="D145" s="1959" t="s">
        <v>1371</v>
      </c>
      <c r="E145" s="1959"/>
      <c r="F145" s="1959"/>
      <c r="G145" s="667"/>
      <c r="I145" s="617" t="s">
        <v>2426</v>
      </c>
    </row>
    <row r="146" spans="1:9" s="717" customFormat="1" ht="13.8" customHeight="1">
      <c r="A146" s="783"/>
      <c r="B146" s="783"/>
      <c r="C146" s="799"/>
      <c r="D146" s="1959"/>
      <c r="E146" s="1959"/>
      <c r="F146" s="1959"/>
      <c r="G146" s="667"/>
      <c r="I146" s="617"/>
    </row>
    <row r="147" spans="1:9" s="717" customFormat="1" ht="13.8" customHeight="1">
      <c r="A147" s="783"/>
      <c r="B147" s="783"/>
      <c r="C147" s="799"/>
      <c r="D147" s="1959"/>
      <c r="E147" s="1959"/>
      <c r="F147" s="1959"/>
      <c r="G147" s="667"/>
      <c r="I147" s="617"/>
    </row>
    <row r="148" spans="1:9" s="717" customFormat="1" ht="13.8" customHeight="1">
      <c r="A148" s="783"/>
      <c r="B148" s="783"/>
      <c r="C148" s="799"/>
      <c r="D148" s="1959"/>
      <c r="E148" s="1959"/>
      <c r="F148" s="1959"/>
      <c r="G148" s="667"/>
      <c r="I148" s="617"/>
    </row>
    <row r="149" spans="1:9" s="717" customFormat="1" ht="13.8" customHeight="1">
      <c r="A149" s="783"/>
      <c r="B149" s="783"/>
      <c r="C149" s="799"/>
      <c r="D149" s="1959"/>
      <c r="E149" s="1959"/>
      <c r="F149" s="1959"/>
      <c r="G149" s="667"/>
      <c r="I149" s="617"/>
    </row>
    <row r="150" spans="1:9" s="717" customFormat="1" ht="13.8" customHeight="1">
      <c r="A150" s="783"/>
      <c r="B150" s="783"/>
      <c r="C150" s="799"/>
      <c r="D150" s="1959"/>
      <c r="E150" s="1959"/>
      <c r="F150" s="1959"/>
      <c r="G150" s="667"/>
      <c r="I150" s="617"/>
    </row>
    <row r="151" spans="1:9" s="717" customFormat="1" ht="13.8" customHeight="1">
      <c r="A151" s="783"/>
      <c r="B151" s="783"/>
      <c r="C151" s="799"/>
      <c r="D151" s="1959"/>
      <c r="E151" s="1959"/>
      <c r="F151" s="1959"/>
      <c r="G151" s="667"/>
      <c r="I151" s="617"/>
    </row>
    <row r="152" spans="1:9" s="717" customFormat="1" ht="13.8" customHeight="1">
      <c r="A152" s="783"/>
      <c r="B152" s="783"/>
      <c r="C152" s="799"/>
      <c r="D152" s="1959"/>
      <c r="E152" s="1959"/>
      <c r="F152" s="1959"/>
      <c r="G152" s="667"/>
      <c r="I152" s="617"/>
    </row>
    <row r="153" spans="1:9" s="717" customFormat="1" ht="13.8" customHeight="1">
      <c r="A153" s="783"/>
      <c r="B153" s="783"/>
      <c r="C153" s="799"/>
      <c r="D153" s="1959"/>
      <c r="E153" s="1959"/>
      <c r="F153" s="1959"/>
      <c r="G153" s="667"/>
      <c r="I153" s="617"/>
    </row>
    <row r="154" spans="1:9" s="717" customFormat="1" ht="13.8" customHeight="1">
      <c r="A154" s="783"/>
      <c r="B154" s="783"/>
      <c r="C154" s="799"/>
      <c r="D154" s="1959"/>
      <c r="E154" s="1959"/>
      <c r="F154" s="1959"/>
      <c r="G154" s="667"/>
      <c r="I154" s="617"/>
    </row>
    <row r="155" spans="1:9" s="717" customFormat="1" ht="13.8" customHeight="1">
      <c r="A155" s="783"/>
      <c r="B155" s="783"/>
      <c r="C155" s="799"/>
      <c r="D155" s="1959"/>
      <c r="E155" s="1959"/>
      <c r="F155" s="1959"/>
      <c r="G155" s="667"/>
      <c r="I155" s="617"/>
    </row>
    <row r="156" spans="1:9" s="717" customFormat="1" ht="13.8" customHeight="1">
      <c r="A156" s="783"/>
      <c r="B156" s="783"/>
      <c r="C156" s="799"/>
      <c r="D156" s="1959"/>
      <c r="E156" s="1959"/>
      <c r="F156" s="1959"/>
      <c r="G156" s="667"/>
      <c r="I156" s="617"/>
    </row>
    <row r="157" spans="1:9" s="717" customFormat="1" ht="13.8" customHeight="1">
      <c r="A157" s="783"/>
      <c r="B157" s="783"/>
      <c r="C157" s="799"/>
      <c r="D157" s="1959"/>
      <c r="E157" s="1959"/>
      <c r="F157" s="1959"/>
      <c r="G157" s="667"/>
      <c r="I157" s="617"/>
    </row>
    <row r="158" spans="1:9" s="717" customFormat="1" ht="13.8" customHeight="1">
      <c r="A158" s="783"/>
      <c r="B158" s="783"/>
      <c r="C158" s="799"/>
      <c r="D158" s="1959"/>
      <c r="E158" s="1959"/>
      <c r="F158" s="1959"/>
      <c r="G158" s="667"/>
      <c r="I158" s="617"/>
    </row>
    <row r="159" spans="1:9" s="717" customFormat="1" ht="13.8" customHeight="1">
      <c r="A159" s="783"/>
      <c r="B159" s="783"/>
      <c r="C159" s="799"/>
      <c r="D159" s="1959"/>
      <c r="E159" s="1959"/>
      <c r="F159" s="1959"/>
      <c r="G159" s="667"/>
      <c r="I159" s="617"/>
    </row>
    <row r="160" spans="1:9" s="717" customFormat="1" ht="13.8" customHeight="1">
      <c r="A160" s="783"/>
      <c r="B160" s="783"/>
      <c r="C160" s="799"/>
      <c r="D160" s="1959"/>
      <c r="E160" s="1959"/>
      <c r="F160" s="1959"/>
      <c r="G160" s="667"/>
      <c r="I160" s="617"/>
    </row>
    <row r="161" spans="1:9" s="717" customFormat="1" ht="13.8" customHeight="1">
      <c r="A161" s="783"/>
      <c r="B161" s="783"/>
      <c r="C161" s="799"/>
      <c r="D161" s="1959"/>
      <c r="E161" s="1959"/>
      <c r="F161" s="1959"/>
      <c r="G161" s="667"/>
      <c r="I161" s="617"/>
    </row>
    <row r="162" spans="1:9" s="717" customFormat="1" ht="13.8" customHeight="1">
      <c r="A162" s="783"/>
      <c r="B162" s="783"/>
      <c r="C162" s="799"/>
      <c r="D162" s="1959"/>
      <c r="E162" s="1959"/>
      <c r="F162" s="1959"/>
      <c r="G162" s="667"/>
      <c r="I162" s="617"/>
    </row>
    <row r="163" spans="1:9" s="717" customFormat="1" ht="13.8" customHeight="1">
      <c r="A163" s="783"/>
      <c r="B163" s="783"/>
      <c r="C163" s="799"/>
      <c r="D163" s="1980" t="s">
        <v>1405</v>
      </c>
      <c r="E163" s="1980"/>
      <c r="F163" s="1980"/>
      <c r="G163" s="851"/>
      <c r="I163" s="617"/>
    </row>
    <row r="164" spans="1:9" s="717" customFormat="1" ht="13.8" customHeight="1">
      <c r="A164" s="783"/>
      <c r="B164" s="783"/>
      <c r="C164" s="799"/>
      <c r="D164" s="1979"/>
      <c r="E164" s="1979"/>
      <c r="F164" s="1979"/>
      <c r="G164" s="1979"/>
      <c r="I164" s="617"/>
    </row>
    <row r="165" spans="1:9" s="717" customFormat="1" ht="14.55" customHeight="1">
      <c r="A165" s="808"/>
      <c r="B165" s="793" t="s">
        <v>2516</v>
      </c>
      <c r="C165" s="809"/>
      <c r="D165" s="1916" t="s">
        <v>1433</v>
      </c>
      <c r="E165" s="1916"/>
      <c r="F165" s="1916"/>
      <c r="G165" s="810"/>
      <c r="I165" s="617" t="s">
        <v>2421</v>
      </c>
    </row>
    <row r="166" spans="1:9" s="717" customFormat="1" ht="14.55" customHeight="1">
      <c r="A166" s="808"/>
      <c r="B166" s="808"/>
      <c r="C166" s="809"/>
      <c r="D166" s="1916"/>
      <c r="E166" s="1916"/>
      <c r="F166" s="1916"/>
      <c r="G166" s="810"/>
      <c r="I166" s="617"/>
    </row>
    <row r="167" spans="1:9" s="717" customFormat="1" ht="13.8" customHeight="1">
      <c r="A167" s="808"/>
      <c r="B167" s="808"/>
      <c r="C167" s="809"/>
      <c r="D167" s="1916"/>
      <c r="E167" s="1916"/>
      <c r="F167" s="1916"/>
      <c r="G167" s="810"/>
      <c r="I167" s="617"/>
    </row>
    <row r="168" spans="1:9" s="717" customFormat="1" ht="13.8" customHeight="1">
      <c r="A168" s="808"/>
      <c r="B168" s="808"/>
      <c r="C168" s="809"/>
      <c r="D168" s="791"/>
      <c r="E168" s="809"/>
      <c r="F168" s="809"/>
      <c r="G168" s="810"/>
      <c r="I168" s="617"/>
    </row>
    <row r="169" spans="1:9" s="717" customFormat="1" ht="13.8" customHeight="1">
      <c r="A169" s="808"/>
      <c r="B169" s="793" t="s">
        <v>2621</v>
      </c>
      <c r="C169" s="809"/>
      <c r="D169" s="1859" t="s">
        <v>1265</v>
      </c>
      <c r="E169" s="1859"/>
      <c r="F169" s="1859"/>
      <c r="G169" s="810"/>
      <c r="I169" s="617" t="s">
        <v>2427</v>
      </c>
    </row>
    <row r="170" spans="1:9" s="717" customFormat="1" ht="13.8" customHeight="1">
      <c r="A170" s="808"/>
      <c r="B170" s="808"/>
      <c r="C170" s="809"/>
      <c r="D170" s="1859"/>
      <c r="E170" s="1859"/>
      <c r="F170" s="1859"/>
      <c r="G170" s="810"/>
      <c r="I170" s="617"/>
    </row>
    <row r="171" spans="1:9" s="717" customFormat="1" ht="13.8" customHeight="1">
      <c r="A171" s="808"/>
      <c r="B171" s="808"/>
      <c r="C171" s="809"/>
      <c r="D171" s="1859"/>
      <c r="E171" s="1859"/>
      <c r="F171" s="1859"/>
      <c r="G171" s="810"/>
      <c r="I171" s="617"/>
    </row>
    <row r="172" spans="1:9" s="717" customFormat="1" ht="13.8" customHeight="1">
      <c r="A172" s="808"/>
      <c r="B172" s="808"/>
      <c r="C172" s="809"/>
      <c r="D172" s="1859"/>
      <c r="E172" s="1859"/>
      <c r="F172" s="1859"/>
      <c r="G172" s="810"/>
      <c r="I172" s="617"/>
    </row>
    <row r="173" spans="1:9" s="717" customFormat="1" ht="13.8" customHeight="1">
      <c r="A173" s="783"/>
      <c r="B173" s="783"/>
      <c r="C173" s="799"/>
      <c r="D173" s="780"/>
      <c r="E173" s="780"/>
      <c r="F173" s="780"/>
      <c r="G173" s="667"/>
      <c r="I173" s="617"/>
    </row>
    <row r="174" spans="1:9" s="717" customFormat="1" ht="13.8" customHeight="1">
      <c r="A174" s="783"/>
      <c r="B174" s="793" t="s">
        <v>2516</v>
      </c>
      <c r="C174" s="799"/>
      <c r="D174" s="1904" t="s">
        <v>1266</v>
      </c>
      <c r="E174" s="1904"/>
      <c r="F174" s="1904"/>
      <c r="G174" s="667"/>
      <c r="I174" s="617" t="s">
        <v>2428</v>
      </c>
    </row>
    <row r="175" spans="1:9" s="717" customFormat="1" ht="13.8" customHeight="1">
      <c r="A175" s="783"/>
      <c r="B175" s="783"/>
      <c r="C175" s="799"/>
      <c r="D175" s="1904"/>
      <c r="E175" s="1904"/>
      <c r="F175" s="1904"/>
      <c r="G175" s="667"/>
      <c r="I175" s="617"/>
    </row>
    <row r="176" spans="1:9" s="717" customFormat="1" ht="13.8" customHeight="1">
      <c r="A176" s="783"/>
      <c r="B176" s="783"/>
      <c r="C176" s="799"/>
      <c r="D176" s="1904"/>
      <c r="E176" s="1904"/>
      <c r="F176" s="1904"/>
      <c r="G176" s="667"/>
      <c r="I176" s="617"/>
    </row>
    <row r="177" spans="1:9" s="717" customFormat="1" ht="13.8" customHeight="1">
      <c r="A177" s="811"/>
      <c r="B177" s="811"/>
      <c r="C177" s="799"/>
      <c r="D177" s="784"/>
      <c r="E177" s="780"/>
      <c r="F177" s="780"/>
      <c r="G177" s="667"/>
      <c r="I177" s="617"/>
    </row>
    <row r="178" spans="1:9">
      <c r="A178" s="1882" t="s">
        <v>2403</v>
      </c>
      <c r="B178" s="1882"/>
      <c r="C178" s="1882"/>
      <c r="D178" s="1882"/>
      <c r="E178" s="1882"/>
      <c r="F178" s="1882"/>
      <c r="G178" s="1882"/>
      <c r="H178" s="1837"/>
      <c r="I178" s="1838"/>
    </row>
    <row r="179" spans="1:9" ht="12" customHeight="1">
      <c r="D179" s="795"/>
      <c r="E179" s="795"/>
      <c r="F179" s="795"/>
    </row>
    <row r="180" spans="1:9">
      <c r="B180" s="1954" t="s">
        <v>470</v>
      </c>
      <c r="C180" s="1954"/>
      <c r="D180" s="1954"/>
      <c r="E180" s="1954"/>
      <c r="F180" s="1954"/>
    </row>
    <row r="181" spans="1:9" s="1756" customFormat="1">
      <c r="A181" s="783"/>
      <c r="B181" s="1815" t="s">
        <v>2404</v>
      </c>
      <c r="C181" s="1815"/>
      <c r="D181" s="1815"/>
      <c r="E181" s="1815"/>
      <c r="F181" s="1815"/>
      <c r="G181" s="1755"/>
      <c r="I181" s="1758"/>
    </row>
    <row r="182" spans="1:9" ht="12" customHeight="1">
      <c r="A182" s="788"/>
      <c r="B182" s="788"/>
      <c r="C182" s="788"/>
    </row>
    <row r="183" spans="1:9">
      <c r="A183" s="1882" t="s">
        <v>1161</v>
      </c>
      <c r="B183" s="1882"/>
      <c r="C183" s="1882"/>
      <c r="D183" s="1882"/>
      <c r="E183" s="1882"/>
      <c r="F183" s="1882"/>
      <c r="G183" s="1882"/>
      <c r="H183" s="1837"/>
      <c r="I183" s="1838"/>
    </row>
    <row r="184" spans="1:9" ht="12" customHeight="1">
      <c r="A184" s="812"/>
      <c r="B184" s="812"/>
      <c r="C184" s="813"/>
      <c r="D184" s="814"/>
      <c r="E184" s="815"/>
      <c r="F184" s="814"/>
      <c r="G184" s="814"/>
    </row>
    <row r="185" spans="1:9" ht="13.8" customHeight="1">
      <c r="A185" s="812"/>
      <c r="B185" s="812"/>
      <c r="C185" s="813"/>
      <c r="D185" s="1918" t="s">
        <v>2244</v>
      </c>
      <c r="E185" s="1918"/>
      <c r="F185" s="1918"/>
      <c r="G185" s="814"/>
    </row>
    <row r="186" spans="1:9">
      <c r="A186" s="812"/>
      <c r="B186" s="812"/>
      <c r="C186" s="813"/>
      <c r="D186" s="1918"/>
      <c r="E186" s="1918"/>
      <c r="F186" s="1918"/>
      <c r="G186" s="814"/>
    </row>
    <row r="187" spans="1:9">
      <c r="A187" s="812"/>
      <c r="B187" s="812"/>
      <c r="C187" s="813"/>
      <c r="D187" s="1919" t="s">
        <v>1398</v>
      </c>
      <c r="E187" s="1919"/>
      <c r="F187" s="1919"/>
      <c r="G187" s="814"/>
    </row>
    <row r="188" spans="1:9">
      <c r="A188" s="812"/>
      <c r="B188" s="812"/>
      <c r="C188" s="813"/>
      <c r="D188" s="1697"/>
      <c r="E188" s="1697"/>
      <c r="F188" s="1697"/>
      <c r="G188" s="814"/>
    </row>
    <row r="189" spans="1:9">
      <c r="A189" s="812"/>
      <c r="B189" s="793" t="s">
        <v>2621</v>
      </c>
      <c r="C189" s="813"/>
      <c r="D189" s="1881" t="s">
        <v>2245</v>
      </c>
      <c r="E189" s="1881"/>
      <c r="F189" s="1881"/>
      <c r="G189" s="814"/>
      <c r="I189" s="1758" t="s">
        <v>2477</v>
      </c>
    </row>
    <row r="190" spans="1:9">
      <c r="A190" s="812"/>
      <c r="B190" s="812"/>
      <c r="C190" s="813"/>
      <c r="D190" s="1885" t="s">
        <v>2246</v>
      </c>
      <c r="E190" s="1885"/>
      <c r="F190" s="1885"/>
      <c r="G190" s="814"/>
    </row>
    <row r="191" spans="1:9">
      <c r="A191" s="812"/>
      <c r="B191" s="812"/>
      <c r="C191" s="813"/>
      <c r="D191" s="1714" t="s">
        <v>2247</v>
      </c>
      <c r="E191" s="1972" t="s">
        <v>2248</v>
      </c>
      <c r="F191" s="1972"/>
      <c r="G191" s="814"/>
    </row>
    <row r="192" spans="1:9">
      <c r="A192" s="812"/>
      <c r="B192" s="812"/>
      <c r="C192" s="813"/>
      <c r="D192" s="155"/>
      <c r="E192" s="155"/>
      <c r="F192" s="155"/>
      <c r="G192" s="814"/>
    </row>
    <row r="193" spans="1:9">
      <c r="A193" s="812"/>
      <c r="B193" s="793" t="s">
        <v>2516</v>
      </c>
      <c r="C193" s="813"/>
      <c r="D193" s="1885" t="s">
        <v>2249</v>
      </c>
      <c r="E193" s="1885"/>
      <c r="F193" s="1885"/>
      <c r="G193" s="814"/>
      <c r="I193" s="1758" t="s">
        <v>2478</v>
      </c>
    </row>
    <row r="194" spans="1:9">
      <c r="A194" s="812"/>
      <c r="B194" s="812"/>
      <c r="C194" s="813"/>
      <c r="D194" s="1881" t="s">
        <v>2246</v>
      </c>
      <c r="E194" s="1881"/>
      <c r="F194" s="1881"/>
      <c r="G194" s="814"/>
    </row>
    <row r="195" spans="1:9">
      <c r="A195" s="812"/>
      <c r="B195" s="812"/>
      <c r="C195" s="813"/>
      <c r="D195" s="1695" t="s">
        <v>2250</v>
      </c>
      <c r="E195" s="1977" t="s">
        <v>2251</v>
      </c>
      <c r="F195" s="1977"/>
      <c r="G195" s="814"/>
    </row>
    <row r="196" spans="1:9">
      <c r="A196" s="812"/>
      <c r="B196" s="812"/>
      <c r="C196" s="813"/>
      <c r="D196" s="155"/>
      <c r="E196" s="155"/>
      <c r="F196" s="155"/>
      <c r="G196" s="814"/>
    </row>
    <row r="197" spans="1:9">
      <c r="A197" s="812"/>
      <c r="B197" s="793" t="s">
        <v>2516</v>
      </c>
      <c r="C197" s="813"/>
      <c r="D197" s="1885" t="s">
        <v>2252</v>
      </c>
      <c r="E197" s="1885"/>
      <c r="F197" s="1885"/>
      <c r="G197" s="814"/>
      <c r="I197" s="1758" t="s">
        <v>2479</v>
      </c>
    </row>
    <row r="198" spans="1:9">
      <c r="A198" s="812"/>
      <c r="B198" s="812"/>
      <c r="C198" s="813"/>
      <c r="D198" s="1692" t="s">
        <v>2246</v>
      </c>
      <c r="E198" s="155"/>
      <c r="F198" s="155"/>
      <c r="G198" s="814"/>
    </row>
    <row r="199" spans="1:9">
      <c r="A199" s="812"/>
      <c r="B199" s="812"/>
      <c r="C199" s="813"/>
      <c r="D199" s="1695" t="s">
        <v>2247</v>
      </c>
      <c r="E199" s="1977" t="s">
        <v>2253</v>
      </c>
      <c r="F199" s="1977"/>
      <c r="G199" s="814"/>
    </row>
    <row r="200" spans="1:9">
      <c r="A200" s="812"/>
      <c r="B200" s="812"/>
      <c r="C200" s="813"/>
      <c r="D200" s="1697"/>
      <c r="E200" s="1697"/>
      <c r="F200" s="1697"/>
      <c r="G200" s="814"/>
    </row>
    <row r="201" spans="1:9" ht="14.4">
      <c r="A201" s="792"/>
      <c r="B201" s="793" t="s">
        <v>2516</v>
      </c>
      <c r="C201" s="813"/>
      <c r="D201" s="1917" t="s">
        <v>2254</v>
      </c>
      <c r="E201" s="1917"/>
      <c r="F201" s="1917"/>
      <c r="G201" s="814"/>
      <c r="I201" s="1758" t="s">
        <v>2480</v>
      </c>
    </row>
    <row r="202" spans="1:9" ht="14.4">
      <c r="A202" s="792"/>
      <c r="B202" s="792"/>
      <c r="C202" s="813"/>
      <c r="D202" s="1917"/>
      <c r="E202" s="1917"/>
      <c r="F202" s="1917"/>
      <c r="G202" s="814"/>
    </row>
    <row r="203" spans="1:9">
      <c r="A203" s="813"/>
      <c r="B203" s="813"/>
      <c r="C203" s="813"/>
      <c r="D203" s="1917"/>
      <c r="E203" s="1917"/>
      <c r="F203" s="1917"/>
    </row>
    <row r="204" spans="1:9">
      <c r="A204" s="813"/>
      <c r="B204" s="813"/>
      <c r="C204" s="813"/>
      <c r="D204" s="798"/>
      <c r="E204" s="814"/>
      <c r="F204" s="814"/>
    </row>
    <row r="205" spans="1:9">
      <c r="A205" s="813"/>
      <c r="B205" s="793" t="s">
        <v>2516</v>
      </c>
      <c r="C205" s="813"/>
      <c r="D205" s="1885" t="s">
        <v>2255</v>
      </c>
      <c r="E205" s="1885"/>
      <c r="F205" s="1885"/>
      <c r="I205" s="1758" t="s">
        <v>2481</v>
      </c>
    </row>
    <row r="206" spans="1:9">
      <c r="A206" s="813"/>
      <c r="B206" s="813"/>
      <c r="C206" s="813"/>
      <c r="D206" s="1885" t="s">
        <v>2246</v>
      </c>
      <c r="E206" s="1885"/>
      <c r="F206" s="1885"/>
    </row>
    <row r="207" spans="1:9">
      <c r="A207" s="813"/>
      <c r="B207" s="813"/>
      <c r="C207" s="813"/>
      <c r="D207" s="1695" t="s">
        <v>2247</v>
      </c>
      <c r="E207" s="1977" t="s">
        <v>2256</v>
      </c>
      <c r="F207" s="1977"/>
    </row>
    <row r="208" spans="1:9">
      <c r="A208" s="813"/>
      <c r="B208" s="813"/>
      <c r="C208" s="813"/>
      <c r="D208" s="774"/>
      <c r="E208" s="774"/>
      <c r="F208" s="774"/>
    </row>
    <row r="209" spans="1:9" s="613" customFormat="1" ht="14.4">
      <c r="A209" s="792"/>
      <c r="B209" s="793" t="s">
        <v>2516</v>
      </c>
      <c r="C209" s="801"/>
      <c r="D209" s="1917" t="s">
        <v>1424</v>
      </c>
      <c r="E209" s="1917"/>
      <c r="F209" s="1917"/>
      <c r="G209" s="688"/>
      <c r="I209" s="637"/>
    </row>
    <row r="210" spans="1:9" s="613" customFormat="1" ht="14.55" customHeight="1">
      <c r="A210" s="792"/>
      <c r="C210" s="801"/>
      <c r="D210" s="1917"/>
      <c r="E210" s="1917"/>
      <c r="F210" s="1917"/>
      <c r="G210" s="688"/>
      <c r="I210" s="637"/>
    </row>
    <row r="211" spans="1:9" s="613" customFormat="1" ht="14.4">
      <c r="A211" s="792"/>
      <c r="B211" s="813"/>
      <c r="C211" s="801"/>
      <c r="D211" s="1917"/>
      <c r="E211" s="1917"/>
      <c r="F211" s="1917"/>
      <c r="G211" s="688"/>
      <c r="I211" s="637"/>
    </row>
    <row r="212" spans="1:9" s="613" customFormat="1" ht="14.4">
      <c r="A212" s="792"/>
      <c r="B212" s="813"/>
      <c r="C212" s="801"/>
      <c r="D212" s="1917"/>
      <c r="E212" s="1917"/>
      <c r="F212" s="1917"/>
      <c r="G212" s="688"/>
      <c r="I212" s="637"/>
    </row>
    <row r="213" spans="1:9">
      <c r="A213" s="813"/>
      <c r="B213" s="813"/>
      <c r="C213" s="813"/>
      <c r="D213" s="774"/>
      <c r="E213" s="774"/>
      <c r="F213" s="774"/>
    </row>
    <row r="214" spans="1:9">
      <c r="A214" s="1882" t="s">
        <v>1162</v>
      </c>
      <c r="B214" s="1882"/>
      <c r="C214" s="1882"/>
      <c r="D214" s="1882"/>
      <c r="E214" s="1882"/>
      <c r="F214" s="1882"/>
      <c r="G214" s="1882"/>
      <c r="H214" s="1837"/>
      <c r="I214" s="1838"/>
    </row>
    <row r="215" spans="1:9" ht="12" customHeight="1">
      <c r="D215" s="795"/>
      <c r="E215" s="795"/>
      <c r="F215" s="795"/>
    </row>
    <row r="216" spans="1:9">
      <c r="C216" s="802"/>
      <c r="D216" s="1976" t="s">
        <v>214</v>
      </c>
      <c r="E216" s="1976"/>
      <c r="F216" s="1976"/>
    </row>
    <row r="217" spans="1:9">
      <c r="A217" s="788"/>
      <c r="B217" s="788"/>
      <c r="C217" s="788"/>
      <c r="D217" s="1956" t="s">
        <v>1291</v>
      </c>
      <c r="E217" s="1956"/>
      <c r="F217" s="1956"/>
    </row>
    <row r="218" spans="1:9" ht="12" customHeight="1">
      <c r="A218" s="811"/>
      <c r="B218" s="811"/>
      <c r="C218" s="811"/>
    </row>
    <row r="219" spans="1:9" ht="13.8" customHeight="1">
      <c r="A219" s="811"/>
      <c r="C219" s="811"/>
      <c r="D219" s="1872" t="s">
        <v>579</v>
      </c>
      <c r="E219" s="1872"/>
      <c r="F219" s="1872"/>
      <c r="I219" s="1758" t="s">
        <v>2429</v>
      </c>
    </row>
    <row r="220" spans="1:9" ht="14.4">
      <c r="A220" s="792"/>
      <c r="B220" s="793" t="s">
        <v>2621</v>
      </c>
      <c r="D220" s="1917" t="s">
        <v>2257</v>
      </c>
      <c r="E220" s="1917"/>
      <c r="F220" s="1917"/>
    </row>
    <row r="221" spans="1:9" ht="14.25" customHeight="1">
      <c r="A221" s="792"/>
      <c r="B221" s="792"/>
      <c r="D221" s="1917"/>
      <c r="E221" s="1917"/>
      <c r="F221" s="1917"/>
    </row>
    <row r="222" spans="1:9" ht="14.25" customHeight="1">
      <c r="A222" s="792"/>
      <c r="B222" s="792"/>
      <c r="D222" s="1917"/>
      <c r="E222" s="1917"/>
      <c r="F222" s="1917"/>
    </row>
    <row r="223" spans="1:9" ht="14.4">
      <c r="A223" s="792"/>
      <c r="B223" s="792"/>
      <c r="D223" s="1917"/>
      <c r="E223" s="1917"/>
      <c r="F223" s="1917"/>
    </row>
    <row r="224" spans="1:9" ht="14.4">
      <c r="A224" s="792"/>
      <c r="B224" s="792"/>
      <c r="D224" s="1696"/>
      <c r="E224" s="1696"/>
      <c r="F224" s="1696"/>
    </row>
    <row r="225" spans="1:9" ht="14.4">
      <c r="A225" s="792"/>
      <c r="B225" s="793" t="s">
        <v>2621</v>
      </c>
      <c r="D225" s="1917" t="s">
        <v>2258</v>
      </c>
      <c r="E225" s="1917"/>
      <c r="F225" s="1917"/>
      <c r="I225" s="1758" t="s">
        <v>2430</v>
      </c>
    </row>
    <row r="226" spans="1:9" ht="14.4">
      <c r="A226" s="792"/>
      <c r="B226" s="792"/>
      <c r="D226" s="1917"/>
      <c r="E226" s="1917"/>
      <c r="F226" s="1917"/>
    </row>
    <row r="227" spans="1:9" ht="14.4">
      <c r="A227" s="792"/>
      <c r="B227" s="792"/>
      <c r="D227" s="1917"/>
      <c r="E227" s="1917"/>
      <c r="F227" s="1917"/>
    </row>
    <row r="228" spans="1:9" ht="14.4">
      <c r="A228" s="792"/>
      <c r="B228" s="792"/>
      <c r="D228" s="1917"/>
      <c r="E228" s="1917"/>
      <c r="F228" s="1917"/>
    </row>
    <row r="229" spans="1:9" ht="14.25" customHeight="1">
      <c r="A229" s="792"/>
      <c r="B229" s="792"/>
      <c r="D229" s="1917"/>
      <c r="E229" s="1917"/>
      <c r="F229" s="1917"/>
    </row>
    <row r="230" spans="1:9" ht="14.25" customHeight="1">
      <c r="A230" s="792"/>
      <c r="B230" s="792"/>
      <c r="D230" s="1696"/>
      <c r="E230" s="1696"/>
      <c r="F230" s="1696"/>
    </row>
    <row r="231" spans="1:9" ht="14.4">
      <c r="A231" s="792"/>
      <c r="B231" s="792"/>
      <c r="D231" s="1917" t="s">
        <v>1287</v>
      </c>
      <c r="E231" s="1917"/>
      <c r="F231" s="1917"/>
      <c r="I231" s="1758" t="s">
        <v>2429</v>
      </c>
    </row>
    <row r="232" spans="1:9" ht="14.4">
      <c r="A232" s="792"/>
      <c r="B232" s="792"/>
      <c r="D232" s="1917"/>
      <c r="E232" s="1917"/>
      <c r="F232" s="1917"/>
    </row>
    <row r="233" spans="1:9" ht="14.4">
      <c r="A233" s="792"/>
      <c r="B233" s="792"/>
      <c r="D233" s="1917"/>
      <c r="E233" s="1917"/>
      <c r="F233" s="1917"/>
    </row>
    <row r="234" spans="1:9" ht="14.4">
      <c r="A234" s="792"/>
      <c r="B234" s="792"/>
      <c r="D234" s="1917"/>
      <c r="E234" s="1917"/>
      <c r="F234" s="1917"/>
    </row>
    <row r="235" spans="1:9" ht="14.4">
      <c r="A235" s="792"/>
      <c r="B235" s="792"/>
      <c r="D235" s="1917"/>
      <c r="E235" s="1917"/>
      <c r="F235" s="1917"/>
    </row>
    <row r="236" spans="1:9" ht="14.4">
      <c r="A236" s="792"/>
      <c r="B236" s="792"/>
      <c r="D236" s="795"/>
      <c r="E236" s="795"/>
      <c r="F236" s="795"/>
    </row>
    <row r="237" spans="1:9" ht="14.4">
      <c r="A237" s="792"/>
      <c r="B237" s="793" t="s">
        <v>2516</v>
      </c>
      <c r="D237" s="1953" t="s">
        <v>2262</v>
      </c>
      <c r="E237" s="1953"/>
      <c r="F237" s="1953"/>
      <c r="I237" s="1758" t="s">
        <v>2468</v>
      </c>
    </row>
    <row r="238" spans="1:9" ht="14.4">
      <c r="A238" s="792"/>
      <c r="B238" s="792"/>
      <c r="D238" s="1953"/>
      <c r="E238" s="1953"/>
      <c r="F238" s="1953"/>
    </row>
    <row r="239" spans="1:9" ht="14.4">
      <c r="A239" s="792"/>
      <c r="B239" s="792"/>
      <c r="D239" s="1953"/>
      <c r="E239" s="1953"/>
      <c r="F239" s="1953"/>
    </row>
    <row r="240" spans="1:9" ht="14.4">
      <c r="A240" s="792"/>
      <c r="B240" s="792"/>
      <c r="D240" s="1954" t="s">
        <v>961</v>
      </c>
      <c r="E240" s="1954"/>
      <c r="F240" s="1954"/>
    </row>
    <row r="241" spans="1:9" ht="14.4">
      <c r="A241" s="792"/>
      <c r="B241" s="792"/>
      <c r="D241" s="795"/>
      <c r="E241" s="795"/>
      <c r="F241" s="795"/>
    </row>
    <row r="242" spans="1:9" ht="14.55" customHeight="1">
      <c r="A242" s="792"/>
      <c r="B242" s="793" t="s">
        <v>2516</v>
      </c>
      <c r="D242" s="1953" t="s">
        <v>1290</v>
      </c>
      <c r="E242" s="1953"/>
      <c r="F242" s="1953"/>
      <c r="I242" s="1758" t="s">
        <v>2488</v>
      </c>
    </row>
    <row r="243" spans="1:9" ht="14.4">
      <c r="A243" s="792"/>
      <c r="B243" s="792"/>
      <c r="D243" s="1953"/>
      <c r="E243" s="1953"/>
      <c r="F243" s="1953"/>
    </row>
    <row r="244" spans="1:9" ht="14.4">
      <c r="A244" s="792"/>
      <c r="B244" s="792"/>
      <c r="D244" s="1953"/>
      <c r="E244" s="1953"/>
      <c r="F244" s="1953"/>
    </row>
    <row r="245" spans="1:9" ht="14.4">
      <c r="A245" s="792"/>
      <c r="B245" s="792"/>
      <c r="D245" s="1953"/>
      <c r="E245" s="1953"/>
      <c r="F245" s="1953"/>
    </row>
    <row r="246" spans="1:9" ht="14.4">
      <c r="A246" s="792"/>
      <c r="B246" s="792"/>
      <c r="D246" s="1953"/>
      <c r="E246" s="1953"/>
      <c r="F246" s="1953"/>
    </row>
    <row r="247" spans="1:9" ht="14.4">
      <c r="A247" s="792"/>
      <c r="B247" s="792"/>
      <c r="D247" s="1708"/>
      <c r="E247" s="1708"/>
      <c r="F247" s="1708"/>
    </row>
    <row r="248" spans="1:9" ht="14.4">
      <c r="A248" s="792"/>
      <c r="B248" s="793" t="s">
        <v>2621</v>
      </c>
      <c r="D248" s="1707" t="s">
        <v>2259</v>
      </c>
      <c r="E248" s="1708"/>
      <c r="F248" s="1708"/>
      <c r="I248" s="1758" t="s">
        <v>2467</v>
      </c>
    </row>
    <row r="249" spans="1:9" ht="14.4">
      <c r="A249" s="792"/>
      <c r="B249" s="792"/>
      <c r="D249" s="1707"/>
      <c r="E249" s="1715" t="s">
        <v>2260</v>
      </c>
      <c r="F249" s="1708"/>
    </row>
    <row r="250" spans="1:9">
      <c r="D250" s="795"/>
      <c r="E250" s="795"/>
      <c r="F250" s="795"/>
    </row>
    <row r="251" spans="1:9" ht="14.4">
      <c r="A251" s="792"/>
      <c r="B251" s="793" t="s">
        <v>2621</v>
      </c>
      <c r="D251" s="1917" t="s">
        <v>1289</v>
      </c>
      <c r="E251" s="1917"/>
      <c r="F251" s="1917"/>
    </row>
    <row r="252" spans="1:9" ht="14.4">
      <c r="A252" s="792"/>
      <c r="B252" s="792"/>
      <c r="D252" s="1917"/>
      <c r="E252" s="1917"/>
      <c r="F252" s="1917"/>
    </row>
    <row r="253" spans="1:9">
      <c r="D253" s="816"/>
    </row>
    <row r="254" spans="1:9">
      <c r="A254" s="1882" t="s">
        <v>1163</v>
      </c>
      <c r="B254" s="1882"/>
      <c r="C254" s="1882"/>
      <c r="D254" s="1882"/>
      <c r="E254" s="1882"/>
      <c r="F254" s="1882"/>
      <c r="G254" s="1882"/>
      <c r="H254" s="1837"/>
      <c r="I254" s="1838"/>
    </row>
    <row r="255" spans="1:9">
      <c r="D255" s="816"/>
    </row>
    <row r="256" spans="1:9">
      <c r="C256" s="802"/>
      <c r="D256" s="1872" t="s">
        <v>1292</v>
      </c>
      <c r="E256" s="1872"/>
      <c r="F256" s="1872"/>
    </row>
    <row r="257" spans="1:9">
      <c r="A257" s="788"/>
      <c r="B257" s="788"/>
      <c r="C257" s="788"/>
      <c r="D257" s="795"/>
      <c r="E257" s="795"/>
      <c r="F257" s="795"/>
    </row>
    <row r="258" spans="1:9">
      <c r="A258" s="790"/>
      <c r="B258" s="790"/>
      <c r="C258" s="790"/>
      <c r="D258" s="1872" t="s">
        <v>275</v>
      </c>
      <c r="E258" s="1872"/>
      <c r="F258" s="1872"/>
      <c r="I258" s="1758" t="s">
        <v>2469</v>
      </c>
    </row>
    <row r="259" spans="1:9" ht="14.55" customHeight="1">
      <c r="A259" s="792"/>
      <c r="B259" s="793" t="s">
        <v>2621</v>
      </c>
      <c r="D259" s="1985" t="s">
        <v>1399</v>
      </c>
      <c r="E259" s="1985"/>
      <c r="F259" s="1985"/>
    </row>
    <row r="260" spans="1:9">
      <c r="D260" s="1985"/>
      <c r="E260" s="1985"/>
      <c r="F260" s="1985"/>
    </row>
    <row r="261" spans="1:9">
      <c r="D261" s="1956" t="s">
        <v>952</v>
      </c>
      <c r="E261" s="1956"/>
      <c r="F261" s="1956"/>
    </row>
    <row r="262" spans="1:9">
      <c r="D262" s="795"/>
      <c r="E262" s="795"/>
      <c r="F262" s="795"/>
    </row>
    <row r="263" spans="1:9" ht="14.55" customHeight="1">
      <c r="A263" s="792"/>
      <c r="B263" s="793" t="s">
        <v>2516</v>
      </c>
      <c r="D263" s="1953" t="s">
        <v>2261</v>
      </c>
      <c r="E263" s="1953"/>
      <c r="F263" s="1953"/>
      <c r="I263" s="1758" t="s">
        <v>2489</v>
      </c>
    </row>
    <row r="264" spans="1:9">
      <c r="D264" s="1953"/>
      <c r="E264" s="1953"/>
      <c r="F264" s="1953"/>
    </row>
    <row r="265" spans="1:9">
      <c r="D265" s="1953"/>
      <c r="E265" s="1953"/>
      <c r="F265" s="1953"/>
    </row>
    <row r="266" spans="1:9">
      <c r="D266" s="1953"/>
      <c r="E266" s="1953"/>
      <c r="F266" s="1953"/>
    </row>
    <row r="267" spans="1:9">
      <c r="D267" s="1953"/>
      <c r="E267" s="1953"/>
      <c r="F267" s="1953"/>
    </row>
    <row r="268" spans="1:9">
      <c r="D268" s="1953"/>
      <c r="E268" s="1953"/>
      <c r="F268" s="1953"/>
    </row>
    <row r="269" spans="1:9">
      <c r="D269" s="795"/>
      <c r="E269" s="795"/>
      <c r="F269" s="795"/>
    </row>
    <row r="270" spans="1:9" ht="14.4">
      <c r="A270" s="792"/>
      <c r="B270" s="793" t="s">
        <v>2516</v>
      </c>
      <c r="D270" s="1917" t="s">
        <v>1295</v>
      </c>
      <c r="E270" s="1917"/>
      <c r="F270" s="1917"/>
    </row>
    <row r="271" spans="1:9">
      <c r="D271" s="1917"/>
      <c r="E271" s="1917"/>
      <c r="F271" s="1917"/>
    </row>
    <row r="272" spans="1:9">
      <c r="D272" s="1917"/>
      <c r="E272" s="1917"/>
      <c r="F272" s="1917"/>
    </row>
    <row r="273" spans="1:9">
      <c r="D273" s="817"/>
      <c r="E273" s="795"/>
      <c r="F273" s="795"/>
    </row>
    <row r="274" spans="1:9">
      <c r="A274" s="1882" t="s">
        <v>1164</v>
      </c>
      <c r="B274" s="1882"/>
      <c r="C274" s="1882"/>
      <c r="D274" s="1882"/>
      <c r="E274" s="1882"/>
      <c r="F274" s="1882"/>
      <c r="G274" s="1882"/>
      <c r="H274" s="1837"/>
      <c r="I274" s="1838"/>
    </row>
    <row r="275" spans="1:9">
      <c r="D275" s="817"/>
      <c r="E275" s="795"/>
      <c r="F275" s="795"/>
    </row>
    <row r="276" spans="1:9">
      <c r="C276" s="788"/>
      <c r="D276" s="1955" t="s">
        <v>1297</v>
      </c>
      <c r="E276" s="1955"/>
      <c r="F276" s="1955"/>
    </row>
    <row r="277" spans="1:9">
      <c r="C277" s="788"/>
      <c r="D277" s="1955"/>
      <c r="E277" s="1955"/>
      <c r="F277" s="1955"/>
    </row>
    <row r="278" spans="1:9">
      <c r="A278" s="790"/>
      <c r="B278" s="790"/>
      <c r="C278" s="790"/>
      <c r="D278" s="617"/>
      <c r="E278" s="667"/>
      <c r="F278" s="667"/>
    </row>
    <row r="279" spans="1:9">
      <c r="C279" s="790"/>
      <c r="D279" s="1872" t="s">
        <v>215</v>
      </c>
      <c r="E279" s="1872"/>
      <c r="F279" s="1872"/>
    </row>
    <row r="280" spans="1:9" ht="15.75" customHeight="1">
      <c r="A280" s="792"/>
      <c r="B280" s="792"/>
      <c r="D280" s="1965" t="s">
        <v>1298</v>
      </c>
      <c r="E280" s="1965"/>
      <c r="F280" s="1965"/>
    </row>
    <row r="281" spans="1:9">
      <c r="E281" s="795"/>
      <c r="F281" s="795"/>
    </row>
    <row r="282" spans="1:9" ht="14.4">
      <c r="A282" s="792"/>
      <c r="B282" s="793" t="s">
        <v>2516</v>
      </c>
      <c r="D282" s="1917" t="s">
        <v>1299</v>
      </c>
      <c r="E282" s="1917"/>
      <c r="F282" s="1917"/>
      <c r="I282" s="1758" t="s">
        <v>2431</v>
      </c>
    </row>
    <row r="283" spans="1:9" ht="14.4">
      <c r="A283" s="792"/>
      <c r="B283" s="792"/>
      <c r="D283" s="1917"/>
      <c r="E283" s="1917"/>
      <c r="F283" s="1917"/>
    </row>
    <row r="284" spans="1:9">
      <c r="D284" s="795"/>
      <c r="E284" s="795"/>
      <c r="F284" s="795"/>
    </row>
    <row r="285" spans="1:9" ht="14.4">
      <c r="A285" s="792"/>
      <c r="B285" s="793" t="s">
        <v>2516</v>
      </c>
      <c r="D285" s="1953" t="s">
        <v>1300</v>
      </c>
      <c r="E285" s="1953"/>
      <c r="F285" s="1953"/>
      <c r="I285" s="1758" t="s">
        <v>2431</v>
      </c>
    </row>
    <row r="286" spans="1:9" ht="14.4">
      <c r="A286" s="792"/>
      <c r="B286" s="792"/>
      <c r="D286" s="1953"/>
      <c r="E286" s="1953"/>
      <c r="F286" s="1953"/>
    </row>
    <row r="287" spans="1:9" ht="14.4">
      <c r="A287" s="792"/>
      <c r="B287" s="792"/>
      <c r="D287" s="1953"/>
      <c r="E287" s="1953"/>
      <c r="F287" s="1953"/>
    </row>
    <row r="288" spans="1:9">
      <c r="D288" s="795"/>
      <c r="E288" s="795"/>
      <c r="F288" s="795"/>
    </row>
    <row r="289" spans="1:9" ht="14.4">
      <c r="A289" s="792"/>
      <c r="B289" s="793" t="s">
        <v>2516</v>
      </c>
      <c r="D289" s="1917" t="s">
        <v>1301</v>
      </c>
      <c r="E289" s="1917"/>
      <c r="F289" s="1917"/>
      <c r="I289" s="1758" t="s">
        <v>2431</v>
      </c>
    </row>
    <row r="290" spans="1:9" ht="14.4">
      <c r="A290" s="792"/>
      <c r="B290" s="792"/>
      <c r="D290" s="1917"/>
      <c r="E290" s="1917"/>
      <c r="F290" s="1917"/>
    </row>
    <row r="291" spans="1:9">
      <c r="A291" s="811"/>
      <c r="B291" s="811"/>
      <c r="E291" s="795"/>
      <c r="F291" s="795"/>
    </row>
    <row r="292" spans="1:9">
      <c r="A292" s="1882" t="s">
        <v>1165</v>
      </c>
      <c r="B292" s="1882"/>
      <c r="C292" s="1882"/>
      <c r="D292" s="1882"/>
      <c r="E292" s="1882"/>
      <c r="F292" s="1882"/>
      <c r="G292" s="1882"/>
      <c r="H292" s="1837"/>
      <c r="I292" s="1838"/>
    </row>
    <row r="293" spans="1:9">
      <c r="A293" s="811"/>
      <c r="B293" s="811"/>
      <c r="D293" s="795"/>
      <c r="E293" s="795"/>
      <c r="F293" s="795"/>
    </row>
    <row r="294" spans="1:9">
      <c r="C294" s="811"/>
      <c r="D294" s="1872" t="s">
        <v>719</v>
      </c>
      <c r="E294" s="1872"/>
      <c r="F294" s="1872"/>
    </row>
    <row r="295" spans="1:9">
      <c r="C295" s="811"/>
      <c r="D295" s="1922" t="s">
        <v>1302</v>
      </c>
      <c r="E295" s="1922"/>
      <c r="F295" s="1922"/>
    </row>
    <row r="296" spans="1:9">
      <c r="C296" s="811"/>
      <c r="D296" s="818"/>
    </row>
    <row r="297" spans="1:9">
      <c r="A297" s="796"/>
      <c r="B297" s="793" t="s">
        <v>2516</v>
      </c>
      <c r="D297" s="1922" t="s">
        <v>1303</v>
      </c>
      <c r="E297" s="1922"/>
      <c r="F297" s="1922"/>
      <c r="I297" s="1758" t="s">
        <v>2432</v>
      </c>
    </row>
    <row r="298" spans="1:9" s="786" customFormat="1" ht="14.4">
      <c r="A298" s="800"/>
      <c r="B298" s="800"/>
      <c r="C298" s="796"/>
      <c r="D298" s="819"/>
      <c r="E298" s="820"/>
      <c r="F298" s="820"/>
      <c r="G298" s="797"/>
      <c r="I298" s="1821"/>
    </row>
    <row r="299" spans="1:9" s="786" customFormat="1" ht="13.8" customHeight="1">
      <c r="A299" s="796"/>
      <c r="B299" s="793" t="s">
        <v>2516</v>
      </c>
      <c r="C299" s="796"/>
      <c r="D299" s="1960" t="s">
        <v>1428</v>
      </c>
      <c r="E299" s="1960"/>
      <c r="F299" s="1960"/>
      <c r="G299" s="797"/>
      <c r="I299" s="1821" t="s">
        <v>2432</v>
      </c>
    </row>
    <row r="300" spans="1:9" s="786" customFormat="1" ht="14.4">
      <c r="A300" s="800"/>
      <c r="B300" s="800"/>
      <c r="C300" s="796"/>
      <c r="D300" s="1960"/>
      <c r="E300" s="1960"/>
      <c r="F300" s="1960"/>
      <c r="G300" s="797"/>
      <c r="I300" s="1821"/>
    </row>
    <row r="301" spans="1:9" s="786" customFormat="1" ht="14.4">
      <c r="A301" s="800"/>
      <c r="B301" s="800"/>
      <c r="C301" s="796"/>
      <c r="D301" s="1960"/>
      <c r="E301" s="1960"/>
      <c r="F301" s="1960"/>
      <c r="G301" s="797"/>
      <c r="I301" s="1821"/>
    </row>
    <row r="302" spans="1:9" s="786" customFormat="1" ht="14.4">
      <c r="A302" s="800"/>
      <c r="B302" s="800"/>
      <c r="C302" s="796"/>
      <c r="D302" s="1960"/>
      <c r="E302" s="1960"/>
      <c r="F302" s="1960"/>
      <c r="G302" s="797"/>
      <c r="I302" s="1821"/>
    </row>
    <row r="303" spans="1:9" s="786" customFormat="1" ht="14.4">
      <c r="A303" s="800"/>
      <c r="B303" s="800"/>
      <c r="C303" s="796"/>
      <c r="D303" s="1960"/>
      <c r="E303" s="1960"/>
      <c r="F303" s="1960"/>
      <c r="G303" s="797"/>
      <c r="I303" s="1821"/>
    </row>
    <row r="304" spans="1:9" s="786" customFormat="1" ht="14.4">
      <c r="A304" s="800"/>
      <c r="B304" s="800"/>
      <c r="C304" s="796"/>
      <c r="D304" s="819"/>
      <c r="E304" s="820"/>
      <c r="F304" s="820"/>
      <c r="G304" s="797"/>
      <c r="I304" s="1821"/>
    </row>
    <row r="305" spans="1:9" s="786" customFormat="1" ht="13.8" customHeight="1">
      <c r="A305" s="796"/>
      <c r="B305" s="793" t="s">
        <v>2516</v>
      </c>
      <c r="C305" s="796"/>
      <c r="D305" s="1960" t="s">
        <v>1305</v>
      </c>
      <c r="E305" s="1960"/>
      <c r="F305" s="1960"/>
      <c r="G305" s="797"/>
      <c r="I305" s="1821" t="s">
        <v>2432</v>
      </c>
    </row>
    <row r="306" spans="1:9" s="786" customFormat="1">
      <c r="A306" s="796"/>
      <c r="B306" s="796"/>
      <c r="C306" s="796"/>
      <c r="D306" s="1960"/>
      <c r="E306" s="1960"/>
      <c r="F306" s="1960"/>
      <c r="G306" s="797"/>
      <c r="I306" s="1821"/>
    </row>
    <row r="307" spans="1:9" s="786" customFormat="1" ht="14.4">
      <c r="A307" s="800"/>
      <c r="B307" s="800"/>
      <c r="C307" s="796"/>
      <c r="D307" s="819"/>
      <c r="E307" s="820"/>
      <c r="F307" s="820"/>
      <c r="G307" s="797"/>
      <c r="I307" s="1821"/>
    </row>
    <row r="308" spans="1:9">
      <c r="A308" s="796"/>
      <c r="B308" s="793" t="s">
        <v>2516</v>
      </c>
      <c r="D308" s="1922" t="s">
        <v>1306</v>
      </c>
      <c r="E308" s="1922"/>
      <c r="F308" s="1922"/>
      <c r="I308" s="1758" t="s">
        <v>2418</v>
      </c>
    </row>
    <row r="309" spans="1:9">
      <c r="E309" s="795"/>
      <c r="F309" s="795"/>
    </row>
    <row r="310" spans="1:9" ht="14.4">
      <c r="A310" s="792"/>
      <c r="B310" s="793" t="s">
        <v>2516</v>
      </c>
      <c r="D310" s="1953" t="s">
        <v>1455</v>
      </c>
      <c r="E310" s="1953"/>
      <c r="F310" s="1953"/>
      <c r="I310" s="1758" t="s">
        <v>2433</v>
      </c>
    </row>
    <row r="311" spans="1:9" ht="14.4">
      <c r="A311" s="792"/>
      <c r="B311" s="792"/>
      <c r="D311" s="1953"/>
      <c r="E311" s="1953"/>
      <c r="F311" s="1953"/>
    </row>
    <row r="312" spans="1:9" ht="14.4">
      <c r="A312" s="792"/>
      <c r="B312" s="792"/>
      <c r="D312" s="1953"/>
      <c r="E312" s="1953"/>
      <c r="F312" s="1953"/>
    </row>
    <row r="313" spans="1:9" ht="14.4">
      <c r="A313" s="792"/>
      <c r="B313" s="792"/>
      <c r="D313" s="1953"/>
      <c r="E313" s="1953"/>
      <c r="F313" s="1953"/>
    </row>
    <row r="314" spans="1:9" ht="14.4">
      <c r="A314" s="792"/>
      <c r="B314" s="792"/>
      <c r="D314" s="1953"/>
      <c r="E314" s="1953"/>
      <c r="F314" s="1953"/>
    </row>
    <row r="315" spans="1:9" ht="14.4">
      <c r="A315" s="792"/>
      <c r="B315" s="792"/>
      <c r="D315" s="1953"/>
      <c r="E315" s="1953"/>
      <c r="F315" s="1953"/>
    </row>
    <row r="316" spans="1:9" ht="14.4">
      <c r="A316" s="792"/>
      <c r="B316" s="792"/>
      <c r="D316" s="1953"/>
      <c r="E316" s="1953"/>
      <c r="F316" s="1953"/>
    </row>
    <row r="317" spans="1:9" ht="14.4">
      <c r="A317" s="792"/>
      <c r="B317" s="792"/>
      <c r="D317" s="1953"/>
      <c r="E317" s="1953"/>
      <c r="F317" s="1953"/>
    </row>
    <row r="318" spans="1:9" ht="14.4">
      <c r="A318" s="792"/>
      <c r="B318" s="792"/>
      <c r="D318" s="1953"/>
      <c r="E318" s="1953"/>
      <c r="F318" s="1953"/>
    </row>
    <row r="319" spans="1:9" ht="14.4">
      <c r="A319" s="792"/>
      <c r="B319" s="792"/>
      <c r="D319" s="1953"/>
      <c r="E319" s="1953"/>
      <c r="F319" s="1953"/>
    </row>
    <row r="320" spans="1:9" ht="14.4">
      <c r="A320" s="792"/>
      <c r="B320" s="792"/>
      <c r="D320" s="1953"/>
      <c r="E320" s="1953"/>
      <c r="F320" s="1953"/>
    </row>
    <row r="321" spans="1:9" ht="14.4">
      <c r="A321" s="792"/>
      <c r="B321" s="792"/>
      <c r="D321" s="1953"/>
      <c r="E321" s="1953"/>
      <c r="F321" s="1953"/>
    </row>
    <row r="322" spans="1:9" ht="14.4">
      <c r="A322" s="792"/>
      <c r="B322" s="792"/>
      <c r="D322" s="1953"/>
      <c r="E322" s="1953"/>
      <c r="F322" s="1953"/>
    </row>
    <row r="323" spans="1:9" ht="14.4">
      <c r="A323" s="792"/>
      <c r="B323" s="792"/>
      <c r="D323" s="1953"/>
      <c r="E323" s="1953"/>
      <c r="F323" s="1953"/>
    </row>
    <row r="324" spans="1:9" ht="14.4">
      <c r="A324" s="792"/>
      <c r="B324" s="792"/>
      <c r="D324" s="1953"/>
      <c r="E324" s="1953"/>
      <c r="F324" s="1953"/>
    </row>
    <row r="325" spans="1:9">
      <c r="D325" s="795"/>
      <c r="E325" s="795"/>
      <c r="F325" s="795"/>
    </row>
    <row r="326" spans="1:9" ht="14.4">
      <c r="A326" s="792"/>
      <c r="B326" s="793" t="s">
        <v>2516</v>
      </c>
      <c r="D326" s="1953" t="s">
        <v>1308</v>
      </c>
      <c r="E326" s="1953"/>
      <c r="F326" s="1953"/>
      <c r="I326" s="1758" t="s">
        <v>2433</v>
      </c>
    </row>
    <row r="327" spans="1:9">
      <c r="D327" s="1953"/>
      <c r="E327" s="1953"/>
      <c r="F327" s="1953"/>
    </row>
    <row r="328" spans="1:9">
      <c r="D328" s="1953"/>
      <c r="E328" s="1953"/>
      <c r="F328" s="1953"/>
    </row>
    <row r="329" spans="1:9">
      <c r="D329" s="1953"/>
      <c r="E329" s="1953"/>
      <c r="F329" s="1953"/>
    </row>
    <row r="330" spans="1:9">
      <c r="D330" s="1953"/>
      <c r="E330" s="1953"/>
      <c r="F330" s="1953"/>
    </row>
    <row r="331" spans="1:9">
      <c r="D331" s="1953"/>
      <c r="E331" s="1953"/>
      <c r="F331" s="1953"/>
    </row>
    <row r="332" spans="1:9">
      <c r="D332" s="1953"/>
      <c r="E332" s="1953"/>
      <c r="F332" s="1953"/>
    </row>
    <row r="333" spans="1:9">
      <c r="D333" s="1953"/>
      <c r="E333" s="1953"/>
      <c r="F333" s="1953"/>
    </row>
    <row r="334" spans="1:9">
      <c r="D334" s="1953"/>
      <c r="E334" s="1953"/>
      <c r="F334" s="1953"/>
    </row>
    <row r="335" spans="1:9">
      <c r="D335" s="795"/>
      <c r="E335" s="795"/>
      <c r="F335" s="795"/>
    </row>
    <row r="336" spans="1:9" ht="14.4">
      <c r="A336" s="792"/>
      <c r="B336" s="793" t="s">
        <v>2516</v>
      </c>
      <c r="D336" s="1917" t="s">
        <v>1505</v>
      </c>
      <c r="E336" s="1917"/>
      <c r="F336" s="1917"/>
      <c r="I336" s="1758" t="s">
        <v>2470</v>
      </c>
    </row>
    <row r="337" spans="1:9">
      <c r="D337" s="1917"/>
      <c r="E337" s="1917"/>
      <c r="F337" s="1917"/>
      <c r="G337" s="785"/>
    </row>
    <row r="338" spans="1:9">
      <c r="D338" s="1917"/>
      <c r="E338" s="1917"/>
      <c r="F338" s="1917"/>
      <c r="G338" s="785"/>
    </row>
    <row r="339" spans="1:9">
      <c r="D339" s="1917"/>
      <c r="E339" s="1917"/>
      <c r="F339" s="1917"/>
      <c r="G339" s="785"/>
    </row>
    <row r="340" spans="1:9">
      <c r="D340" s="1917"/>
      <c r="E340" s="1917"/>
      <c r="F340" s="1917"/>
      <c r="G340" s="785"/>
    </row>
    <row r="341" spans="1:9">
      <c r="D341" s="1917"/>
      <c r="E341" s="1917"/>
      <c r="F341" s="1917"/>
      <c r="G341" s="785"/>
    </row>
    <row r="342" spans="1:9" s="1756" customFormat="1">
      <c r="A342" s="783"/>
      <c r="B342" s="783"/>
      <c r="C342" s="783"/>
      <c r="D342" s="1811"/>
      <c r="E342" s="1811"/>
      <c r="F342" s="1811"/>
      <c r="I342" s="1758"/>
    </row>
    <row r="343" spans="1:9" ht="13.8" thickBot="1">
      <c r="A343" s="1812"/>
      <c r="B343" s="1812"/>
      <c r="C343" s="1812"/>
      <c r="D343" s="1984" t="s">
        <v>1058</v>
      </c>
      <c r="E343" s="1984"/>
      <c r="F343" s="1984"/>
      <c r="G343" s="1835"/>
      <c r="H343" s="1835"/>
      <c r="I343" s="1836"/>
    </row>
    <row r="344" spans="1:9" ht="13.8" thickTop="1">
      <c r="D344" s="1961" t="s">
        <v>1310</v>
      </c>
      <c r="E344" s="1961"/>
      <c r="F344" s="1961"/>
      <c r="G344" s="785"/>
    </row>
    <row r="345" spans="1:9" s="1756" customFormat="1">
      <c r="A345" s="783"/>
      <c r="B345" s="783"/>
      <c r="C345" s="783"/>
      <c r="D345" s="1829"/>
      <c r="E345" s="1829"/>
      <c r="F345" s="1829"/>
      <c r="I345" s="1758"/>
    </row>
    <row r="346" spans="1:9">
      <c r="A346" s="809"/>
      <c r="B346" s="809"/>
      <c r="C346" s="809"/>
      <c r="D346" s="781"/>
      <c r="E346" s="781"/>
      <c r="F346" s="795"/>
      <c r="G346" s="785"/>
      <c r="I346" s="1758" t="s">
        <v>2434</v>
      </c>
    </row>
    <row r="347" spans="1:9" ht="14.4">
      <c r="A347" s="792"/>
      <c r="B347" s="793" t="s">
        <v>2516</v>
      </c>
      <c r="C347" s="824"/>
      <c r="D347" s="1922" t="s">
        <v>1319</v>
      </c>
      <c r="E347" s="1922"/>
      <c r="F347" s="1922"/>
      <c r="I347" s="1950" t="s">
        <v>2485</v>
      </c>
    </row>
    <row r="348" spans="1:9" ht="12.75" customHeight="1">
      <c r="D348" s="1926" t="s">
        <v>1453</v>
      </c>
      <c r="E348" s="1926"/>
      <c r="F348" s="1926"/>
      <c r="I348" s="1951"/>
    </row>
    <row r="349" spans="1:9">
      <c r="D349" s="1953" t="s">
        <v>1452</v>
      </c>
      <c r="E349" s="1953"/>
      <c r="F349" s="1953"/>
      <c r="I349" s="1951"/>
    </row>
    <row r="350" spans="1:9">
      <c r="D350" s="1953"/>
      <c r="E350" s="1953"/>
      <c r="F350" s="1953"/>
      <c r="I350" s="1951"/>
    </row>
    <row r="351" spans="1:9">
      <c r="D351" s="1953"/>
      <c r="E351" s="1953"/>
      <c r="F351" s="1953"/>
      <c r="I351" s="1952"/>
    </row>
    <row r="352" spans="1:9" ht="14.4">
      <c r="A352" s="792"/>
      <c r="B352" s="793" t="s">
        <v>2516</v>
      </c>
      <c r="C352" s="809"/>
      <c r="D352" s="1929" t="s">
        <v>1311</v>
      </c>
      <c r="E352" s="1929"/>
      <c r="F352" s="1929"/>
      <c r="G352" s="785"/>
      <c r="I352" s="614"/>
    </row>
    <row r="353" spans="1:9">
      <c r="A353" s="809"/>
      <c r="B353" s="809"/>
      <c r="C353" s="809"/>
      <c r="D353" s="781"/>
      <c r="E353" s="781"/>
      <c r="F353" s="795"/>
      <c r="G353" s="785"/>
    </row>
    <row r="354" spans="1:9">
      <c r="A354" s="809"/>
      <c r="B354" s="793" t="s">
        <v>2516</v>
      </c>
      <c r="C354" s="809"/>
      <c r="D354" s="1913" t="s">
        <v>1431</v>
      </c>
      <c r="E354" s="1913"/>
      <c r="F354" s="1913"/>
      <c r="G354" s="785"/>
    </row>
    <row r="355" spans="1:9">
      <c r="A355" s="809"/>
      <c r="B355" s="809"/>
      <c r="C355" s="809"/>
      <c r="D355" s="1913"/>
      <c r="E355" s="1913"/>
      <c r="F355" s="1913"/>
      <c r="G355" s="785"/>
    </row>
    <row r="356" spans="1:9">
      <c r="A356" s="809"/>
      <c r="B356" s="809"/>
      <c r="C356" s="809"/>
      <c r="D356" s="1913"/>
      <c r="E356" s="1913"/>
      <c r="F356" s="1913"/>
      <c r="G356" s="785"/>
    </row>
    <row r="357" spans="1:9">
      <c r="A357" s="809"/>
      <c r="B357" s="809"/>
      <c r="C357" s="809"/>
      <c r="D357" s="1913"/>
      <c r="E357" s="1913"/>
      <c r="F357" s="1913"/>
      <c r="G357" s="785"/>
    </row>
    <row r="358" spans="1:9">
      <c r="A358" s="809"/>
      <c r="B358" s="809"/>
      <c r="C358" s="809"/>
      <c r="D358" s="1913"/>
      <c r="E358" s="1913"/>
      <c r="F358" s="1913"/>
      <c r="G358" s="785"/>
    </row>
    <row r="359" spans="1:9">
      <c r="A359" s="809"/>
      <c r="B359" s="809"/>
      <c r="C359" s="809"/>
      <c r="D359" s="1913"/>
      <c r="E359" s="1913"/>
      <c r="F359" s="1913"/>
      <c r="G359" s="785"/>
    </row>
    <row r="360" spans="1:9">
      <c r="A360" s="809"/>
      <c r="B360" s="809"/>
      <c r="C360" s="809"/>
      <c r="D360" s="1913"/>
      <c r="E360" s="1913"/>
      <c r="F360" s="1913"/>
      <c r="G360" s="785"/>
    </row>
    <row r="361" spans="1:9">
      <c r="A361" s="809"/>
      <c r="B361" s="809"/>
      <c r="C361" s="809"/>
      <c r="D361" s="1913"/>
      <c r="E361" s="1913"/>
      <c r="F361" s="1913"/>
      <c r="G361" s="785"/>
    </row>
    <row r="362" spans="1:9">
      <c r="A362" s="809"/>
      <c r="B362" s="809"/>
      <c r="C362" s="809"/>
      <c r="D362" s="1913"/>
      <c r="E362" s="1913"/>
      <c r="F362" s="1913"/>
      <c r="G362" s="785"/>
    </row>
    <row r="363" spans="1:9">
      <c r="A363" s="809"/>
      <c r="B363" s="809"/>
      <c r="C363" s="809"/>
      <c r="D363" s="1913"/>
      <c r="E363" s="1913"/>
      <c r="F363" s="1913"/>
      <c r="G363" s="785"/>
    </row>
    <row r="364" spans="1:9">
      <c r="A364" s="809"/>
      <c r="B364" s="809"/>
      <c r="C364" s="809"/>
      <c r="D364" s="1913"/>
      <c r="E364" s="1913"/>
      <c r="F364" s="1913"/>
      <c r="G364" s="785"/>
    </row>
    <row r="365" spans="1:9">
      <c r="A365" s="809"/>
      <c r="B365" s="809"/>
      <c r="C365" s="809"/>
      <c r="D365" s="1913"/>
      <c r="E365" s="1913"/>
      <c r="F365" s="1913"/>
      <c r="G365" s="785"/>
    </row>
    <row r="366" spans="1:9" s="1756" customFormat="1">
      <c r="A366" s="1761"/>
      <c r="B366" s="1761"/>
      <c r="C366" s="1761"/>
      <c r="D366" s="1763"/>
      <c r="E366" s="1763"/>
      <c r="F366" s="1763"/>
      <c r="I366" s="1758"/>
    </row>
    <row r="367" spans="1:9" ht="12.45" customHeight="1">
      <c r="A367" s="809"/>
      <c r="B367" s="793" t="s">
        <v>2516</v>
      </c>
      <c r="C367" s="809"/>
      <c r="D367" s="1957" t="s">
        <v>1432</v>
      </c>
      <c r="E367" s="1957"/>
      <c r="F367" s="1957"/>
      <c r="G367" s="785"/>
    </row>
    <row r="368" spans="1:9">
      <c r="A368" s="809"/>
      <c r="B368" s="809"/>
      <c r="C368" s="809"/>
      <c r="D368" s="1957"/>
      <c r="E368" s="1957"/>
      <c r="F368" s="1957"/>
      <c r="G368" s="785"/>
    </row>
    <row r="369" spans="1:9">
      <c r="A369" s="809"/>
      <c r="B369" s="809"/>
      <c r="C369" s="809"/>
      <c r="D369" s="1957"/>
      <c r="E369" s="1957"/>
      <c r="F369" s="1957"/>
      <c r="G369" s="785"/>
    </row>
    <row r="370" spans="1:9">
      <c r="A370" s="809"/>
      <c r="B370" s="809"/>
      <c r="C370" s="809"/>
      <c r="D370" s="1957"/>
      <c r="E370" s="1957"/>
      <c r="F370" s="1957"/>
      <c r="G370" s="785"/>
    </row>
    <row r="371" spans="1:9" s="1756" customFormat="1">
      <c r="A371" s="1761"/>
      <c r="B371" s="1761"/>
      <c r="C371" s="1761"/>
      <c r="D371" s="1762"/>
      <c r="E371" s="1762"/>
      <c r="F371" s="1762"/>
      <c r="I371" s="1758"/>
    </row>
    <row r="372" spans="1:9" s="1756" customFormat="1">
      <c r="A372" s="1761"/>
      <c r="B372" s="1759" t="s">
        <v>2516</v>
      </c>
      <c r="C372" s="1761"/>
      <c r="D372" s="1756" t="s">
        <v>2353</v>
      </c>
      <c r="E372" s="1762"/>
      <c r="F372" s="1762"/>
      <c r="I372" s="1758"/>
    </row>
    <row r="373" spans="1:9" s="1756" customFormat="1">
      <c r="A373" s="1761"/>
      <c r="B373" s="1761"/>
      <c r="C373" s="1761"/>
      <c r="D373" s="1756" t="s">
        <v>2354</v>
      </c>
      <c r="E373" s="1762"/>
      <c r="F373" s="1762"/>
      <c r="I373" s="1758"/>
    </row>
    <row r="374" spans="1:9" s="1756" customFormat="1">
      <c r="A374" s="1761"/>
      <c r="B374" s="1761"/>
      <c r="C374" s="1761"/>
      <c r="D374" s="1756" t="s">
        <v>2355</v>
      </c>
      <c r="E374" s="1762"/>
      <c r="F374" s="1762"/>
      <c r="I374" s="1758"/>
    </row>
    <row r="375" spans="1:9" s="1756" customFormat="1">
      <c r="A375" s="1761"/>
      <c r="B375" s="1761"/>
      <c r="C375" s="1761"/>
      <c r="D375" s="1756" t="s">
        <v>2356</v>
      </c>
      <c r="E375" s="1762"/>
      <c r="F375" s="1762"/>
      <c r="I375" s="1758"/>
    </row>
    <row r="376" spans="1:9" s="1756" customFormat="1">
      <c r="A376" s="1761"/>
      <c r="B376" s="1761"/>
      <c r="C376" s="1761"/>
      <c r="D376" s="1756" t="s">
        <v>2357</v>
      </c>
      <c r="E376" s="1762"/>
      <c r="F376" s="1762"/>
      <c r="I376" s="1758"/>
    </row>
    <row r="377" spans="1:9" s="1756" customFormat="1">
      <c r="A377" s="1761"/>
      <c r="B377" s="1761"/>
      <c r="C377" s="1761"/>
      <c r="D377" s="1756" t="s">
        <v>2358</v>
      </c>
      <c r="E377" s="1762"/>
      <c r="F377" s="1762"/>
      <c r="I377" s="1758"/>
    </row>
    <row r="378" spans="1:9">
      <c r="A378" s="809"/>
      <c r="B378" s="809"/>
      <c r="C378" s="809"/>
      <c r="D378" s="785"/>
      <c r="E378" s="781"/>
      <c r="F378" s="795"/>
      <c r="G378" s="785"/>
    </row>
    <row r="379" spans="1:9" ht="14.4">
      <c r="A379" s="792"/>
      <c r="B379" s="793" t="s">
        <v>2516</v>
      </c>
      <c r="C379" s="809"/>
      <c r="D379" s="1932" t="s">
        <v>1313</v>
      </c>
      <c r="E379" s="1932"/>
      <c r="F379" s="1932"/>
      <c r="G379" s="785"/>
    </row>
    <row r="380" spans="1:9">
      <c r="A380" s="809"/>
      <c r="B380" s="809"/>
      <c r="C380" s="809"/>
      <c r="D380" s="1932"/>
      <c r="E380" s="1932"/>
      <c r="F380" s="1932"/>
      <c r="G380" s="785"/>
    </row>
    <row r="381" spans="1:9">
      <c r="A381" s="809"/>
      <c r="B381" s="809"/>
      <c r="C381" s="809"/>
      <c r="D381" s="1932"/>
      <c r="E381" s="1932"/>
      <c r="F381" s="1932"/>
      <c r="G381" s="785"/>
    </row>
    <row r="382" spans="1:9">
      <c r="A382" s="809"/>
      <c r="B382" s="809"/>
      <c r="C382" s="809"/>
      <c r="D382" s="1932"/>
      <c r="E382" s="1932"/>
      <c r="F382" s="1932"/>
      <c r="G382" s="785"/>
    </row>
    <row r="383" spans="1:9">
      <c r="A383" s="809"/>
      <c r="B383" s="809"/>
      <c r="C383" s="809"/>
      <c r="D383" s="821"/>
      <c r="E383" s="781"/>
      <c r="F383" s="795"/>
      <c r="G383" s="785"/>
    </row>
    <row r="384" spans="1:9">
      <c r="A384" s="809"/>
      <c r="B384" s="809"/>
      <c r="C384" s="809"/>
      <c r="D384" s="1932" t="s">
        <v>1314</v>
      </c>
      <c r="E384" s="1932"/>
      <c r="F384" s="1932"/>
      <c r="G384" s="785"/>
    </row>
    <row r="385" spans="1:7">
      <c r="A385" s="809"/>
      <c r="B385" s="809"/>
      <c r="C385" s="809"/>
      <c r="D385" s="1932"/>
      <c r="E385" s="1932"/>
      <c r="F385" s="1932"/>
      <c r="G385" s="785"/>
    </row>
    <row r="386" spans="1:7">
      <c r="A386" s="809"/>
      <c r="B386" s="809"/>
      <c r="C386" s="809"/>
      <c r="D386" s="1932"/>
      <c r="E386" s="1932"/>
      <c r="F386" s="1932"/>
      <c r="G386" s="785"/>
    </row>
    <row r="387" spans="1:7">
      <c r="A387" s="809"/>
      <c r="B387" s="809"/>
      <c r="C387" s="809"/>
      <c r="D387" s="1932"/>
      <c r="E387" s="1932"/>
      <c r="F387" s="1932"/>
      <c r="G387" s="785"/>
    </row>
    <row r="388" spans="1:7" ht="18" customHeight="1">
      <c r="A388" s="809"/>
      <c r="B388" s="809"/>
      <c r="C388" s="809"/>
      <c r="D388" s="1932"/>
      <c r="E388" s="1932"/>
      <c r="F388" s="1932"/>
      <c r="G388" s="785"/>
    </row>
    <row r="389" spans="1:7">
      <c r="A389" s="809"/>
      <c r="B389" s="809"/>
      <c r="C389" s="809"/>
      <c r="D389" s="1932"/>
      <c r="E389" s="1932"/>
      <c r="F389" s="1932"/>
      <c r="G389" s="785"/>
    </row>
    <row r="390" spans="1:7">
      <c r="A390" s="809"/>
      <c r="B390" s="809"/>
      <c r="C390" s="809"/>
      <c r="D390" s="1932"/>
      <c r="E390" s="1932"/>
      <c r="F390" s="1932"/>
      <c r="G390" s="785"/>
    </row>
    <row r="391" spans="1:7">
      <c r="A391" s="809"/>
      <c r="B391" s="809"/>
      <c r="C391" s="809"/>
      <c r="D391" s="1932"/>
      <c r="E391" s="1932"/>
      <c r="F391" s="1932"/>
      <c r="G391" s="785"/>
    </row>
    <row r="392" spans="1:7" ht="8.25" customHeight="1">
      <c r="A392" s="809"/>
      <c r="B392" s="809"/>
      <c r="C392" s="809"/>
      <c r="D392" s="1932"/>
      <c r="E392" s="1932"/>
      <c r="F392" s="1932"/>
      <c r="G392" s="785"/>
    </row>
    <row r="393" spans="1:7" ht="13.8" customHeight="1">
      <c r="A393" s="809"/>
      <c r="B393" s="809"/>
      <c r="C393" s="809"/>
      <c r="D393" s="1925" t="s">
        <v>1315</v>
      </c>
      <c r="E393" s="1925"/>
      <c r="F393" s="1925"/>
      <c r="G393" s="785"/>
    </row>
    <row r="394" spans="1:7">
      <c r="A394" s="809"/>
      <c r="B394" s="809"/>
      <c r="C394" s="809"/>
      <c r="D394" s="1925"/>
      <c r="E394" s="1925"/>
      <c r="F394" s="1925"/>
      <c r="G394" s="785"/>
    </row>
    <row r="395" spans="1:7">
      <c r="A395" s="809"/>
      <c r="B395" s="809"/>
      <c r="C395" s="809"/>
      <c r="D395" s="1925"/>
      <c r="E395" s="1925"/>
      <c r="F395" s="1925"/>
      <c r="G395" s="785"/>
    </row>
    <row r="396" spans="1:7">
      <c r="A396" s="809"/>
      <c r="B396" s="809"/>
      <c r="C396" s="809"/>
      <c r="D396" s="1925"/>
      <c r="E396" s="1925"/>
      <c r="F396" s="1925"/>
      <c r="G396" s="785"/>
    </row>
    <row r="397" spans="1:7">
      <c r="A397" s="809"/>
      <c r="B397" s="809"/>
      <c r="C397" s="809"/>
      <c r="D397" s="1925"/>
      <c r="E397" s="1925"/>
      <c r="F397" s="1925"/>
      <c r="G397" s="785"/>
    </row>
    <row r="398" spans="1:7">
      <c r="A398" s="809"/>
      <c r="B398" s="809"/>
      <c r="C398" s="809"/>
      <c r="D398" s="1925"/>
      <c r="E398" s="1925"/>
      <c r="F398" s="1925"/>
      <c r="G398" s="785"/>
    </row>
    <row r="399" spans="1:7">
      <c r="A399" s="809"/>
      <c r="B399" s="809"/>
      <c r="C399" s="809"/>
      <c r="D399" s="1925"/>
      <c r="E399" s="1925"/>
      <c r="F399" s="1925"/>
      <c r="G399" s="785"/>
    </row>
    <row r="400" spans="1:7">
      <c r="A400" s="809"/>
      <c r="B400" s="809"/>
      <c r="C400" s="809"/>
      <c r="D400" s="1925"/>
      <c r="E400" s="1925"/>
      <c r="F400" s="1925"/>
      <c r="G400" s="785"/>
    </row>
    <row r="401" spans="1:7">
      <c r="A401" s="809"/>
      <c r="B401" s="809"/>
      <c r="C401" s="809"/>
      <c r="D401" s="1925"/>
      <c r="E401" s="1925"/>
      <c r="F401" s="1925"/>
      <c r="G401" s="785"/>
    </row>
    <row r="402" spans="1:7">
      <c r="A402" s="809"/>
      <c r="B402" s="809"/>
      <c r="C402" s="809"/>
      <c r="D402" s="1925"/>
      <c r="E402" s="1925"/>
      <c r="F402" s="1925"/>
      <c r="G402" s="785"/>
    </row>
    <row r="403" spans="1:7">
      <c r="A403" s="809"/>
      <c r="B403" s="809"/>
      <c r="C403" s="809"/>
      <c r="D403" s="1925"/>
      <c r="E403" s="1925"/>
      <c r="F403" s="1925"/>
      <c r="G403" s="785"/>
    </row>
    <row r="404" spans="1:7">
      <c r="A404" s="809"/>
      <c r="B404" s="809"/>
      <c r="C404" s="809"/>
      <c r="D404" s="1925"/>
      <c r="E404" s="1925"/>
      <c r="F404" s="1925"/>
      <c r="G404" s="785"/>
    </row>
    <row r="405" spans="1:7">
      <c r="A405" s="809"/>
      <c r="B405" s="809"/>
      <c r="C405" s="822"/>
      <c r="D405" s="1925"/>
      <c r="E405" s="1925"/>
      <c r="F405" s="1925"/>
      <c r="G405" s="785"/>
    </row>
    <row r="406" spans="1:7">
      <c r="A406" s="809"/>
      <c r="B406" s="809"/>
      <c r="C406" s="822"/>
      <c r="D406" s="1925"/>
      <c r="E406" s="1925"/>
      <c r="F406" s="1925"/>
      <c r="G406" s="785"/>
    </row>
    <row r="407" spans="1:7">
      <c r="A407" s="809"/>
      <c r="B407" s="809"/>
      <c r="C407" s="809"/>
      <c r="D407" s="1925"/>
      <c r="E407" s="1925"/>
      <c r="F407" s="1925"/>
      <c r="G407" s="785"/>
    </row>
    <row r="408" spans="1:7">
      <c r="A408" s="809"/>
      <c r="B408" s="809"/>
      <c r="C408" s="822"/>
      <c r="D408" s="1925"/>
      <c r="E408" s="1925"/>
      <c r="F408" s="1925"/>
      <c r="G408" s="785"/>
    </row>
    <row r="409" spans="1:7">
      <c r="A409" s="809"/>
      <c r="B409" s="809"/>
      <c r="C409" s="822"/>
      <c r="D409" s="1925"/>
      <c r="E409" s="1925"/>
      <c r="F409" s="1925"/>
      <c r="G409" s="785"/>
    </row>
    <row r="410" spans="1:7">
      <c r="A410" s="809"/>
      <c r="B410" s="809"/>
      <c r="C410" s="822"/>
      <c r="D410" s="1925"/>
      <c r="E410" s="1925"/>
      <c r="F410" s="1925"/>
      <c r="G410" s="785"/>
    </row>
    <row r="411" spans="1:7">
      <c r="A411" s="809"/>
      <c r="B411" s="809"/>
      <c r="C411" s="809"/>
      <c r="D411" s="821"/>
      <c r="E411" s="781"/>
      <c r="F411" s="795"/>
      <c r="G411" s="785"/>
    </row>
    <row r="412" spans="1:7">
      <c r="A412" s="809"/>
      <c r="B412" s="793" t="s">
        <v>2516</v>
      </c>
      <c r="C412" s="809"/>
      <c r="D412" s="1925" t="s">
        <v>1316</v>
      </c>
      <c r="E412" s="1925"/>
      <c r="F412" s="1925"/>
      <c r="G412" s="785"/>
    </row>
    <row r="413" spans="1:7">
      <c r="A413" s="809"/>
      <c r="B413" s="809"/>
      <c r="C413" s="809"/>
      <c r="D413" s="1925"/>
      <c r="E413" s="1925"/>
      <c r="F413" s="1925"/>
      <c r="G413" s="785"/>
    </row>
    <row r="414" spans="1:7">
      <c r="A414" s="809"/>
      <c r="B414" s="809"/>
      <c r="C414" s="809"/>
      <c r="D414" s="898"/>
      <c r="E414" s="898"/>
      <c r="F414" s="898"/>
      <c r="G414" s="785"/>
    </row>
    <row r="415" spans="1:7" ht="14.55" customHeight="1">
      <c r="A415" s="792"/>
      <c r="B415" s="793" t="s">
        <v>2516</v>
      </c>
      <c r="D415" s="1925" t="s">
        <v>2471</v>
      </c>
      <c r="E415" s="1925"/>
      <c r="F415" s="1925"/>
    </row>
    <row r="416" spans="1:7" ht="14.55" customHeight="1">
      <c r="A416" s="792"/>
      <c r="D416" s="1925"/>
      <c r="E416" s="1925"/>
      <c r="F416" s="1925"/>
    </row>
    <row r="417" spans="1:7" ht="14.55" customHeight="1">
      <c r="A417" s="792"/>
      <c r="D417" s="1925"/>
      <c r="E417" s="1925"/>
      <c r="F417" s="1925"/>
    </row>
    <row r="418" spans="1:7" ht="14.55" customHeight="1">
      <c r="A418" s="792"/>
      <c r="D418" s="1925"/>
      <c r="E418" s="1925"/>
      <c r="F418" s="1925"/>
    </row>
    <row r="419" spans="1:7" ht="14.55" customHeight="1">
      <c r="A419" s="792"/>
      <c r="D419" s="1925"/>
      <c r="E419" s="1925"/>
      <c r="F419" s="1925"/>
    </row>
    <row r="420" spans="1:7" ht="14.55" customHeight="1">
      <c r="A420" s="792"/>
      <c r="D420" s="873"/>
      <c r="E420" s="873"/>
      <c r="F420" s="873"/>
    </row>
    <row r="421" spans="1:7" ht="13.8" customHeight="1">
      <c r="A421" s="792"/>
      <c r="B421" s="793" t="s">
        <v>2516</v>
      </c>
      <c r="C421" s="809"/>
      <c r="D421" s="1913" t="s">
        <v>1456</v>
      </c>
      <c r="E421" s="1913"/>
      <c r="F421" s="1913"/>
      <c r="G421" s="785"/>
    </row>
    <row r="422" spans="1:7" ht="14.4">
      <c r="A422" s="823"/>
      <c r="B422" s="823"/>
      <c r="C422" s="809"/>
      <c r="D422" s="1913"/>
      <c r="E422" s="1913"/>
      <c r="F422" s="1913"/>
      <c r="G422" s="785"/>
    </row>
    <row r="423" spans="1:7" ht="14.4">
      <c r="A423" s="823"/>
      <c r="B423" s="823"/>
      <c r="C423" s="809"/>
      <c r="D423" s="1913"/>
      <c r="E423" s="1913"/>
      <c r="F423" s="1913"/>
      <c r="G423" s="785"/>
    </row>
    <row r="424" spans="1:7" ht="14.4">
      <c r="A424" s="823"/>
      <c r="B424" s="823"/>
      <c r="C424" s="809"/>
      <c r="D424" s="1913"/>
      <c r="E424" s="1913"/>
      <c r="F424" s="1913"/>
      <c r="G424" s="785"/>
    </row>
    <row r="425" spans="1:7" ht="15.75" customHeight="1">
      <c r="A425" s="823"/>
      <c r="B425" s="823"/>
      <c r="C425" s="809"/>
      <c r="D425" s="1963" t="s">
        <v>1506</v>
      </c>
      <c r="E425" s="1913"/>
      <c r="F425" s="1913"/>
      <c r="G425" s="785"/>
    </row>
    <row r="426" spans="1:7">
      <c r="D426" s="795"/>
      <c r="E426" s="795"/>
      <c r="F426" s="795"/>
      <c r="G426" s="785"/>
    </row>
    <row r="427" spans="1:7" ht="14.4">
      <c r="A427" s="792"/>
      <c r="B427" s="793" t="s">
        <v>2516</v>
      </c>
      <c r="C427" s="824"/>
      <c r="D427" s="1917" t="s">
        <v>1318</v>
      </c>
      <c r="E427" s="1917"/>
      <c r="F427" s="1917"/>
      <c r="G427" s="785"/>
    </row>
    <row r="428" spans="1:7" ht="14.4">
      <c r="A428" s="792"/>
      <c r="B428" s="792"/>
      <c r="D428" s="1917"/>
      <c r="E428" s="1917"/>
      <c r="F428" s="1917"/>
      <c r="G428" s="785"/>
    </row>
    <row r="429" spans="1:7">
      <c r="D429" s="1917"/>
      <c r="E429" s="1917"/>
      <c r="F429" s="1917"/>
      <c r="G429" s="785"/>
    </row>
    <row r="430" spans="1:7">
      <c r="D430" s="1917"/>
      <c r="E430" s="1917"/>
      <c r="F430" s="1917"/>
      <c r="G430" s="785"/>
    </row>
    <row r="431" spans="1:7">
      <c r="D431" s="1917"/>
      <c r="E431" s="1917"/>
      <c r="F431" s="1917"/>
      <c r="G431" s="785"/>
    </row>
    <row r="432" spans="1:7">
      <c r="D432" s="1917"/>
      <c r="E432" s="1917"/>
      <c r="F432" s="1917"/>
      <c r="G432" s="785"/>
    </row>
    <row r="433" spans="1:7">
      <c r="D433" s="1917"/>
      <c r="E433" s="1917"/>
      <c r="F433" s="1917"/>
      <c r="G433" s="785"/>
    </row>
    <row r="434" spans="1:7">
      <c r="D434" s="1917"/>
      <c r="E434" s="1917"/>
      <c r="F434" s="1917"/>
      <c r="G434" s="785"/>
    </row>
    <row r="435" spans="1:7">
      <c r="D435" s="1917"/>
      <c r="E435" s="1917"/>
      <c r="F435" s="1917"/>
      <c r="G435" s="785"/>
    </row>
    <row r="436" spans="1:7">
      <c r="D436" s="1917"/>
      <c r="E436" s="1917"/>
      <c r="F436" s="1917"/>
      <c r="G436" s="785"/>
    </row>
    <row r="437" spans="1:7">
      <c r="D437" s="1917"/>
      <c r="E437" s="1917"/>
      <c r="F437" s="1917"/>
      <c r="G437" s="785"/>
    </row>
    <row r="438" spans="1:7">
      <c r="D438" s="1917"/>
      <c r="E438" s="1917"/>
      <c r="F438" s="1917"/>
      <c r="G438" s="785"/>
    </row>
    <row r="439" spans="1:7">
      <c r="D439" s="1917"/>
      <c r="E439" s="1917"/>
      <c r="F439" s="1917"/>
      <c r="G439" s="785"/>
    </row>
    <row r="440" spans="1:7">
      <c r="A440" s="785"/>
      <c r="B440" s="785"/>
      <c r="C440" s="785"/>
      <c r="D440" s="1917"/>
      <c r="E440" s="1917"/>
      <c r="F440" s="1917"/>
      <c r="G440" s="785"/>
    </row>
    <row r="441" spans="1:7">
      <c r="A441" s="785"/>
      <c r="B441" s="785"/>
      <c r="C441" s="785"/>
      <c r="D441" s="1917"/>
      <c r="E441" s="1917"/>
      <c r="F441" s="1917"/>
      <c r="G441" s="785"/>
    </row>
    <row r="442" spans="1:7">
      <c r="A442" s="785"/>
      <c r="B442" s="785"/>
      <c r="C442" s="785"/>
      <c r="D442" s="1917"/>
      <c r="E442" s="1917"/>
      <c r="F442" s="1917"/>
      <c r="G442" s="785"/>
    </row>
    <row r="443" spans="1:7">
      <c r="A443" s="785"/>
      <c r="B443" s="785"/>
      <c r="C443" s="785"/>
      <c r="D443" s="1917"/>
      <c r="E443" s="1917"/>
      <c r="F443" s="1917"/>
      <c r="G443" s="785"/>
    </row>
    <row r="444" spans="1:7">
      <c r="A444" s="785"/>
      <c r="B444" s="785"/>
      <c r="C444" s="785"/>
      <c r="D444" s="1917"/>
      <c r="E444" s="1917"/>
      <c r="F444" s="1917"/>
      <c r="G444" s="785"/>
    </row>
    <row r="445" spans="1:7">
      <c r="A445" s="785"/>
      <c r="B445" s="785"/>
      <c r="C445" s="785"/>
      <c r="D445" s="1917"/>
      <c r="E445" s="1917"/>
      <c r="F445" s="1917"/>
      <c r="G445" s="785"/>
    </row>
    <row r="446" spans="1:7">
      <c r="A446" s="785"/>
      <c r="B446" s="785"/>
      <c r="C446" s="785"/>
      <c r="D446" s="1917"/>
      <c r="E446" s="1917"/>
      <c r="F446" s="1917"/>
      <c r="G446" s="785"/>
    </row>
    <row r="447" spans="1:7">
      <c r="A447" s="785"/>
      <c r="B447" s="785"/>
      <c r="C447" s="785"/>
      <c r="D447" s="1917"/>
      <c r="E447" s="1917"/>
      <c r="F447" s="1917"/>
      <c r="G447" s="785"/>
    </row>
    <row r="448" spans="1:7">
      <c r="A448" s="785"/>
      <c r="B448" s="785"/>
      <c r="C448" s="785"/>
      <c r="D448" s="1917"/>
      <c r="E448" s="1917"/>
      <c r="F448" s="1917"/>
      <c r="G448" s="785"/>
    </row>
    <row r="449" spans="1:9">
      <c r="A449" s="785"/>
      <c r="B449" s="785"/>
      <c r="C449" s="785"/>
      <c r="D449" s="1917"/>
      <c r="E449" s="1917"/>
      <c r="F449" s="1917"/>
      <c r="G449" s="785"/>
    </row>
    <row r="450" spans="1:9">
      <c r="A450" s="785"/>
      <c r="B450" s="785"/>
      <c r="C450" s="785"/>
      <c r="D450" s="1917"/>
      <c r="E450" s="1917"/>
      <c r="F450" s="1917"/>
      <c r="G450" s="785"/>
    </row>
    <row r="451" spans="1:9">
      <c r="A451" s="785"/>
      <c r="B451" s="785"/>
      <c r="C451" s="785"/>
      <c r="D451" s="1917"/>
      <c r="E451" s="1917"/>
      <c r="F451" s="1917"/>
      <c r="G451" s="785"/>
    </row>
    <row r="452" spans="1:9">
      <c r="A452" s="785"/>
      <c r="B452" s="785"/>
      <c r="C452" s="785"/>
      <c r="D452" s="1917"/>
      <c r="E452" s="1917"/>
      <c r="F452" s="1917"/>
      <c r="G452" s="785"/>
    </row>
    <row r="453" spans="1:9">
      <c r="A453" s="785"/>
      <c r="B453" s="785"/>
      <c r="C453" s="785"/>
      <c r="D453" s="1917"/>
      <c r="E453" s="1917"/>
      <c r="F453" s="1917"/>
      <c r="G453" s="785"/>
    </row>
    <row r="454" spans="1:9">
      <c r="A454" s="785"/>
      <c r="B454" s="785"/>
      <c r="C454" s="785"/>
      <c r="D454" s="1917"/>
      <c r="E454" s="1917"/>
      <c r="F454" s="1917"/>
      <c r="G454" s="785"/>
    </row>
    <row r="455" spans="1:9">
      <c r="A455" s="785"/>
      <c r="B455" s="785"/>
      <c r="C455" s="785"/>
      <c r="D455" s="1917"/>
      <c r="E455" s="1917"/>
      <c r="F455" s="1917"/>
      <c r="G455" s="785"/>
    </row>
    <row r="456" spans="1:9" s="826" customFormat="1">
      <c r="A456" s="783"/>
      <c r="B456" s="783"/>
      <c r="C456" s="783"/>
      <c r="D456" s="1917"/>
      <c r="E456" s="1917"/>
      <c r="F456" s="1917"/>
      <c r="G456" s="825"/>
      <c r="I456" s="1824"/>
    </row>
    <row r="457" spans="1:9" s="826" customFormat="1" ht="40.799999999999997" customHeight="1">
      <c r="A457" s="783"/>
      <c r="B457" s="783"/>
      <c r="C457" s="783"/>
      <c r="D457" s="1917"/>
      <c r="E457" s="1917"/>
      <c r="F457" s="1917"/>
      <c r="G457" s="825"/>
      <c r="I457" s="1824"/>
    </row>
    <row r="458" spans="1:9">
      <c r="D458" s="795"/>
      <c r="E458" s="795"/>
      <c r="F458" s="795"/>
      <c r="G458" s="785"/>
    </row>
    <row r="459" spans="1:9" ht="14.4">
      <c r="A459" s="792"/>
      <c r="B459" s="793" t="s">
        <v>2516</v>
      </c>
      <c r="C459" s="824"/>
      <c r="D459" s="1917" t="s">
        <v>1321</v>
      </c>
      <c r="E459" s="1917"/>
      <c r="F459" s="1917"/>
      <c r="G459" s="785"/>
    </row>
    <row r="460" spans="1:9">
      <c r="D460" s="1917"/>
      <c r="E460" s="1917"/>
      <c r="F460" s="1917"/>
      <c r="G460" s="785"/>
    </row>
    <row r="461" spans="1:9">
      <c r="D461" s="1917"/>
      <c r="E461" s="1917"/>
      <c r="F461" s="1917"/>
      <c r="G461" s="785"/>
    </row>
    <row r="462" spans="1:9">
      <c r="D462" s="779"/>
      <c r="E462" s="779"/>
      <c r="F462" s="779"/>
      <c r="G462" s="785"/>
    </row>
    <row r="463" spans="1:9" ht="14.4">
      <c r="B463" s="793" t="s">
        <v>2516</v>
      </c>
      <c r="C463" s="792"/>
      <c r="D463" s="1953" t="s">
        <v>1400</v>
      </c>
      <c r="E463" s="1953"/>
      <c r="F463" s="1953"/>
      <c r="G463" s="785"/>
    </row>
    <row r="464" spans="1:9">
      <c r="D464" s="1953"/>
      <c r="E464" s="1953"/>
      <c r="F464" s="1953"/>
      <c r="G464" s="785"/>
    </row>
    <row r="465" spans="1:7">
      <c r="D465" s="795"/>
      <c r="E465" s="795"/>
      <c r="F465" s="795"/>
      <c r="G465" s="785"/>
    </row>
    <row r="466" spans="1:7" ht="14.4">
      <c r="B466" s="793" t="s">
        <v>2516</v>
      </c>
      <c r="C466" s="792"/>
      <c r="D466" s="1953" t="s">
        <v>1323</v>
      </c>
      <c r="E466" s="1953"/>
      <c r="F466" s="1953"/>
      <c r="G466" s="785"/>
    </row>
    <row r="467" spans="1:7">
      <c r="D467" s="1953"/>
      <c r="E467" s="1953"/>
      <c r="F467" s="1953"/>
      <c r="G467" s="785"/>
    </row>
    <row r="468" spans="1:7">
      <c r="D468" s="1953"/>
      <c r="E468" s="1953"/>
      <c r="F468" s="1953"/>
      <c r="G468" s="785"/>
    </row>
    <row r="469" spans="1:7">
      <c r="D469" s="1953"/>
      <c r="E469" s="1953"/>
      <c r="F469" s="1953"/>
      <c r="G469" s="785"/>
    </row>
    <row r="470" spans="1:7">
      <c r="B470" s="793" t="s">
        <v>2516</v>
      </c>
      <c r="D470" s="1953"/>
      <c r="E470" s="1953"/>
      <c r="F470" s="1953"/>
      <c r="G470" s="785"/>
    </row>
    <row r="471" spans="1:7">
      <c r="A471" s="785"/>
      <c r="B471" s="785"/>
      <c r="C471" s="785"/>
      <c r="D471" s="1953"/>
      <c r="E471" s="1953"/>
      <c r="F471" s="1953"/>
      <c r="G471" s="785"/>
    </row>
    <row r="472" spans="1:7">
      <c r="A472" s="785"/>
      <c r="C472" s="785"/>
      <c r="D472" s="1953"/>
      <c r="E472" s="1953"/>
      <c r="F472" s="1953"/>
      <c r="G472" s="785"/>
    </row>
    <row r="473" spans="1:7">
      <c r="A473" s="785"/>
      <c r="B473" s="793" t="s">
        <v>2516</v>
      </c>
      <c r="C473" s="785"/>
      <c r="D473" s="1953"/>
      <c r="E473" s="1953"/>
      <c r="F473" s="1953"/>
      <c r="G473" s="785"/>
    </row>
    <row r="474" spans="1:7">
      <c r="A474" s="785"/>
      <c r="B474" s="785"/>
      <c r="C474" s="785"/>
      <c r="D474" s="1953"/>
      <c r="E474" s="1953"/>
      <c r="F474" s="1953"/>
      <c r="G474" s="785"/>
    </row>
    <row r="475" spans="1:7">
      <c r="A475" s="785"/>
      <c r="C475" s="785"/>
      <c r="D475" s="1953"/>
      <c r="E475" s="1953"/>
      <c r="F475" s="1953"/>
      <c r="G475" s="785"/>
    </row>
    <row r="476" spans="1:7">
      <c r="A476" s="785"/>
      <c r="C476" s="785"/>
      <c r="D476" s="1953"/>
      <c r="E476" s="1953"/>
      <c r="F476" s="1953"/>
      <c r="G476" s="785"/>
    </row>
    <row r="477" spans="1:7">
      <c r="A477" s="785"/>
      <c r="C477" s="785"/>
      <c r="D477" s="1953"/>
      <c r="E477" s="1953"/>
      <c r="F477" s="1953"/>
      <c r="G477" s="785"/>
    </row>
    <row r="478" spans="1:7">
      <c r="A478" s="785"/>
      <c r="B478" s="793" t="s">
        <v>2516</v>
      </c>
      <c r="C478" s="785"/>
      <c r="D478" s="1953"/>
      <c r="E478" s="1953"/>
      <c r="F478" s="1953"/>
      <c r="G478" s="785"/>
    </row>
    <row r="479" spans="1:7">
      <c r="A479" s="785"/>
      <c r="C479" s="785"/>
      <c r="D479" s="1953"/>
      <c r="E479" s="1953"/>
      <c r="F479" s="1953"/>
      <c r="G479" s="785"/>
    </row>
    <row r="480" spans="1:7">
      <c r="A480" s="785"/>
      <c r="B480" s="793" t="s">
        <v>2516</v>
      </c>
      <c r="C480" s="785"/>
      <c r="D480" s="1953" t="s">
        <v>1324</v>
      </c>
      <c r="E480" s="1953"/>
      <c r="F480" s="1953"/>
      <c r="G480" s="785"/>
    </row>
    <row r="481" spans="1:9">
      <c r="A481" s="785"/>
      <c r="B481" s="785"/>
      <c r="C481" s="785"/>
      <c r="D481" s="1953"/>
      <c r="E481" s="1953"/>
      <c r="F481" s="1953"/>
      <c r="G481" s="785"/>
    </row>
    <row r="482" spans="1:9">
      <c r="A482" s="785"/>
      <c r="B482" s="785"/>
      <c r="C482" s="785"/>
      <c r="D482" s="1953"/>
      <c r="E482" s="1953"/>
      <c r="F482" s="1953"/>
      <c r="G482" s="785"/>
    </row>
    <row r="483" spans="1:9">
      <c r="A483" s="785"/>
      <c r="B483" s="785"/>
      <c r="C483" s="785"/>
      <c r="D483" s="1953"/>
      <c r="E483" s="1953"/>
      <c r="F483" s="1953"/>
      <c r="G483" s="785"/>
    </row>
    <row r="484" spans="1:9">
      <c r="D484" s="1953"/>
      <c r="E484" s="1953"/>
      <c r="F484" s="1953"/>
    </row>
    <row r="485" spans="1:9">
      <c r="D485" s="795"/>
      <c r="E485" s="795"/>
      <c r="F485" s="795"/>
    </row>
    <row r="486" spans="1:9">
      <c r="B486" s="793" t="s">
        <v>2516</v>
      </c>
      <c r="D486" s="1956" t="s">
        <v>1325</v>
      </c>
      <c r="E486" s="1956"/>
      <c r="F486" s="1956"/>
    </row>
    <row r="487" spans="1:9">
      <c r="A487" s="795"/>
      <c r="B487" s="795"/>
    </row>
    <row r="488" spans="1:9">
      <c r="A488" s="1882" t="s">
        <v>1166</v>
      </c>
      <c r="B488" s="1882"/>
      <c r="C488" s="1882"/>
      <c r="D488" s="1882"/>
      <c r="E488" s="1882"/>
      <c r="F488" s="1882"/>
      <c r="G488" s="1882"/>
      <c r="H488" s="1837"/>
      <c r="I488" s="1838"/>
    </row>
    <row r="489" spans="1:9">
      <c r="A489" s="795"/>
      <c r="B489" s="795"/>
    </row>
    <row r="490" spans="1:9">
      <c r="D490" s="1933" t="s">
        <v>946</v>
      </c>
      <c r="E490" s="1933"/>
      <c r="F490" s="1933"/>
    </row>
    <row r="491" spans="1:9" s="786" customFormat="1" ht="14.4">
      <c r="A491" s="800"/>
      <c r="B491" s="800"/>
      <c r="C491" s="796"/>
      <c r="D491" s="1934" t="s">
        <v>1326</v>
      </c>
      <c r="E491" s="1934"/>
      <c r="F491" s="1934"/>
      <c r="G491" s="797"/>
      <c r="I491" s="1821"/>
    </row>
    <row r="492" spans="1:9" s="786" customFormat="1" ht="14.4">
      <c r="A492" s="800"/>
      <c r="B492" s="800"/>
      <c r="C492" s="796"/>
      <c r="D492" s="782"/>
      <c r="E492" s="667"/>
      <c r="F492" s="667"/>
      <c r="G492" s="797"/>
      <c r="I492" s="1821"/>
    </row>
    <row r="493" spans="1:9" s="786" customFormat="1" ht="14.4">
      <c r="A493" s="792"/>
      <c r="B493" s="793" t="s">
        <v>2516</v>
      </c>
      <c r="C493" s="796"/>
      <c r="D493" s="1935" t="s">
        <v>1327</v>
      </c>
      <c r="E493" s="1935"/>
      <c r="F493" s="1935"/>
      <c r="G493" s="797"/>
      <c r="I493" s="1821" t="s">
        <v>2435</v>
      </c>
    </row>
    <row r="494" spans="1:9" s="786" customFormat="1" ht="14.4">
      <c r="A494" s="792"/>
      <c r="B494" s="792"/>
      <c r="C494" s="796"/>
      <c r="D494" s="1935"/>
      <c r="E494" s="1935"/>
      <c r="F494" s="1935"/>
      <c r="G494" s="797"/>
      <c r="I494" s="1821"/>
    </row>
    <row r="495" spans="1:9" s="786" customFormat="1" ht="14.4">
      <c r="A495" s="792"/>
      <c r="B495" s="792"/>
      <c r="C495" s="796"/>
      <c r="D495" s="780"/>
      <c r="E495" s="667"/>
      <c r="F495" s="667"/>
      <c r="G495" s="797"/>
      <c r="I495" s="1821"/>
    </row>
    <row r="496" spans="1:9" ht="12.75" customHeight="1">
      <c r="B496" s="793" t="s">
        <v>2516</v>
      </c>
      <c r="D496" s="1905" t="s">
        <v>1507</v>
      </c>
      <c r="E496" s="1905"/>
      <c r="F496" s="1905"/>
      <c r="I496" s="1758" t="s">
        <v>2436</v>
      </c>
    </row>
    <row r="497" spans="1:9" ht="14.4">
      <c r="A497" s="792"/>
      <c r="D497" s="1905"/>
      <c r="E497" s="1905"/>
      <c r="F497" s="1905"/>
    </row>
    <row r="498" spans="1:9" ht="14.4">
      <c r="A498" s="792"/>
      <c r="B498" s="792"/>
      <c r="D498" s="1905"/>
      <c r="E498" s="1905"/>
      <c r="F498" s="1905"/>
    </row>
    <row r="499" spans="1:9" ht="14.4">
      <c r="A499" s="792"/>
      <c r="B499" s="792"/>
      <c r="D499" s="1905"/>
      <c r="E499" s="1905"/>
      <c r="F499" s="1905"/>
    </row>
    <row r="500" spans="1:9" ht="14.4">
      <c r="A500" s="792"/>
      <c r="D500" s="888"/>
      <c r="E500" s="888"/>
      <c r="F500" s="888"/>
      <c r="G500" s="785"/>
    </row>
    <row r="501" spans="1:9" ht="14.4">
      <c r="A501" s="792"/>
      <c r="B501" s="793" t="s">
        <v>2516</v>
      </c>
      <c r="D501" s="1922" t="s">
        <v>1330</v>
      </c>
      <c r="E501" s="1922"/>
      <c r="F501" s="1922"/>
      <c r="G501" s="785"/>
      <c r="I501" s="1758" t="s">
        <v>2437</v>
      </c>
    </row>
    <row r="502" spans="1:9" ht="14.4">
      <c r="A502" s="792"/>
      <c r="B502" s="792"/>
      <c r="D502" s="780"/>
      <c r="E502" s="667"/>
      <c r="F502" s="667"/>
      <c r="G502" s="785"/>
    </row>
    <row r="503" spans="1:9" ht="14.4">
      <c r="A503" s="792"/>
      <c r="B503" s="793" t="s">
        <v>2516</v>
      </c>
      <c r="D503" s="1917" t="s">
        <v>1331</v>
      </c>
      <c r="E503" s="1917"/>
      <c r="F503" s="1917"/>
      <c r="G503" s="785"/>
      <c r="I503" s="1758" t="s">
        <v>2437</v>
      </c>
    </row>
    <row r="504" spans="1:9" ht="14.4">
      <c r="A504" s="792"/>
      <c r="D504" s="1917"/>
      <c r="E504" s="1917"/>
      <c r="F504" s="1917"/>
      <c r="G504" s="785"/>
    </row>
    <row r="505" spans="1:9">
      <c r="A505" s="811"/>
      <c r="B505" s="811"/>
      <c r="D505" s="728"/>
      <c r="E505" s="667"/>
      <c r="F505" s="667"/>
      <c r="G505" s="785"/>
    </row>
    <row r="506" spans="1:9">
      <c r="A506" s="811"/>
      <c r="B506" s="793" t="s">
        <v>2516</v>
      </c>
      <c r="D506" s="1922" t="s">
        <v>1332</v>
      </c>
      <c r="E506" s="1922"/>
      <c r="F506" s="1922"/>
      <c r="G506" s="785"/>
      <c r="I506" s="1758" t="s">
        <v>2492</v>
      </c>
    </row>
    <row r="507" spans="1:9" ht="14.4">
      <c r="A507" s="792"/>
      <c r="B507" s="792"/>
      <c r="D507" s="795"/>
    </row>
    <row r="508" spans="1:9">
      <c r="A508" s="1882" t="s">
        <v>1167</v>
      </c>
      <c r="B508" s="1882"/>
      <c r="C508" s="1882"/>
      <c r="D508" s="1882"/>
      <c r="E508" s="1882"/>
      <c r="F508" s="1882"/>
      <c r="G508" s="1882"/>
      <c r="H508" s="1837"/>
      <c r="I508" s="1838"/>
    </row>
    <row r="509" spans="1:9" s="717" customFormat="1" ht="12" customHeight="1">
      <c r="A509" s="792"/>
      <c r="B509" s="792"/>
      <c r="C509" s="799"/>
      <c r="D509" s="780"/>
      <c r="E509" s="667"/>
      <c r="F509" s="667"/>
      <c r="G509" s="667"/>
      <c r="I509" s="617"/>
    </row>
    <row r="510" spans="1:9" s="717" customFormat="1">
      <c r="A510" s="796"/>
      <c r="B510" s="796"/>
      <c r="C510" s="827"/>
      <c r="D510" s="1958" t="s">
        <v>851</v>
      </c>
      <c r="E510" s="1958"/>
      <c r="F510" s="1958"/>
      <c r="G510" s="688"/>
      <c r="I510" s="617"/>
    </row>
    <row r="511" spans="1:9" s="717" customFormat="1">
      <c r="A511" s="796"/>
      <c r="B511" s="796"/>
      <c r="C511" s="827"/>
      <c r="D511" s="850" t="s">
        <v>1402</v>
      </c>
      <c r="E511" s="850"/>
      <c r="F511" s="850"/>
      <c r="G511" s="688"/>
      <c r="I511" s="617"/>
    </row>
    <row r="512" spans="1:9" s="717" customFormat="1">
      <c r="A512" s="796"/>
      <c r="B512" s="796"/>
      <c r="C512" s="827"/>
      <c r="D512" s="850" t="s">
        <v>1403</v>
      </c>
      <c r="E512" s="850"/>
      <c r="F512" s="850"/>
      <c r="G512" s="688"/>
      <c r="I512" s="617"/>
    </row>
    <row r="513" spans="1:9" s="717" customFormat="1">
      <c r="A513" s="796"/>
      <c r="B513" s="796"/>
      <c r="C513" s="827"/>
      <c r="D513" s="849"/>
      <c r="E513" s="849"/>
      <c r="F513" s="849"/>
      <c r="G513" s="688"/>
      <c r="I513" s="617"/>
    </row>
    <row r="514" spans="1:9" s="717" customFormat="1" ht="13.8" customHeight="1">
      <c r="A514" s="790"/>
      <c r="B514" s="793" t="s">
        <v>2621</v>
      </c>
      <c r="C514" s="794"/>
      <c r="D514" s="1916" t="s">
        <v>2263</v>
      </c>
      <c r="E514" s="1916"/>
      <c r="F514" s="1916"/>
      <c r="G514" s="667"/>
      <c r="I514" s="617" t="s">
        <v>2472</v>
      </c>
    </row>
    <row r="515" spans="1:9" s="717" customFormat="1">
      <c r="A515" s="790"/>
      <c r="B515" s="790"/>
      <c r="C515" s="794"/>
      <c r="D515" s="1916"/>
      <c r="E515" s="1916"/>
      <c r="F515" s="1916"/>
      <c r="G515" s="667"/>
      <c r="I515" s="617"/>
    </row>
    <row r="516" spans="1:9" s="717" customFormat="1">
      <c r="A516" s="790"/>
      <c r="B516" s="790"/>
      <c r="C516" s="794"/>
      <c r="D516" s="1691"/>
      <c r="E516" s="1691"/>
      <c r="F516" s="1691"/>
      <c r="G516" s="667"/>
    </row>
    <row r="517" spans="1:9" s="717" customFormat="1">
      <c r="A517" s="790"/>
      <c r="B517" s="793" t="s">
        <v>2516</v>
      </c>
      <c r="C517" s="799"/>
      <c r="D517" s="1916" t="s">
        <v>1205</v>
      </c>
      <c r="E517" s="1916"/>
      <c r="F517" s="1916"/>
      <c r="G517" s="667"/>
      <c r="I517" s="617" t="s">
        <v>2438</v>
      </c>
    </row>
    <row r="518" spans="1:9" s="717" customFormat="1">
      <c r="A518" s="790"/>
      <c r="B518" s="790"/>
      <c r="C518" s="799"/>
      <c r="D518" s="1916"/>
      <c r="E518" s="1916"/>
      <c r="F518" s="1916"/>
      <c r="G518" s="667"/>
      <c r="I518" s="617"/>
    </row>
    <row r="519" spans="1:9" s="717" customFormat="1">
      <c r="A519" s="790"/>
      <c r="B519" s="790"/>
      <c r="C519" s="794"/>
      <c r="D519" s="1916"/>
      <c r="E519" s="1916"/>
      <c r="F519" s="1916"/>
      <c r="G519" s="667"/>
      <c r="I519" s="617"/>
    </row>
    <row r="520" spans="1:9" s="717" customFormat="1">
      <c r="A520" s="790"/>
      <c r="B520" s="790"/>
      <c r="C520" s="794"/>
      <c r="D520" s="828"/>
      <c r="E520" s="667"/>
      <c r="F520" s="780"/>
      <c r="G520" s="667"/>
      <c r="I520" s="617"/>
    </row>
    <row r="521" spans="1:9" s="717" customFormat="1" ht="13.2" customHeight="1">
      <c r="A521" s="790"/>
      <c r="B521" s="793" t="s">
        <v>2516</v>
      </c>
      <c r="C521" s="794"/>
      <c r="D521" s="1962" t="s">
        <v>1231</v>
      </c>
      <c r="E521" s="1962"/>
      <c r="F521" s="1962"/>
      <c r="G521" s="667"/>
      <c r="I521" s="617" t="s">
        <v>2438</v>
      </c>
    </row>
    <row r="522" spans="1:9" s="717" customFormat="1">
      <c r="A522" s="790"/>
      <c r="B522" s="790"/>
      <c r="C522" s="794"/>
      <c r="D522" s="1962"/>
      <c r="E522" s="1962"/>
      <c r="F522" s="1962"/>
      <c r="G522" s="667"/>
      <c r="I522" s="617"/>
    </row>
    <row r="523" spans="1:9" s="717" customFormat="1" ht="12" customHeight="1">
      <c r="A523" s="795"/>
      <c r="B523" s="795"/>
      <c r="C523" s="803"/>
      <c r="D523" s="795"/>
      <c r="E523" s="667"/>
      <c r="F523" s="830"/>
      <c r="G523" s="667"/>
      <c r="I523" s="617"/>
    </row>
    <row r="524" spans="1:9">
      <c r="A524" s="1882" t="s">
        <v>1168</v>
      </c>
      <c r="B524" s="1882"/>
      <c r="C524" s="1882"/>
      <c r="D524" s="1882"/>
      <c r="E524" s="1882"/>
      <c r="F524" s="1882"/>
      <c r="G524" s="1882"/>
      <c r="H524" s="1837"/>
      <c r="I524" s="1838"/>
    </row>
    <row r="525" spans="1:9">
      <c r="A525" s="795"/>
      <c r="B525" s="795"/>
      <c r="C525" s="824"/>
      <c r="F525" s="831"/>
    </row>
    <row r="526" spans="1:9">
      <c r="B526" s="1954" t="s">
        <v>470</v>
      </c>
      <c r="C526" s="1954"/>
      <c r="D526" s="1954"/>
      <c r="E526" s="1954"/>
      <c r="F526" s="1954"/>
    </row>
    <row r="527" spans="1:9">
      <c r="A527" s="795"/>
      <c r="B527" s="795"/>
      <c r="C527" s="824"/>
      <c r="D527" s="795"/>
      <c r="F527" s="795"/>
    </row>
    <row r="528" spans="1:9">
      <c r="A528" s="1883" t="s">
        <v>1169</v>
      </c>
      <c r="B528" s="1883"/>
      <c r="C528" s="1883"/>
      <c r="D528" s="1883"/>
      <c r="E528" s="1883"/>
      <c r="F528" s="1883"/>
      <c r="G528" s="1883"/>
      <c r="H528" s="1837"/>
      <c r="I528" s="1838"/>
    </row>
    <row r="529" spans="1:9">
      <c r="A529" s="795"/>
      <c r="B529" s="795"/>
      <c r="C529" s="824"/>
      <c r="D529" s="795"/>
      <c r="F529" s="795"/>
    </row>
    <row r="530" spans="1:9">
      <c r="C530" s="824"/>
      <c r="D530" s="1872" t="s">
        <v>720</v>
      </c>
      <c r="E530" s="1872"/>
      <c r="F530" s="1872"/>
    </row>
    <row r="531" spans="1:9">
      <c r="C531" s="824"/>
      <c r="D531" s="1922" t="s">
        <v>1226</v>
      </c>
      <c r="E531" s="1922"/>
      <c r="F531" s="1922"/>
    </row>
    <row r="532" spans="1:9">
      <c r="C532" s="824"/>
      <c r="D532" s="780"/>
      <c r="E532" s="780"/>
      <c r="F532" s="780"/>
    </row>
    <row r="533" spans="1:9" ht="13.8" customHeight="1">
      <c r="A533" s="792"/>
      <c r="B533" s="793" t="s">
        <v>2621</v>
      </c>
      <c r="C533" s="824"/>
      <c r="D533" s="1922" t="s">
        <v>947</v>
      </c>
      <c r="E533" s="1922"/>
      <c r="F533" s="1922"/>
      <c r="G533" s="785"/>
      <c r="I533" s="1758" t="s">
        <v>2490</v>
      </c>
    </row>
    <row r="534" spans="1:9" ht="13.8" customHeight="1">
      <c r="A534" s="824"/>
      <c r="B534" s="824"/>
      <c r="C534" s="824"/>
      <c r="D534" s="780"/>
      <c r="E534" s="613"/>
      <c r="F534" s="613"/>
      <c r="G534" s="785"/>
    </row>
    <row r="535" spans="1:9" ht="14.4">
      <c r="A535" s="792"/>
      <c r="B535" s="793" t="s">
        <v>2621</v>
      </c>
      <c r="C535" s="824"/>
      <c r="D535" s="1917" t="s">
        <v>1227</v>
      </c>
      <c r="E535" s="1917"/>
      <c r="F535" s="1917"/>
      <c r="G535" s="785"/>
      <c r="I535" s="1758" t="s">
        <v>2490</v>
      </c>
    </row>
    <row r="536" spans="1:9">
      <c r="A536" s="824"/>
      <c r="B536" s="824"/>
      <c r="C536" s="824"/>
      <c r="D536" s="1917"/>
      <c r="E536" s="1917"/>
      <c r="F536" s="1917"/>
      <c r="G536" s="785"/>
    </row>
    <row r="537" spans="1:9">
      <c r="A537" s="824"/>
      <c r="B537" s="824"/>
      <c r="C537" s="824"/>
      <c r="D537" s="795"/>
      <c r="E537" s="795"/>
      <c r="F537" s="795"/>
      <c r="G537" s="785"/>
    </row>
    <row r="538" spans="1:9" ht="14.4">
      <c r="A538" s="792"/>
      <c r="B538" s="793" t="s">
        <v>2621</v>
      </c>
      <c r="C538" s="824"/>
      <c r="D538" s="1917" t="s">
        <v>1228</v>
      </c>
      <c r="E538" s="1917"/>
      <c r="F538" s="1917"/>
      <c r="G538" s="785"/>
      <c r="I538" s="1758" t="s">
        <v>2439</v>
      </c>
    </row>
    <row r="539" spans="1:9">
      <c r="A539" s="824"/>
      <c r="B539" s="824"/>
      <c r="C539" s="824"/>
      <c r="D539" s="1917"/>
      <c r="E539" s="1917"/>
      <c r="F539" s="1917"/>
      <c r="G539" s="785"/>
    </row>
    <row r="540" spans="1:9">
      <c r="A540" s="824"/>
      <c r="B540" s="824"/>
      <c r="C540" s="824"/>
      <c r="D540" s="795"/>
      <c r="E540" s="795"/>
      <c r="F540" s="795"/>
      <c r="G540" s="785"/>
    </row>
    <row r="541" spans="1:9" ht="14.4">
      <c r="A541" s="792"/>
      <c r="B541" s="793" t="s">
        <v>2621</v>
      </c>
      <c r="C541" s="824"/>
      <c r="D541" s="1917" t="s">
        <v>1229</v>
      </c>
      <c r="E541" s="1917"/>
      <c r="F541" s="1917"/>
      <c r="G541" s="785"/>
      <c r="I541" s="1758" t="s">
        <v>2440</v>
      </c>
    </row>
    <row r="542" spans="1:9">
      <c r="A542" s="824"/>
      <c r="B542" s="824"/>
      <c r="C542" s="824"/>
      <c r="D542" s="1917"/>
      <c r="E542" s="1917"/>
      <c r="F542" s="1917"/>
      <c r="G542" s="785"/>
    </row>
    <row r="543" spans="1:9">
      <c r="A543" s="824"/>
      <c r="B543" s="824"/>
      <c r="C543" s="824"/>
      <c r="D543" s="795"/>
      <c r="E543" s="795"/>
      <c r="F543" s="795"/>
      <c r="G543" s="785"/>
    </row>
    <row r="544" spans="1:9" ht="14.4">
      <c r="A544" s="792"/>
      <c r="B544" s="793" t="s">
        <v>2621</v>
      </c>
      <c r="C544" s="824"/>
      <c r="D544" s="1917" t="s">
        <v>1230</v>
      </c>
      <c r="E544" s="1917"/>
      <c r="F544" s="1917"/>
      <c r="G544" s="785"/>
      <c r="I544" s="1758" t="s">
        <v>2491</v>
      </c>
    </row>
    <row r="545" spans="1:9">
      <c r="A545" s="824"/>
      <c r="B545" s="824"/>
      <c r="C545" s="824"/>
      <c r="D545" s="1917"/>
      <c r="E545" s="1917"/>
      <c r="F545" s="1917"/>
      <c r="G545" s="785"/>
    </row>
    <row r="546" spans="1:9">
      <c r="A546" s="824"/>
      <c r="B546" s="824"/>
      <c r="C546" s="824"/>
      <c r="D546" s="1917"/>
      <c r="E546" s="1917"/>
      <c r="F546" s="1917"/>
      <c r="G546" s="785"/>
    </row>
    <row r="547" spans="1:9">
      <c r="A547" s="824"/>
      <c r="B547" s="824"/>
      <c r="C547" s="824"/>
      <c r="D547" s="795"/>
      <c r="E547" s="795"/>
      <c r="F547" s="795"/>
    </row>
    <row r="548" spans="1:9" ht="14.4">
      <c r="A548" s="792"/>
      <c r="B548" s="793" t="s">
        <v>2516</v>
      </c>
      <c r="C548" s="824"/>
      <c r="D548" s="1962" t="s">
        <v>1348</v>
      </c>
      <c r="E548" s="1962"/>
      <c r="F548" s="1962"/>
      <c r="I548" s="1758" t="s">
        <v>2490</v>
      </c>
    </row>
    <row r="549" spans="1:9">
      <c r="A549" s="824"/>
      <c r="B549" s="824"/>
      <c r="C549" s="824"/>
      <c r="D549" s="1962"/>
      <c r="E549" s="1962"/>
      <c r="F549" s="1962"/>
    </row>
    <row r="550" spans="1:9">
      <c r="A550" s="824"/>
      <c r="B550" s="824"/>
      <c r="C550" s="824"/>
      <c r="D550" s="795"/>
      <c r="E550" s="795"/>
      <c r="F550" s="795"/>
    </row>
    <row r="551" spans="1:9" ht="14.4">
      <c r="A551" s="792"/>
      <c r="B551" s="793" t="s">
        <v>2621</v>
      </c>
      <c r="C551" s="824"/>
      <c r="D551" s="1917" t="s">
        <v>1232</v>
      </c>
      <c r="E551" s="1917"/>
      <c r="F551" s="1917"/>
      <c r="I551" s="1758" t="s">
        <v>2490</v>
      </c>
    </row>
    <row r="552" spans="1:9">
      <c r="A552" s="824"/>
      <c r="B552" s="824"/>
      <c r="C552" s="824"/>
      <c r="D552" s="1917"/>
      <c r="E552" s="1917"/>
      <c r="F552" s="1917"/>
      <c r="G552" s="814"/>
    </row>
    <row r="553" spans="1:9">
      <c r="A553" s="824"/>
      <c r="B553" s="824"/>
      <c r="C553" s="824"/>
      <c r="D553" s="795"/>
      <c r="E553" s="795"/>
      <c r="F553" s="795"/>
      <c r="G553" s="814"/>
    </row>
    <row r="554" spans="1:9" ht="14.4">
      <c r="A554" s="792"/>
      <c r="B554" s="793" t="s">
        <v>2621</v>
      </c>
      <c r="C554" s="824"/>
      <c r="D554" s="1922" t="s">
        <v>1233</v>
      </c>
      <c r="E554" s="1922"/>
      <c r="F554" s="1922"/>
      <c r="G554" s="814"/>
      <c r="I554" s="1758" t="s">
        <v>2493</v>
      </c>
    </row>
    <row r="555" spans="1:9">
      <c r="A555" s="811"/>
      <c r="B555" s="811"/>
      <c r="C555" s="824"/>
      <c r="D555" s="1922" t="s">
        <v>881</v>
      </c>
      <c r="E555" s="1922"/>
      <c r="F555" s="1922"/>
      <c r="G555" s="814"/>
    </row>
    <row r="556" spans="1:9">
      <c r="A556" s="811"/>
      <c r="B556" s="811"/>
      <c r="C556" s="824"/>
      <c r="D556" s="667"/>
      <c r="E556" s="1965" t="s">
        <v>1234</v>
      </c>
      <c r="F556" s="1965"/>
      <c r="G556" s="814"/>
    </row>
    <row r="557" spans="1:9" ht="14.4">
      <c r="A557" s="792"/>
      <c r="B557" s="792"/>
      <c r="C557" s="824"/>
      <c r="E557" s="795"/>
      <c r="F557" s="795"/>
      <c r="G557" s="814"/>
    </row>
    <row r="558" spans="1:9" ht="14.4">
      <c r="A558" s="792"/>
      <c r="B558" s="793" t="s">
        <v>2621</v>
      </c>
      <c r="C558" s="824"/>
      <c r="D558" s="1964" t="s">
        <v>1235</v>
      </c>
      <c r="E558" s="1964"/>
      <c r="F558" s="1964"/>
      <c r="G558" s="814"/>
      <c r="I558" s="1758" t="s">
        <v>2441</v>
      </c>
    </row>
    <row r="559" spans="1:9">
      <c r="C559" s="824"/>
      <c r="D559" s="1917" t="s">
        <v>1236</v>
      </c>
      <c r="E559" s="1917"/>
      <c r="F559" s="1917"/>
      <c r="G559" s="814"/>
    </row>
    <row r="560" spans="1:9">
      <c r="A560" s="824"/>
      <c r="B560" s="824"/>
      <c r="C560" s="824"/>
      <c r="D560" s="1917"/>
      <c r="E560" s="1917"/>
      <c r="F560" s="1917"/>
      <c r="G560" s="814"/>
    </row>
    <row r="561" spans="1:9">
      <c r="A561" s="824"/>
      <c r="B561" s="824"/>
      <c r="C561" s="824"/>
      <c r="D561" s="1917"/>
      <c r="E561" s="1917"/>
      <c r="F561" s="1917"/>
      <c r="G561" s="814"/>
    </row>
    <row r="562" spans="1:9">
      <c r="A562" s="824"/>
      <c r="B562" s="824"/>
      <c r="C562" s="824"/>
      <c r="D562" s="795"/>
      <c r="E562" s="795"/>
      <c r="F562" s="795"/>
      <c r="G562" s="814"/>
    </row>
    <row r="563" spans="1:9" ht="14.4">
      <c r="A563" s="792"/>
      <c r="B563" s="793" t="s">
        <v>2621</v>
      </c>
      <c r="C563" s="824"/>
      <c r="D563" s="1917" t="s">
        <v>1237</v>
      </c>
      <c r="E563" s="1917"/>
      <c r="F563" s="1917"/>
      <c r="G563" s="814"/>
      <c r="I563" s="1758" t="s">
        <v>2442</v>
      </c>
    </row>
    <row r="564" spans="1:9" ht="14.4">
      <c r="A564" s="792"/>
      <c r="B564" s="792"/>
      <c r="C564" s="824"/>
      <c r="D564" s="1917"/>
      <c r="E564" s="1917"/>
      <c r="F564" s="1917"/>
      <c r="G564" s="814"/>
    </row>
    <row r="565" spans="1:9" ht="14.4">
      <c r="A565" s="792"/>
      <c r="B565" s="792"/>
      <c r="C565" s="824"/>
      <c r="D565" s="1917"/>
      <c r="E565" s="1917"/>
      <c r="F565" s="1917"/>
      <c r="G565" s="814"/>
    </row>
    <row r="566" spans="1:9" ht="14.4">
      <c r="A566" s="792"/>
      <c r="B566" s="792"/>
      <c r="C566" s="824"/>
      <c r="D566" s="1917"/>
      <c r="E566" s="1917"/>
      <c r="F566" s="1917"/>
      <c r="G566" s="814"/>
    </row>
    <row r="567" spans="1:9" ht="14.4">
      <c r="A567" s="792"/>
      <c r="B567" s="792"/>
      <c r="C567" s="824"/>
      <c r="D567" s="795"/>
      <c r="E567" s="795"/>
      <c r="F567" s="795"/>
      <c r="G567" s="814"/>
    </row>
    <row r="568" spans="1:9">
      <c r="A568" s="1882" t="s">
        <v>1170</v>
      </c>
      <c r="B568" s="1882"/>
      <c r="C568" s="1882"/>
      <c r="D568" s="1882"/>
      <c r="E568" s="1882"/>
      <c r="F568" s="1882"/>
      <c r="G568" s="1882"/>
      <c r="H568" s="1837"/>
      <c r="I568" s="1838"/>
    </row>
    <row r="569" spans="1:9">
      <c r="A569" s="824"/>
      <c r="B569" s="824"/>
      <c r="C569" s="824"/>
      <c r="E569" s="795"/>
      <c r="F569" s="795"/>
      <c r="G569" s="814"/>
    </row>
    <row r="570" spans="1:9" ht="12.75" customHeight="1">
      <c r="C570" s="788"/>
      <c r="D570" s="1955" t="s">
        <v>216</v>
      </c>
      <c r="E570" s="1955"/>
      <c r="F570" s="1955"/>
      <c r="G570" s="814"/>
    </row>
    <row r="571" spans="1:9">
      <c r="A571" s="790"/>
      <c r="B571" s="790"/>
      <c r="C571" s="790"/>
      <c r="D571" s="1904" t="s">
        <v>1186</v>
      </c>
      <c r="E571" s="1904"/>
      <c r="F571" s="1904"/>
      <c r="G571" s="814"/>
    </row>
    <row r="572" spans="1:9">
      <c r="A572" s="785"/>
      <c r="B572" s="785"/>
      <c r="C572" s="790"/>
      <c r="D572" s="832"/>
      <c r="G572" s="814"/>
      <c r="I572" s="1758" t="s">
        <v>2443</v>
      </c>
    </row>
    <row r="573" spans="1:9">
      <c r="A573" s="790"/>
      <c r="B573" s="793" t="s">
        <v>2621</v>
      </c>
      <c r="D573" s="1904" t="s">
        <v>953</v>
      </c>
      <c r="E573" s="1904"/>
      <c r="F573" s="1904"/>
      <c r="G573" s="814"/>
    </row>
    <row r="574" spans="1:9">
      <c r="A574" s="811"/>
      <c r="B574" s="811"/>
      <c r="D574" s="809"/>
    </row>
    <row r="575" spans="1:9">
      <c r="A575" s="811"/>
      <c r="B575" s="793" t="s">
        <v>2621</v>
      </c>
      <c r="D575" s="1905" t="s">
        <v>1187</v>
      </c>
      <c r="E575" s="1905"/>
      <c r="F575" s="1905"/>
      <c r="I575" s="1758" t="s">
        <v>2445</v>
      </c>
    </row>
    <row r="576" spans="1:9">
      <c r="A576" s="811"/>
      <c r="B576" s="811"/>
      <c r="D576" s="1905"/>
      <c r="E576" s="1905"/>
      <c r="F576" s="1905"/>
      <c r="G576" s="785"/>
      <c r="I576" s="1758" t="s">
        <v>2444</v>
      </c>
    </row>
    <row r="577" spans="1:9">
      <c r="A577" s="811"/>
      <c r="B577" s="811"/>
      <c r="D577" s="1905"/>
      <c r="E577" s="1905"/>
      <c r="F577" s="1905"/>
      <c r="G577" s="785"/>
    </row>
    <row r="578" spans="1:9">
      <c r="A578" s="811"/>
      <c r="B578" s="811"/>
      <c r="D578" s="1905"/>
      <c r="E578" s="1905"/>
      <c r="F578" s="1905"/>
      <c r="G578" s="785"/>
    </row>
    <row r="579" spans="1:9">
      <c r="A579" s="811"/>
      <c r="B579" s="793" t="s">
        <v>2516</v>
      </c>
      <c r="D579" s="1905" t="s">
        <v>1188</v>
      </c>
      <c r="E579" s="1905"/>
      <c r="F579" s="1905"/>
      <c r="G579" s="785"/>
    </row>
    <row r="580" spans="1:9">
      <c r="A580" s="811"/>
      <c r="B580" s="811"/>
      <c r="D580" s="1905"/>
      <c r="E580" s="1905"/>
      <c r="F580" s="1905"/>
      <c r="G580" s="785"/>
    </row>
    <row r="581" spans="1:9">
      <c r="A581" s="811"/>
      <c r="B581" s="811"/>
      <c r="D581" s="1905"/>
      <c r="E581" s="1905"/>
      <c r="F581" s="1905"/>
      <c r="G581" s="785"/>
    </row>
    <row r="582" spans="1:9">
      <c r="A582" s="811"/>
      <c r="B582" s="811"/>
      <c r="D582" s="1905"/>
      <c r="E582" s="1905"/>
      <c r="F582" s="1905"/>
      <c r="G582" s="785"/>
    </row>
    <row r="583" spans="1:9">
      <c r="A583" s="811"/>
      <c r="B583" s="811"/>
      <c r="D583" s="778"/>
      <c r="E583" s="778"/>
      <c r="F583" s="778"/>
      <c r="G583" s="785"/>
    </row>
    <row r="584" spans="1:9">
      <c r="A584" s="811"/>
      <c r="B584" s="793" t="s">
        <v>2621</v>
      </c>
      <c r="D584" s="1905" t="s">
        <v>1189</v>
      </c>
      <c r="E584" s="1905"/>
      <c r="F584" s="1905"/>
      <c r="G584" s="785"/>
    </row>
    <row r="585" spans="1:9">
      <c r="A585" s="811"/>
      <c r="B585" s="811"/>
      <c r="D585" s="1905"/>
      <c r="E585" s="1905"/>
      <c r="F585" s="1905"/>
      <c r="G585" s="785"/>
    </row>
    <row r="586" spans="1:9">
      <c r="A586" s="811"/>
      <c r="B586" s="811"/>
      <c r="D586" s="832"/>
      <c r="G586" s="785"/>
    </row>
    <row r="587" spans="1:9">
      <c r="A587" s="811"/>
      <c r="B587" s="793" t="s">
        <v>2516</v>
      </c>
      <c r="D587" s="1904" t="s">
        <v>1190</v>
      </c>
      <c r="E587" s="1904"/>
      <c r="F587" s="1904"/>
      <c r="G587" s="785"/>
      <c r="I587" s="1758" t="s">
        <v>2494</v>
      </c>
    </row>
    <row r="588" spans="1:9">
      <c r="A588" s="811"/>
      <c r="B588" s="811"/>
      <c r="D588" s="1904"/>
      <c r="E588" s="1904"/>
      <c r="F588" s="1904"/>
      <c r="G588" s="785"/>
    </row>
    <row r="589" spans="1:9" ht="14.4">
      <c r="A589" s="792"/>
      <c r="B589" s="792"/>
      <c r="D589" s="832"/>
      <c r="G589" s="785"/>
    </row>
    <row r="590" spans="1:9">
      <c r="A590" s="1882" t="s">
        <v>1171</v>
      </c>
      <c r="B590" s="1882"/>
      <c r="C590" s="1882"/>
      <c r="D590" s="1882"/>
      <c r="E590" s="1882"/>
      <c r="F590" s="1882"/>
      <c r="G590" s="1882"/>
      <c r="H590" s="1837"/>
      <c r="I590" s="1838"/>
    </row>
    <row r="591" spans="1:9"/>
    <row r="592" spans="1:9">
      <c r="D592" s="1872" t="s">
        <v>1271</v>
      </c>
      <c r="E592" s="1872"/>
      <c r="F592" s="1872"/>
    </row>
    <row r="593" spans="1:9">
      <c r="D593" s="1873" t="s">
        <v>1272</v>
      </c>
      <c r="E593" s="1873"/>
      <c r="F593" s="1873"/>
    </row>
    <row r="594" spans="1:9">
      <c r="D594" s="775"/>
      <c r="E594" s="717"/>
      <c r="F594" s="717"/>
    </row>
    <row r="595" spans="1:9" s="786" customFormat="1" ht="14.4">
      <c r="A595" s="800"/>
      <c r="B595" s="793" t="s">
        <v>2621</v>
      </c>
      <c r="C595" s="796"/>
      <c r="D595" s="1874" t="s">
        <v>1273</v>
      </c>
      <c r="E595" s="1874"/>
      <c r="F595" s="1874"/>
      <c r="G595" s="797"/>
      <c r="I595" s="1821" t="s">
        <v>2473</v>
      </c>
    </row>
    <row r="596" spans="1:9">
      <c r="D596" s="1874"/>
      <c r="E596" s="1874"/>
      <c r="F596" s="1874"/>
    </row>
    <row r="597" spans="1:9">
      <c r="D597" s="1874"/>
      <c r="E597" s="1874"/>
      <c r="F597" s="1874"/>
    </row>
    <row r="598" spans="1:9"/>
    <row r="599" spans="1:9">
      <c r="A599" s="1882" t="s">
        <v>1172</v>
      </c>
      <c r="B599" s="1882"/>
      <c r="C599" s="1882"/>
      <c r="D599" s="1882"/>
      <c r="E599" s="1882"/>
      <c r="F599" s="1882"/>
      <c r="G599" s="1882"/>
      <c r="H599" s="1837"/>
      <c r="I599" s="1838"/>
    </row>
    <row r="600" spans="1:9">
      <c r="A600" s="795"/>
      <c r="B600" s="795"/>
      <c r="G600" s="814"/>
    </row>
    <row r="601" spans="1:9">
      <c r="A601" s="833"/>
      <c r="B601" s="833"/>
      <c r="C601" s="788"/>
      <c r="D601" s="1875" t="s">
        <v>1274</v>
      </c>
      <c r="E601" s="1875"/>
      <c r="F601" s="1875"/>
      <c r="G601" s="814"/>
    </row>
    <row r="602" spans="1:9">
      <c r="A602" s="833"/>
      <c r="B602" s="833"/>
      <c r="C602" s="788"/>
      <c r="D602" s="1875"/>
      <c r="E602" s="1875"/>
      <c r="F602" s="1875"/>
      <c r="G602" s="814"/>
    </row>
    <row r="603" spans="1:9">
      <c r="C603" s="790"/>
      <c r="D603" s="1873" t="s">
        <v>1275</v>
      </c>
      <c r="E603" s="1873"/>
      <c r="F603" s="1873"/>
      <c r="G603" s="814"/>
    </row>
    <row r="604" spans="1:9">
      <c r="C604" s="790"/>
      <c r="D604" s="775"/>
      <c r="E604" s="775"/>
      <c r="F604" s="775"/>
      <c r="G604" s="814"/>
    </row>
    <row r="605" spans="1:9" ht="12.75" customHeight="1">
      <c r="A605" s="811"/>
      <c r="B605" s="793" t="s">
        <v>2621</v>
      </c>
      <c r="D605" s="1876" t="s">
        <v>1276</v>
      </c>
      <c r="E605" s="1876"/>
      <c r="F605" s="1876"/>
      <c r="G605" s="814"/>
      <c r="I605" s="1758" t="s">
        <v>2495</v>
      </c>
    </row>
    <row r="606" spans="1:9">
      <c r="D606" s="1876"/>
      <c r="E606" s="1876"/>
      <c r="F606" s="1876"/>
      <c r="G606" s="814"/>
    </row>
    <row r="607" spans="1:9">
      <c r="D607" s="785"/>
      <c r="G607" s="814"/>
    </row>
    <row r="608" spans="1:9">
      <c r="B608" s="793" t="s">
        <v>2621</v>
      </c>
      <c r="D608" s="1876" t="s">
        <v>1277</v>
      </c>
      <c r="E608" s="1876"/>
      <c r="F608" s="1876"/>
      <c r="G608" s="814"/>
      <c r="I608" s="1758" t="s">
        <v>2446</v>
      </c>
    </row>
    <row r="609" spans="1:9">
      <c r="C609" s="834"/>
      <c r="D609" s="1876"/>
      <c r="E609" s="1876"/>
      <c r="F609" s="1876"/>
      <c r="G609" s="814"/>
    </row>
    <row r="610" spans="1:9">
      <c r="C610" s="834"/>
      <c r="G610" s="814"/>
    </row>
    <row r="611" spans="1:9">
      <c r="B611" s="793" t="s">
        <v>2516</v>
      </c>
      <c r="C611" s="834"/>
      <c r="D611" s="1876" t="s">
        <v>1278</v>
      </c>
      <c r="E611" s="1876"/>
      <c r="F611" s="1876"/>
      <c r="G611" s="814"/>
      <c r="I611" s="1758" t="s">
        <v>2496</v>
      </c>
    </row>
    <row r="612" spans="1:9">
      <c r="C612" s="834"/>
      <c r="D612" s="1876"/>
      <c r="E612" s="1876"/>
      <c r="F612" s="1876"/>
      <c r="G612" s="814"/>
      <c r="I612" s="1834" t="s">
        <v>2497</v>
      </c>
    </row>
    <row r="613" spans="1:9">
      <c r="C613" s="834"/>
      <c r="G613" s="814"/>
    </row>
    <row r="614" spans="1:9">
      <c r="A614" s="1882" t="s">
        <v>1173</v>
      </c>
      <c r="B614" s="1882"/>
      <c r="C614" s="1882"/>
      <c r="D614" s="1882"/>
      <c r="E614" s="1882"/>
      <c r="F614" s="1882"/>
      <c r="G614" s="1882"/>
      <c r="H614" s="1837"/>
      <c r="I614" s="1838"/>
    </row>
    <row r="615" spans="1:9">
      <c r="A615" s="835"/>
      <c r="B615" s="835"/>
      <c r="C615" s="835"/>
      <c r="G615" s="814"/>
    </row>
    <row r="616" spans="1:9">
      <c r="C616" s="811"/>
      <c r="D616" s="1872" t="s">
        <v>1279</v>
      </c>
      <c r="E616" s="1872"/>
      <c r="F616" s="1872"/>
      <c r="G616" s="814"/>
    </row>
    <row r="617" spans="1:9">
      <c r="A617" s="811"/>
      <c r="B617" s="811"/>
      <c r="C617" s="813"/>
      <c r="D617" s="789"/>
      <c r="G617" s="814"/>
    </row>
    <row r="618" spans="1:9" ht="14.4">
      <c r="A618" s="792"/>
      <c r="B618" s="793" t="s">
        <v>2516</v>
      </c>
      <c r="C618" s="813"/>
      <c r="D618" s="1917" t="s">
        <v>1501</v>
      </c>
      <c r="E618" s="1917"/>
      <c r="F618" s="1917"/>
      <c r="G618" s="814"/>
      <c r="I618" s="1758" t="s">
        <v>2474</v>
      </c>
    </row>
    <row r="619" spans="1:9">
      <c r="C619" s="813"/>
      <c r="D619" s="1917"/>
      <c r="E619" s="1917"/>
      <c r="F619" s="1917"/>
      <c r="G619" s="814"/>
    </row>
    <row r="620" spans="1:9">
      <c r="C620" s="813"/>
      <c r="D620" s="1917"/>
      <c r="E620" s="1917"/>
      <c r="F620" s="1917"/>
      <c r="G620" s="814"/>
    </row>
    <row r="621" spans="1:9">
      <c r="C621" s="813"/>
      <c r="D621" s="1917"/>
      <c r="E621" s="1917"/>
      <c r="F621" s="1917"/>
      <c r="G621" s="814"/>
    </row>
    <row r="622" spans="1:9">
      <c r="C622" s="813"/>
      <c r="D622" s="1917"/>
      <c r="E622" s="1917"/>
      <c r="F622" s="1917"/>
      <c r="G622" s="814"/>
    </row>
    <row r="623" spans="1:9">
      <c r="C623" s="813"/>
      <c r="D623" s="1917"/>
      <c r="E623" s="1917"/>
      <c r="F623" s="1917"/>
      <c r="G623" s="814"/>
    </row>
    <row r="624" spans="1:9">
      <c r="C624" s="813"/>
      <c r="D624" s="779"/>
      <c r="E624" s="779"/>
      <c r="F624" s="779"/>
      <c r="G624" s="814"/>
    </row>
    <row r="625" spans="1:9" ht="14.4">
      <c r="A625" s="792"/>
      <c r="B625" s="793" t="s">
        <v>2621</v>
      </c>
      <c r="C625" s="813"/>
      <c r="D625" s="1917" t="s">
        <v>1281</v>
      </c>
      <c r="E625" s="1917"/>
      <c r="F625" s="1917"/>
      <c r="G625" s="814"/>
      <c r="I625" s="1758" t="s">
        <v>2498</v>
      </c>
    </row>
    <row r="626" spans="1:9">
      <c r="A626" s="824"/>
      <c r="B626" s="824"/>
      <c r="C626" s="824"/>
      <c r="D626" s="1917"/>
      <c r="E626" s="1917"/>
      <c r="F626" s="1917"/>
      <c r="G626" s="814"/>
    </row>
    <row r="627" spans="1:9">
      <c r="A627" s="824"/>
      <c r="B627" s="824"/>
      <c r="C627" s="824"/>
      <c r="D627" s="780"/>
      <c r="E627" s="836"/>
      <c r="F627" s="836"/>
      <c r="G627" s="814"/>
    </row>
    <row r="628" spans="1:9" ht="14.4">
      <c r="A628" s="792"/>
      <c r="B628" s="793" t="s">
        <v>2516</v>
      </c>
      <c r="C628" s="824"/>
      <c r="D628" s="1874" t="s">
        <v>1438</v>
      </c>
      <c r="E628" s="1874"/>
      <c r="F628" s="1874"/>
      <c r="G628" s="814"/>
      <c r="I628" s="1758" t="s">
        <v>2447</v>
      </c>
    </row>
    <row r="629" spans="1:9" ht="14.4">
      <c r="A629" s="792"/>
      <c r="B629" s="792"/>
      <c r="C629" s="824"/>
      <c r="D629" s="1874"/>
      <c r="E629" s="1874"/>
      <c r="F629" s="1874"/>
      <c r="G629" s="814"/>
    </row>
    <row r="630" spans="1:9" ht="14.4">
      <c r="A630" s="792"/>
      <c r="B630" s="792"/>
      <c r="C630" s="824"/>
      <c r="D630" s="1874"/>
      <c r="E630" s="1874"/>
      <c r="F630" s="1874"/>
      <c r="G630" s="814"/>
    </row>
    <row r="631" spans="1:9">
      <c r="A631" s="824"/>
      <c r="B631" s="793" t="s">
        <v>2516</v>
      </c>
      <c r="C631" s="824"/>
      <c r="D631" s="1922" t="s">
        <v>1283</v>
      </c>
      <c r="E631" s="1922"/>
      <c r="F631" s="1922"/>
      <c r="G631" s="814"/>
      <c r="I631" s="1758" t="s">
        <v>2447</v>
      </c>
    </row>
    <row r="632" spans="1:9">
      <c r="A632" s="824"/>
      <c r="B632" s="824"/>
      <c r="C632" s="824"/>
      <c r="D632" s="722"/>
      <c r="E632" s="722"/>
      <c r="F632" s="722"/>
      <c r="G632" s="814"/>
    </row>
    <row r="633" spans="1:9">
      <c r="A633" s="1882" t="s">
        <v>1174</v>
      </c>
      <c r="B633" s="1882"/>
      <c r="C633" s="1882"/>
      <c r="D633" s="1882"/>
      <c r="E633" s="1882"/>
      <c r="F633" s="1882"/>
      <c r="G633" s="1882"/>
      <c r="H633" s="1837"/>
      <c r="I633" s="1838"/>
    </row>
    <row r="634" spans="1:9">
      <c r="A634" s="795"/>
      <c r="B634" s="795"/>
      <c r="C634" s="824"/>
      <c r="D634" s="836"/>
      <c r="E634" s="836"/>
      <c r="F634" s="836"/>
      <c r="G634" s="814"/>
    </row>
    <row r="635" spans="1:9">
      <c r="C635" s="835"/>
      <c r="D635" s="1982" t="s">
        <v>1333</v>
      </c>
      <c r="E635" s="1982"/>
      <c r="F635" s="1982"/>
      <c r="G635" s="814"/>
    </row>
    <row r="636" spans="1:9">
      <c r="A636" s="790"/>
      <c r="B636" s="790"/>
      <c r="C636" s="790"/>
      <c r="D636" s="1983" t="s">
        <v>1334</v>
      </c>
      <c r="E636" s="1983"/>
      <c r="F636" s="1983"/>
      <c r="G636" s="814"/>
    </row>
    <row r="637" spans="1:9">
      <c r="A637" s="790"/>
      <c r="B637" s="790"/>
      <c r="C637" s="790"/>
      <c r="D637" s="722"/>
      <c r="E637" s="722"/>
      <c r="F637" s="722"/>
      <c r="G637" s="814"/>
    </row>
    <row r="638" spans="1:9" ht="12.75" customHeight="1">
      <c r="B638" s="793" t="s">
        <v>2516</v>
      </c>
      <c r="C638" s="824"/>
      <c r="D638" s="1959" t="s">
        <v>1522</v>
      </c>
      <c r="E638" s="1959"/>
      <c r="F638" s="1959"/>
      <c r="I638" s="1758" t="s">
        <v>2501</v>
      </c>
    </row>
    <row r="639" spans="1:9">
      <c r="D639" s="1959"/>
      <c r="E639" s="1959"/>
      <c r="F639" s="1959"/>
    </row>
    <row r="640" spans="1:9">
      <c r="D640" s="1959"/>
      <c r="E640" s="1959"/>
      <c r="F640" s="1959"/>
    </row>
    <row r="641" spans="1:9">
      <c r="D641" s="1959"/>
      <c r="E641" s="1959"/>
      <c r="F641" s="1959"/>
    </row>
    <row r="642" spans="1:9" ht="14.55" customHeight="1">
      <c r="A642" s="792"/>
      <c r="B642" s="792"/>
      <c r="C642" s="824"/>
      <c r="D642" s="895"/>
      <c r="E642" s="895"/>
      <c r="F642" s="895"/>
      <c r="G642" s="814"/>
    </row>
    <row r="643" spans="1:9" ht="12.75" customHeight="1">
      <c r="A643" s="790"/>
      <c r="B643" s="793" t="s">
        <v>2516</v>
      </c>
      <c r="C643" s="824"/>
      <c r="D643" s="1959" t="s">
        <v>1525</v>
      </c>
      <c r="E643" s="1959"/>
      <c r="F643" s="1959"/>
      <c r="G643" s="814"/>
      <c r="I643" s="1758" t="s">
        <v>2501</v>
      </c>
    </row>
    <row r="644" spans="1:9" ht="14.4">
      <c r="A644" s="790"/>
      <c r="B644" s="792"/>
      <c r="C644" s="824"/>
      <c r="D644" s="1959"/>
      <c r="E644" s="1959"/>
      <c r="F644" s="1959"/>
      <c r="G644" s="814"/>
    </row>
    <row r="645" spans="1:9" ht="14.4">
      <c r="A645" s="790"/>
      <c r="B645" s="792"/>
      <c r="C645" s="824"/>
      <c r="D645" s="1959"/>
      <c r="E645" s="1959"/>
      <c r="F645" s="1959"/>
      <c r="G645" s="814"/>
    </row>
    <row r="646" spans="1:9" ht="14.4">
      <c r="A646" s="790"/>
      <c r="B646" s="792"/>
      <c r="C646" s="824"/>
      <c r="D646" s="1959"/>
      <c r="E646" s="1959"/>
      <c r="F646" s="1959"/>
      <c r="G646" s="814"/>
    </row>
    <row r="647" spans="1:9" ht="14.4">
      <c r="A647" s="790"/>
      <c r="B647" s="792"/>
      <c r="C647" s="824"/>
      <c r="D647" s="1959"/>
      <c r="E647" s="1959"/>
      <c r="F647" s="1959"/>
      <c r="G647" s="814"/>
    </row>
    <row r="648" spans="1:9" ht="14.25" customHeight="1">
      <c r="A648" s="790"/>
      <c r="B648" s="792"/>
      <c r="C648" s="824"/>
      <c r="F648" s="896"/>
      <c r="G648" s="814"/>
    </row>
    <row r="649" spans="1:9" ht="12.75" customHeight="1">
      <c r="A649" s="790"/>
      <c r="B649" s="793" t="s">
        <v>2516</v>
      </c>
      <c r="C649" s="824"/>
      <c r="D649" s="1959" t="s">
        <v>1523</v>
      </c>
      <c r="E649" s="1959"/>
      <c r="F649" s="1959"/>
      <c r="G649" s="814"/>
      <c r="I649" s="1758" t="s">
        <v>2501</v>
      </c>
    </row>
    <row r="650" spans="1:9" ht="14.4">
      <c r="A650" s="790"/>
      <c r="B650" s="792"/>
      <c r="C650" s="824"/>
      <c r="D650" s="1959"/>
      <c r="E650" s="1959"/>
      <c r="F650" s="1959"/>
      <c r="G650" s="814"/>
    </row>
    <row r="651" spans="1:9" ht="14.4">
      <c r="A651" s="792"/>
      <c r="B651" s="792"/>
      <c r="C651" s="824"/>
      <c r="D651" s="1959"/>
      <c r="E651" s="1959"/>
      <c r="F651" s="1959"/>
      <c r="G651" s="814"/>
    </row>
    <row r="652" spans="1:9" ht="14.4">
      <c r="A652" s="792"/>
      <c r="B652" s="792"/>
      <c r="C652" s="824"/>
      <c r="D652" s="1959"/>
      <c r="E652" s="1959"/>
      <c r="F652" s="1959"/>
      <c r="G652" s="814"/>
    </row>
    <row r="653" spans="1:9" ht="14.4">
      <c r="A653" s="792"/>
      <c r="B653" s="792"/>
      <c r="C653" s="824"/>
      <c r="D653" s="887"/>
      <c r="E653" s="887"/>
      <c r="F653" s="887"/>
      <c r="G653" s="814"/>
    </row>
    <row r="654" spans="1:9" ht="12.75" customHeight="1">
      <c r="A654" s="790"/>
      <c r="B654" s="793" t="s">
        <v>2516</v>
      </c>
      <c r="C654" s="824"/>
      <c r="D654" s="1959" t="s">
        <v>1524</v>
      </c>
      <c r="E654" s="1959"/>
      <c r="F654" s="1959"/>
      <c r="G654" s="814"/>
      <c r="I654" s="1758" t="s">
        <v>2501</v>
      </c>
    </row>
    <row r="655" spans="1:9" ht="12.75" customHeight="1">
      <c r="A655" s="790"/>
      <c r="B655" s="792"/>
      <c r="C655" s="824"/>
      <c r="D655" s="1959"/>
      <c r="E655" s="1959"/>
      <c r="F655" s="1959"/>
      <c r="G655" s="814"/>
    </row>
    <row r="656" spans="1:9" ht="12.75" customHeight="1">
      <c r="A656" s="790"/>
      <c r="B656" s="792"/>
      <c r="C656" s="824"/>
      <c r="D656" s="1959"/>
      <c r="E656" s="1959"/>
      <c r="F656" s="1959"/>
      <c r="G656" s="814"/>
    </row>
    <row r="657" spans="1:11" ht="12.75" customHeight="1">
      <c r="A657" s="790"/>
      <c r="B657" s="792"/>
      <c r="C657" s="824"/>
      <c r="D657" s="1959"/>
      <c r="E657" s="1959"/>
      <c r="F657" s="1959"/>
      <c r="G657" s="814"/>
    </row>
    <row r="658" spans="1:11" ht="12.75" customHeight="1">
      <c r="A658" s="790"/>
      <c r="B658" s="792"/>
      <c r="C658" s="824"/>
      <c r="D658" s="1959"/>
      <c r="E658" s="1959"/>
      <c r="F658" s="1959"/>
      <c r="G658" s="814"/>
    </row>
    <row r="659" spans="1:11" ht="12.75" customHeight="1">
      <c r="A659" s="790"/>
      <c r="B659" s="792"/>
      <c r="C659" s="824"/>
      <c r="D659" s="1959"/>
      <c r="E659" s="1959"/>
      <c r="F659" s="1959"/>
      <c r="G659" s="814"/>
    </row>
    <row r="660" spans="1:11" ht="12.75" customHeight="1">
      <c r="A660" s="790"/>
      <c r="B660" s="792"/>
      <c r="C660" s="824"/>
      <c r="D660" s="1959"/>
      <c r="E660" s="1959"/>
      <c r="F660" s="1959"/>
      <c r="G660" s="814"/>
    </row>
    <row r="661" spans="1:11" ht="12.75" customHeight="1">
      <c r="A661" s="790"/>
      <c r="B661" s="792"/>
      <c r="C661" s="824"/>
      <c r="D661" s="1959"/>
      <c r="E661" s="1959"/>
      <c r="F661" s="1959"/>
      <c r="G661" s="814"/>
    </row>
    <row r="662" spans="1:11" ht="12.75" customHeight="1">
      <c r="A662" s="790"/>
      <c r="B662" s="792"/>
      <c r="C662" s="824"/>
      <c r="D662" s="1959"/>
      <c r="E662" s="1959"/>
      <c r="F662" s="1959"/>
      <c r="G662" s="814"/>
    </row>
    <row r="663" spans="1:11">
      <c r="A663" s="824"/>
      <c r="B663" s="824"/>
      <c r="C663" s="824"/>
      <c r="D663" s="836"/>
      <c r="E663" s="836"/>
      <c r="F663" s="836"/>
      <c r="G663" s="814"/>
    </row>
    <row r="664" spans="1:11">
      <c r="A664" s="1882" t="s">
        <v>1175</v>
      </c>
      <c r="B664" s="1882"/>
      <c r="C664" s="1882"/>
      <c r="D664" s="1882"/>
      <c r="E664" s="1882"/>
      <c r="F664" s="1882"/>
      <c r="G664" s="1882"/>
      <c r="H664" s="1839"/>
      <c r="I664" s="1840"/>
      <c r="J664" s="837"/>
      <c r="K664" s="837"/>
    </row>
    <row r="665" spans="1:11">
      <c r="A665" s="730"/>
      <c r="B665" s="730"/>
      <c r="C665" s="730"/>
      <c r="D665" s="730"/>
      <c r="E665" s="730"/>
      <c r="F665" s="730"/>
      <c r="G665" s="730"/>
      <c r="H665" s="837"/>
      <c r="I665" s="1825"/>
      <c r="J665" s="837"/>
      <c r="K665" s="837"/>
    </row>
    <row r="666" spans="1:11">
      <c r="C666" s="835"/>
      <c r="D666" s="1872" t="s">
        <v>104</v>
      </c>
      <c r="E666" s="1872"/>
      <c r="F666" s="1872"/>
      <c r="G666" s="814"/>
      <c r="H666" s="837"/>
      <c r="I666" s="1825"/>
      <c r="J666" s="837"/>
      <c r="K666" s="837"/>
    </row>
    <row r="667" spans="1:11">
      <c r="A667" s="835"/>
      <c r="B667" s="835"/>
      <c r="C667" s="835"/>
      <c r="D667" s="1872" t="s">
        <v>128</v>
      </c>
      <c r="E667" s="1872"/>
      <c r="F667" s="1872"/>
      <c r="G667" s="814"/>
      <c r="H667" s="837"/>
      <c r="I667" s="1825"/>
      <c r="J667" s="837"/>
      <c r="K667" s="837"/>
    </row>
    <row r="668" spans="1:11">
      <c r="A668" s="790"/>
      <c r="B668" s="790"/>
      <c r="C668" s="790"/>
      <c r="D668" s="1922" t="s">
        <v>1211</v>
      </c>
      <c r="E668" s="1922"/>
      <c r="F668" s="1922"/>
      <c r="G668" s="814"/>
      <c r="H668" s="837"/>
      <c r="I668" s="1825"/>
      <c r="J668" s="837"/>
      <c r="K668" s="837"/>
    </row>
    <row r="669" spans="1:11">
      <c r="A669" s="790"/>
      <c r="B669" s="790"/>
      <c r="C669" s="790"/>
      <c r="G669" s="814"/>
      <c r="H669" s="837"/>
      <c r="I669" s="1825"/>
      <c r="J669" s="837"/>
      <c r="K669" s="837"/>
    </row>
    <row r="670" spans="1:11" ht="14.4">
      <c r="A670" s="792"/>
      <c r="B670" s="793" t="s">
        <v>2621</v>
      </c>
      <c r="C670" s="790"/>
      <c r="D670" s="1922" t="s">
        <v>949</v>
      </c>
      <c r="E670" s="1922"/>
      <c r="F670" s="1922"/>
      <c r="G670" s="814"/>
      <c r="H670" s="837"/>
      <c r="I670" s="1825" t="s">
        <v>2475</v>
      </c>
      <c r="J670" s="837"/>
      <c r="K670" s="837"/>
    </row>
    <row r="671" spans="1:11">
      <c r="A671" s="790"/>
      <c r="B671" s="790"/>
      <c r="C671" s="790"/>
      <c r="D671" s="1922" t="s">
        <v>960</v>
      </c>
      <c r="E671" s="1922"/>
      <c r="F671" s="1922"/>
      <c r="G671" s="814"/>
      <c r="H671" s="837"/>
      <c r="I671" s="1825"/>
      <c r="J671" s="837"/>
      <c r="K671" s="837"/>
    </row>
    <row r="672" spans="1:11">
      <c r="A672" s="790"/>
      <c r="B672" s="790"/>
      <c r="C672" s="790"/>
      <c r="D672" s="667"/>
      <c r="E672" s="1968" t="s">
        <v>1212</v>
      </c>
      <c r="F672" s="1968"/>
      <c r="G672" s="814"/>
      <c r="H672" s="837"/>
      <c r="I672" s="1825"/>
      <c r="J672" s="837"/>
      <c r="K672" s="837"/>
    </row>
    <row r="673" spans="1:11">
      <c r="A673" s="790"/>
      <c r="B673" s="790"/>
      <c r="C673" s="790"/>
      <c r="D673" s="667"/>
      <c r="E673" s="1968"/>
      <c r="F673" s="1968"/>
      <c r="G673" s="814"/>
      <c r="H673" s="837"/>
      <c r="I673" s="1825"/>
      <c r="J673" s="837"/>
      <c r="K673" s="837"/>
    </row>
    <row r="674" spans="1:11">
      <c r="A674" s="790"/>
      <c r="B674" s="790"/>
      <c r="C674" s="790"/>
      <c r="D674" s="838"/>
      <c r="E674" s="795"/>
      <c r="G674" s="814"/>
      <c r="H674" s="837"/>
      <c r="I674" s="1825"/>
      <c r="J674" s="837"/>
      <c r="K674" s="837"/>
    </row>
    <row r="675" spans="1:11" ht="14.4">
      <c r="A675" s="792"/>
      <c r="B675" s="793" t="s">
        <v>2516</v>
      </c>
      <c r="C675" s="790"/>
      <c r="D675" s="1917" t="s">
        <v>1404</v>
      </c>
      <c r="E675" s="1917"/>
      <c r="F675" s="1917"/>
      <c r="G675" s="814"/>
      <c r="H675" s="837"/>
      <c r="I675" s="1825" t="s">
        <v>2499</v>
      </c>
      <c r="J675" s="837"/>
      <c r="K675" s="837"/>
    </row>
    <row r="676" spans="1:11">
      <c r="A676" s="811"/>
      <c r="B676" s="811"/>
      <c r="C676" s="790"/>
      <c r="D676" s="1917"/>
      <c r="E676" s="1917"/>
      <c r="F676" s="1917"/>
      <c r="G676" s="814"/>
      <c r="H676" s="837"/>
      <c r="I676" s="1825"/>
      <c r="J676" s="837"/>
      <c r="K676" s="837"/>
    </row>
    <row r="677" spans="1:11">
      <c r="A677" s="790"/>
      <c r="B677" s="790"/>
      <c r="C677" s="790"/>
      <c r="D677" s="1917"/>
      <c r="E677" s="1917"/>
      <c r="F677" s="1917"/>
      <c r="G677" s="814"/>
      <c r="H677" s="837"/>
      <c r="I677" s="1825"/>
      <c r="J677" s="837"/>
      <c r="K677" s="837"/>
    </row>
    <row r="678" spans="1:11">
      <c r="A678" s="790"/>
      <c r="B678" s="790"/>
      <c r="C678" s="790"/>
      <c r="G678" s="814"/>
      <c r="H678" s="837"/>
      <c r="I678" s="1825" t="s">
        <v>2476</v>
      </c>
      <c r="J678" s="837"/>
      <c r="K678" s="837"/>
    </row>
    <row r="679" spans="1:11" ht="14.4">
      <c r="A679" s="792"/>
      <c r="B679" s="793" t="s">
        <v>2516</v>
      </c>
      <c r="C679" s="790"/>
      <c r="D679" s="1922" t="s">
        <v>989</v>
      </c>
      <c r="E679" s="1922"/>
      <c r="F679" s="1922"/>
      <c r="G679" s="814"/>
      <c r="H679" s="837"/>
      <c r="I679" s="1825"/>
      <c r="J679" s="837"/>
      <c r="K679" s="837"/>
    </row>
    <row r="680" spans="1:11" ht="14.4">
      <c r="A680" s="792"/>
      <c r="B680" s="792"/>
      <c r="C680" s="790"/>
      <c r="D680" s="1922" t="s">
        <v>960</v>
      </c>
      <c r="E680" s="1922"/>
      <c r="F680" s="1922"/>
      <c r="G680" s="814"/>
      <c r="H680" s="837"/>
      <c r="I680" s="1825"/>
      <c r="J680" s="837"/>
      <c r="K680" s="837"/>
    </row>
    <row r="681" spans="1:11">
      <c r="A681" s="790"/>
      <c r="B681" s="790"/>
      <c r="C681" s="790"/>
      <c r="D681" s="667"/>
      <c r="E681" s="1965" t="s">
        <v>1214</v>
      </c>
      <c r="F681" s="1965"/>
      <c r="G681" s="814"/>
      <c r="H681" s="837"/>
      <c r="I681" s="1825"/>
      <c r="J681" s="837"/>
      <c r="K681" s="837"/>
    </row>
    <row r="682" spans="1:11">
      <c r="A682" s="790"/>
      <c r="B682" s="790"/>
      <c r="C682" s="790"/>
      <c r="D682" s="789"/>
      <c r="G682" s="814"/>
      <c r="H682" s="837"/>
      <c r="I682" s="1825"/>
      <c r="J682" s="837"/>
      <c r="K682" s="837"/>
    </row>
    <row r="683" spans="1:11" ht="14.4">
      <c r="A683" s="792"/>
      <c r="B683" s="793" t="s">
        <v>2516</v>
      </c>
      <c r="C683" s="790"/>
      <c r="D683" s="1962" t="s">
        <v>1224</v>
      </c>
      <c r="E683" s="1962"/>
      <c r="F683" s="1962"/>
      <c r="G683" s="814"/>
      <c r="H683" s="837"/>
      <c r="I683" s="1825" t="s">
        <v>2448</v>
      </c>
      <c r="J683" s="837"/>
      <c r="K683" s="837"/>
    </row>
    <row r="684" spans="1:11">
      <c r="A684" s="790"/>
      <c r="B684" s="790"/>
      <c r="C684" s="790"/>
      <c r="D684" s="1962"/>
      <c r="E684" s="1962"/>
      <c r="F684" s="1962"/>
      <c r="G684" s="814"/>
      <c r="H684" s="837"/>
      <c r="I684" s="1825"/>
      <c r="J684" s="837"/>
      <c r="K684" s="837"/>
    </row>
    <row r="685" spans="1:11">
      <c r="A685" s="790"/>
      <c r="B685" s="790"/>
      <c r="C685" s="790"/>
      <c r="D685" s="1962"/>
      <c r="E685" s="1962"/>
      <c r="F685" s="1962"/>
      <c r="G685" s="814"/>
      <c r="H685" s="837"/>
      <c r="I685" s="1825"/>
      <c r="J685" s="837"/>
      <c r="K685" s="837"/>
    </row>
    <row r="686" spans="1:11">
      <c r="A686" s="790"/>
      <c r="B686" s="790"/>
      <c r="C686" s="790"/>
      <c r="D686" s="1962"/>
      <c r="E686" s="1962"/>
      <c r="F686" s="1962"/>
      <c r="G686" s="814"/>
      <c r="H686" s="837"/>
      <c r="I686" s="1825"/>
      <c r="J686" s="837"/>
      <c r="K686" s="837"/>
    </row>
    <row r="687" spans="1:11">
      <c r="A687" s="790"/>
      <c r="B687" s="790"/>
      <c r="C687" s="790"/>
      <c r="D687" s="1962"/>
      <c r="E687" s="1962"/>
      <c r="F687" s="1962"/>
      <c r="G687" s="814"/>
      <c r="H687" s="837"/>
      <c r="I687" s="1825"/>
      <c r="J687" s="837"/>
      <c r="K687" s="837"/>
    </row>
    <row r="688" spans="1:11" s="786" customFormat="1">
      <c r="A688" s="829"/>
      <c r="B688" s="829"/>
      <c r="C688" s="829"/>
      <c r="D688" s="1962"/>
      <c r="E688" s="1962"/>
      <c r="F688" s="1962"/>
      <c r="G688" s="839"/>
      <c r="H688" s="840"/>
      <c r="I688" s="1826"/>
      <c r="J688" s="840"/>
      <c r="K688" s="840"/>
    </row>
    <row r="689" spans="1:11" s="786" customFormat="1">
      <c r="A689" s="829"/>
      <c r="B689" s="829"/>
      <c r="C689" s="829"/>
      <c r="D689" s="841"/>
      <c r="E689" s="841"/>
      <c r="F689" s="841"/>
      <c r="G689" s="839"/>
      <c r="H689" s="840"/>
      <c r="I689" s="1826"/>
      <c r="J689" s="840"/>
      <c r="K689" s="840"/>
    </row>
    <row r="690" spans="1:11" s="786" customFormat="1">
      <c r="A690" s="829"/>
      <c r="B690" s="793" t="s">
        <v>2516</v>
      </c>
      <c r="C690" s="829"/>
      <c r="D690" s="1962" t="s">
        <v>1406</v>
      </c>
      <c r="E690" s="1962"/>
      <c r="F690" s="1962"/>
      <c r="G690" s="839"/>
      <c r="H690" s="840"/>
      <c r="I690" s="1826" t="s">
        <v>2448</v>
      </c>
      <c r="J690" s="840"/>
      <c r="K690" s="840"/>
    </row>
    <row r="691" spans="1:11" s="786" customFormat="1">
      <c r="A691" s="829"/>
      <c r="B691" s="829"/>
      <c r="C691" s="829"/>
      <c r="D691" s="1962"/>
      <c r="E691" s="1962"/>
      <c r="F691" s="1962"/>
      <c r="G691" s="839"/>
      <c r="H691" s="840"/>
      <c r="I691" s="1826"/>
      <c r="J691" s="840"/>
      <c r="K691" s="840"/>
    </row>
    <row r="692" spans="1:11" s="786" customFormat="1">
      <c r="A692" s="829"/>
      <c r="B692" s="829"/>
      <c r="C692" s="829"/>
      <c r="D692" s="841"/>
      <c r="E692" s="841"/>
      <c r="F692" s="841"/>
      <c r="G692" s="839"/>
      <c r="H692" s="840"/>
      <c r="I692" s="1826"/>
      <c r="J692" s="840"/>
      <c r="K692" s="840"/>
    </row>
    <row r="693" spans="1:11" ht="14.4">
      <c r="A693" s="792"/>
      <c r="B693" s="793" t="s">
        <v>2516</v>
      </c>
      <c r="C693" s="790"/>
      <c r="D693" s="1962" t="s">
        <v>1215</v>
      </c>
      <c r="E693" s="1962"/>
      <c r="F693" s="1962"/>
      <c r="G693" s="814"/>
      <c r="H693" s="837"/>
      <c r="I693" s="1825" t="s">
        <v>2448</v>
      </c>
      <c r="J693" s="837"/>
      <c r="K693" s="837"/>
    </row>
    <row r="694" spans="1:11">
      <c r="A694" s="790"/>
      <c r="B694" s="790"/>
      <c r="C694" s="790"/>
      <c r="D694" s="1962"/>
      <c r="E694" s="1962"/>
      <c r="F694" s="1962"/>
      <c r="G694" s="814"/>
      <c r="H694" s="837"/>
      <c r="I694" s="1825"/>
      <c r="J694" s="837"/>
      <c r="K694" s="837"/>
    </row>
    <row r="695" spans="1:11">
      <c r="A695" s="790"/>
      <c r="B695" s="790"/>
      <c r="C695" s="790"/>
      <c r="D695" s="1962"/>
      <c r="E695" s="1962"/>
      <c r="F695" s="1962"/>
      <c r="G695" s="814"/>
      <c r="H695" s="837"/>
      <c r="I695" s="1825"/>
      <c r="J695" s="837"/>
      <c r="K695" s="837"/>
    </row>
    <row r="696" spans="1:11" ht="15" customHeight="1">
      <c r="A696" s="790"/>
      <c r="B696" s="790"/>
      <c r="C696" s="790"/>
      <c r="D696" s="1962"/>
      <c r="E696" s="1962"/>
      <c r="F696" s="1962"/>
      <c r="G696" s="814"/>
      <c r="H696" s="837"/>
      <c r="I696" s="1825"/>
      <c r="J696" s="837"/>
      <c r="K696" s="837"/>
    </row>
    <row r="697" spans="1:11" ht="15" customHeight="1">
      <c r="A697" s="790"/>
      <c r="B697" s="790"/>
      <c r="C697" s="790"/>
      <c r="D697" s="1962"/>
      <c r="E697" s="1962"/>
      <c r="F697" s="1962"/>
      <c r="G697" s="814"/>
      <c r="H697" s="837"/>
      <c r="I697" s="1825"/>
      <c r="J697" s="837"/>
      <c r="K697" s="837"/>
    </row>
    <row r="698" spans="1:11">
      <c r="A698" s="790"/>
      <c r="B698" s="790"/>
      <c r="C698" s="790"/>
      <c r="D698" s="1962"/>
      <c r="E698" s="1962"/>
      <c r="F698" s="1962"/>
      <c r="G698" s="814"/>
      <c r="H698" s="837"/>
      <c r="I698" s="1825"/>
      <c r="J698" s="837"/>
      <c r="K698" s="837"/>
    </row>
    <row r="699" spans="1:11">
      <c r="A699" s="790"/>
      <c r="B699" s="790"/>
      <c r="C699" s="790"/>
      <c r="D699" s="1962"/>
      <c r="E699" s="1962"/>
      <c r="F699" s="1962"/>
      <c r="G699" s="814"/>
      <c r="H699" s="837"/>
      <c r="I699" s="1825"/>
      <c r="J699" s="837"/>
      <c r="K699" s="837"/>
    </row>
    <row r="700" spans="1:11">
      <c r="A700" s="790"/>
      <c r="B700" s="790"/>
      <c r="C700" s="790"/>
      <c r="D700" s="1962"/>
      <c r="E700" s="1962"/>
      <c r="F700" s="1962"/>
      <c r="G700" s="814"/>
      <c r="H700" s="837"/>
      <c r="I700" s="1825"/>
      <c r="J700" s="837"/>
      <c r="K700" s="837"/>
    </row>
    <row r="701" spans="1:11" ht="15" customHeight="1">
      <c r="A701" s="790"/>
      <c r="B701" s="790"/>
      <c r="C701" s="790"/>
      <c r="D701" s="1962"/>
      <c r="E701" s="1962"/>
      <c r="F701" s="1962"/>
      <c r="G701" s="814"/>
      <c r="H701" s="837"/>
      <c r="I701" s="1825"/>
      <c r="J701" s="837"/>
      <c r="K701" s="837"/>
    </row>
    <row r="702" spans="1:11">
      <c r="A702" s="790"/>
      <c r="B702" s="790"/>
      <c r="C702" s="790"/>
      <c r="D702" s="1962"/>
      <c r="E702" s="1962"/>
      <c r="F702" s="1962"/>
      <c r="G702" s="814"/>
      <c r="H702" s="837"/>
      <c r="I702" s="1825"/>
      <c r="J702" s="837"/>
      <c r="K702" s="837"/>
    </row>
    <row r="703" spans="1:11">
      <c r="A703" s="790"/>
      <c r="B703" s="790"/>
      <c r="C703" s="790"/>
      <c r="D703" s="1962"/>
      <c r="E703" s="1962"/>
      <c r="F703" s="1962"/>
      <c r="G703" s="814"/>
      <c r="H703" s="837"/>
      <c r="I703" s="1825"/>
      <c r="J703" s="837"/>
      <c r="K703" s="837"/>
    </row>
    <row r="704" spans="1:11">
      <c r="A704" s="790"/>
      <c r="B704" s="790"/>
      <c r="C704" s="790"/>
      <c r="D704" s="1962"/>
      <c r="E704" s="1962"/>
      <c r="F704" s="1962"/>
      <c r="G704" s="814"/>
      <c r="H704" s="837"/>
      <c r="I704" s="1825"/>
      <c r="J704" s="837"/>
      <c r="K704" s="837"/>
    </row>
    <row r="705" spans="1:11">
      <c r="A705" s="790"/>
      <c r="B705" s="790"/>
      <c r="C705" s="790"/>
      <c r="D705" s="1962"/>
      <c r="E705" s="1962"/>
      <c r="F705" s="1962"/>
      <c r="G705" s="814"/>
      <c r="H705" s="837"/>
      <c r="I705" s="1825"/>
      <c r="J705" s="837"/>
      <c r="K705" s="837"/>
    </row>
    <row r="706" spans="1:11">
      <c r="A706" s="790"/>
      <c r="B706" s="793" t="s">
        <v>2516</v>
      </c>
      <c r="C706" s="790"/>
      <c r="D706" s="1962" t="s">
        <v>1222</v>
      </c>
      <c r="E706" s="1962"/>
      <c r="F706" s="1962"/>
      <c r="G706" s="814"/>
      <c r="H706" s="837"/>
      <c r="I706" s="1825" t="s">
        <v>2500</v>
      </c>
      <c r="J706" s="837"/>
      <c r="K706" s="837"/>
    </row>
    <row r="707" spans="1:11">
      <c r="A707" s="790"/>
      <c r="B707" s="790"/>
      <c r="C707" s="790"/>
      <c r="D707" s="1962"/>
      <c r="E707" s="1962"/>
      <c r="F707" s="1962"/>
      <c r="G707" s="814"/>
      <c r="H707" s="837"/>
      <c r="I707" s="1825"/>
      <c r="J707" s="837"/>
      <c r="K707" s="837"/>
    </row>
    <row r="708" spans="1:11">
      <c r="A708" s="790"/>
      <c r="B708" s="790"/>
      <c r="C708" s="790"/>
      <c r="D708" s="841"/>
      <c r="E708" s="841"/>
      <c r="F708" s="841"/>
      <c r="G708" s="814"/>
      <c r="H708" s="837"/>
      <c r="I708" s="1825"/>
      <c r="J708" s="837"/>
      <c r="K708" s="837"/>
    </row>
    <row r="709" spans="1:11">
      <c r="A709" s="790"/>
      <c r="B709" s="793" t="s">
        <v>2516</v>
      </c>
      <c r="C709" s="790"/>
      <c r="D709" s="1962" t="s">
        <v>1216</v>
      </c>
      <c r="E709" s="1962"/>
      <c r="F709" s="1962"/>
      <c r="G709" s="814"/>
      <c r="H709" s="837"/>
      <c r="I709" s="1825" t="s">
        <v>2500</v>
      </c>
      <c r="J709" s="837"/>
      <c r="K709" s="837"/>
    </row>
    <row r="710" spans="1:11">
      <c r="A710" s="790"/>
      <c r="B710" s="790"/>
      <c r="C710" s="790"/>
      <c r="D710" s="1962"/>
      <c r="E710" s="1962"/>
      <c r="F710" s="1962"/>
      <c r="G710" s="814"/>
      <c r="H710" s="837"/>
      <c r="I710" s="1825"/>
      <c r="J710" s="837"/>
      <c r="K710" s="837"/>
    </row>
    <row r="711" spans="1:11">
      <c r="A711" s="790"/>
      <c r="B711" s="790"/>
      <c r="C711" s="790"/>
      <c r="D711" s="1962"/>
      <c r="E711" s="1962"/>
      <c r="F711" s="1962"/>
      <c r="G711" s="814"/>
      <c r="H711" s="837"/>
      <c r="I711" s="1825"/>
      <c r="J711" s="837"/>
      <c r="K711" s="837"/>
    </row>
    <row r="712" spans="1:11">
      <c r="A712" s="790"/>
      <c r="B712" s="790"/>
      <c r="C712" s="790"/>
      <c r="D712" s="797"/>
      <c r="G712" s="814"/>
      <c r="H712" s="837"/>
      <c r="I712" s="1825"/>
      <c r="J712" s="837"/>
      <c r="K712" s="837"/>
    </row>
    <row r="713" spans="1:11">
      <c r="A713" s="790"/>
      <c r="B713" s="793" t="s">
        <v>2516</v>
      </c>
      <c r="C713" s="790"/>
      <c r="D713" s="1962" t="s">
        <v>1217</v>
      </c>
      <c r="E713" s="1962"/>
      <c r="F713" s="1962"/>
      <c r="G713" s="814"/>
      <c r="H713" s="837"/>
      <c r="I713" s="1825" t="s">
        <v>2500</v>
      </c>
      <c r="J713" s="837"/>
      <c r="K713" s="837"/>
    </row>
    <row r="714" spans="1:11">
      <c r="A714" s="790"/>
      <c r="B714" s="790"/>
      <c r="C714" s="790"/>
      <c r="D714" s="1962"/>
      <c r="E714" s="1962"/>
      <c r="F714" s="1962"/>
      <c r="G714" s="814"/>
      <c r="H714" s="837"/>
      <c r="I714" s="1825"/>
      <c r="J714" s="837"/>
      <c r="K714" s="837"/>
    </row>
    <row r="715" spans="1:11">
      <c r="A715" s="790"/>
      <c r="B715" s="790"/>
      <c r="C715" s="790"/>
      <c r="D715" s="1962"/>
      <c r="E715" s="1962"/>
      <c r="F715" s="1962"/>
      <c r="G715" s="814"/>
      <c r="H715" s="837"/>
      <c r="I715" s="1825"/>
      <c r="J715" s="837"/>
      <c r="K715" s="837"/>
    </row>
    <row r="716" spans="1:11">
      <c r="A716" s="790"/>
      <c r="B716" s="790"/>
      <c r="C716" s="790"/>
      <c r="D716" s="785"/>
      <c r="G716" s="814"/>
      <c r="H716" s="837"/>
      <c r="I716" s="1825"/>
      <c r="J716" s="837"/>
      <c r="K716" s="837"/>
    </row>
    <row r="717" spans="1:11" ht="14.4">
      <c r="A717" s="792"/>
      <c r="B717" s="793" t="s">
        <v>2516</v>
      </c>
      <c r="C717" s="790"/>
      <c r="D717" s="1917" t="s">
        <v>1218</v>
      </c>
      <c r="E717" s="1917"/>
      <c r="F717" s="1917"/>
      <c r="G717" s="814"/>
      <c r="H717" s="837"/>
      <c r="I717" s="1825" t="s">
        <v>2449</v>
      </c>
      <c r="J717" s="837"/>
      <c r="K717" s="837"/>
    </row>
    <row r="718" spans="1:11">
      <c r="A718" s="790"/>
      <c r="B718" s="790"/>
      <c r="C718" s="790"/>
      <c r="D718" s="1917"/>
      <c r="E718" s="1917"/>
      <c r="F718" s="1917"/>
      <c r="G718" s="814"/>
      <c r="H718" s="837"/>
      <c r="I718" s="1825"/>
      <c r="J718" s="837"/>
      <c r="K718" s="837"/>
    </row>
    <row r="719" spans="1:11">
      <c r="A719" s="790"/>
      <c r="B719" s="790"/>
      <c r="C719" s="790"/>
      <c r="D719" s="1917"/>
      <c r="E719" s="1917"/>
      <c r="F719" s="1917"/>
      <c r="G719" s="814"/>
      <c r="H719" s="837"/>
      <c r="I719" s="1825"/>
      <c r="J719" s="837"/>
      <c r="K719" s="837"/>
    </row>
    <row r="720" spans="1:11">
      <c r="A720" s="790"/>
      <c r="B720" s="790"/>
      <c r="C720" s="790"/>
      <c r="D720" s="1917"/>
      <c r="E720" s="1917"/>
      <c r="F720" s="1917"/>
      <c r="G720" s="814"/>
      <c r="H720" s="837"/>
      <c r="I720" s="1825"/>
      <c r="J720" s="837"/>
      <c r="K720" s="837"/>
    </row>
    <row r="721" spans="1:11">
      <c r="A721" s="790"/>
      <c r="B721" s="790"/>
      <c r="C721" s="790"/>
      <c r="D721" s="817"/>
      <c r="G721" s="814"/>
      <c r="H721" s="837"/>
      <c r="I721" s="1825"/>
      <c r="J721" s="837"/>
      <c r="K721" s="837"/>
    </row>
    <row r="722" spans="1:11" ht="14.4">
      <c r="A722" s="792"/>
      <c r="B722" s="793" t="s">
        <v>2516</v>
      </c>
      <c r="C722" s="790"/>
      <c r="D722" s="1962" t="s">
        <v>1351</v>
      </c>
      <c r="E722" s="1962"/>
      <c r="F722" s="1962"/>
      <c r="G722" s="814"/>
      <c r="H722" s="837"/>
      <c r="I722" s="1825" t="s">
        <v>2465</v>
      </c>
      <c r="J722" s="837"/>
      <c r="K722" s="837"/>
    </row>
    <row r="723" spans="1:11">
      <c r="A723" s="790"/>
      <c r="B723" s="790"/>
      <c r="C723" s="790"/>
      <c r="D723" s="1962"/>
      <c r="E723" s="1962"/>
      <c r="F723" s="1962"/>
      <c r="G723" s="814"/>
      <c r="H723" s="837"/>
      <c r="I723" s="1825"/>
      <c r="J723" s="837"/>
      <c r="K723" s="837"/>
    </row>
    <row r="724" spans="1:11">
      <c r="A724" s="790"/>
      <c r="B724" s="790"/>
      <c r="C724" s="790"/>
      <c r="D724" s="1962"/>
      <c r="E724" s="1962"/>
      <c r="F724" s="1962"/>
      <c r="G724" s="814"/>
      <c r="H724" s="837"/>
      <c r="I724" s="1825"/>
      <c r="J724" s="837"/>
      <c r="K724" s="837"/>
    </row>
    <row r="725" spans="1:11">
      <c r="A725" s="790"/>
      <c r="B725" s="790"/>
      <c r="C725" s="790"/>
      <c r="D725" s="1962"/>
      <c r="E725" s="1962"/>
      <c r="F725" s="1962"/>
      <c r="G725" s="814"/>
      <c r="H725" s="837"/>
      <c r="I725" s="1825"/>
      <c r="J725" s="837"/>
      <c r="K725" s="837"/>
    </row>
    <row r="726" spans="1:11">
      <c r="A726" s="790"/>
      <c r="B726" s="790"/>
      <c r="C726" s="790"/>
      <c r="D726" s="1962"/>
      <c r="E726" s="1962"/>
      <c r="F726" s="1962"/>
      <c r="G726" s="814"/>
      <c r="H726" s="837"/>
      <c r="I726" s="1825"/>
      <c r="J726" s="837"/>
      <c r="K726" s="837"/>
    </row>
    <row r="727" spans="1:11">
      <c r="A727" s="790"/>
      <c r="B727" s="790"/>
      <c r="C727" s="790"/>
      <c r="D727" s="1962"/>
      <c r="E727" s="1962"/>
      <c r="F727" s="1962"/>
      <c r="G727" s="814"/>
      <c r="H727" s="837"/>
      <c r="I727" s="1825"/>
      <c r="J727" s="837"/>
      <c r="K727" s="837"/>
    </row>
    <row r="728" spans="1:11">
      <c r="A728" s="790"/>
      <c r="B728" s="790"/>
      <c r="C728" s="790"/>
      <c r="D728" s="1962"/>
      <c r="E728" s="1962"/>
      <c r="F728" s="1962"/>
      <c r="G728" s="814"/>
      <c r="H728" s="837"/>
      <c r="I728" s="1825"/>
      <c r="J728" s="837"/>
      <c r="K728" s="837"/>
    </row>
    <row r="729" spans="1:11">
      <c r="A729" s="790"/>
      <c r="B729" s="790"/>
      <c r="C729" s="790"/>
      <c r="D729" s="1890" t="s">
        <v>1219</v>
      </c>
      <c r="E729" s="1890"/>
      <c r="F729" s="1890"/>
      <c r="G729" s="814"/>
      <c r="H729" s="837"/>
      <c r="I729" s="1825"/>
      <c r="J729" s="837"/>
      <c r="K729" s="837"/>
    </row>
    <row r="730" spans="1:11">
      <c r="A730" s="790"/>
      <c r="B730" s="790"/>
      <c r="C730" s="790"/>
      <c r="D730" s="777"/>
      <c r="G730" s="814"/>
      <c r="H730" s="837"/>
      <c r="I730" s="1825"/>
      <c r="J730" s="837"/>
      <c r="K730" s="837"/>
    </row>
    <row r="731" spans="1:11">
      <c r="A731" s="1883" t="s">
        <v>1176</v>
      </c>
      <c r="B731" s="1883"/>
      <c r="C731" s="1883"/>
      <c r="D731" s="1883"/>
      <c r="E731" s="1883"/>
      <c r="F731" s="1883"/>
      <c r="G731" s="1883"/>
      <c r="H731" s="1839"/>
      <c r="I731" s="1840"/>
      <c r="J731" s="837"/>
      <c r="K731" s="837"/>
    </row>
    <row r="732" spans="1:11">
      <c r="A732" s="790"/>
      <c r="B732" s="790"/>
      <c r="C732" s="790"/>
      <c r="D732" s="817"/>
      <c r="G732" s="842"/>
      <c r="H732" s="837"/>
      <c r="I732" s="1825"/>
      <c r="J732" s="837"/>
      <c r="K732" s="837"/>
    </row>
    <row r="733" spans="1:11" ht="13.8" customHeight="1">
      <c r="C733" s="790"/>
      <c r="D733" s="1955" t="s">
        <v>1192</v>
      </c>
      <c r="E733" s="1955"/>
      <c r="F733" s="1955"/>
      <c r="G733" s="842"/>
      <c r="H733" s="837"/>
      <c r="I733" s="1825"/>
      <c r="J733" s="837"/>
      <c r="K733" s="837"/>
    </row>
    <row r="734" spans="1:11">
      <c r="A734" s="790"/>
      <c r="B734" s="790"/>
      <c r="C734" s="790"/>
      <c r="D734" s="1896" t="s">
        <v>1193</v>
      </c>
      <c r="E734" s="1896"/>
      <c r="F734" s="1896"/>
      <c r="G734" s="842"/>
      <c r="H734" s="837"/>
      <c r="I734" s="1825"/>
      <c r="J734" s="837"/>
      <c r="K734" s="837"/>
    </row>
    <row r="735" spans="1:11">
      <c r="A735" s="790"/>
      <c r="B735" s="790"/>
      <c r="C735" s="790"/>
      <c r="G735" s="842"/>
      <c r="H735" s="837"/>
      <c r="I735" s="1825"/>
      <c r="J735" s="837"/>
      <c r="K735" s="837"/>
    </row>
    <row r="736" spans="1:11" s="786" customFormat="1" ht="14.4">
      <c r="A736" s="792"/>
      <c r="B736" s="793" t="s">
        <v>2621</v>
      </c>
      <c r="C736" s="783"/>
      <c r="D736" s="1917" t="s">
        <v>1194</v>
      </c>
      <c r="E736" s="1917"/>
      <c r="F736" s="1917"/>
      <c r="G736" s="842"/>
      <c r="H736" s="840"/>
      <c r="I736" s="1826" t="s">
        <v>2450</v>
      </c>
      <c r="J736" s="840"/>
      <c r="K736" s="840"/>
    </row>
    <row r="737" spans="1:11" s="786" customFormat="1" ht="10.5" customHeight="1">
      <c r="A737" s="783"/>
      <c r="B737" s="783"/>
      <c r="C737" s="783"/>
      <c r="D737" s="1917"/>
      <c r="E737" s="1917"/>
      <c r="F737" s="1917"/>
      <c r="G737" s="842"/>
      <c r="H737" s="840"/>
      <c r="I737" s="1826"/>
      <c r="J737" s="840"/>
      <c r="K737" s="840"/>
    </row>
    <row r="738" spans="1:11" s="786" customFormat="1">
      <c r="A738" s="783"/>
      <c r="B738" s="783"/>
      <c r="C738" s="783"/>
      <c r="D738" s="1917"/>
      <c r="E738" s="1917"/>
      <c r="F738" s="1917"/>
      <c r="G738" s="842"/>
      <c r="H738" s="840"/>
      <c r="I738" s="1826"/>
      <c r="J738" s="840"/>
      <c r="K738" s="840"/>
    </row>
    <row r="739" spans="1:11">
      <c r="D739" s="1917"/>
      <c r="E739" s="1917"/>
      <c r="F739" s="1917"/>
      <c r="G739" s="842"/>
      <c r="H739" s="837"/>
      <c r="I739" s="1825"/>
      <c r="J739" s="837"/>
      <c r="K739" s="837"/>
    </row>
    <row r="740" spans="1:11">
      <c r="A740" s="796"/>
      <c r="B740" s="796"/>
      <c r="C740" s="796"/>
      <c r="D740" s="1917"/>
      <c r="E740" s="1917"/>
      <c r="F740" s="1917"/>
      <c r="G740" s="843"/>
      <c r="H740" s="837"/>
      <c r="I740" s="1825"/>
      <c r="J740" s="837"/>
      <c r="K740" s="837"/>
    </row>
    <row r="741" spans="1:11" ht="15.75" customHeight="1">
      <c r="A741" s="796"/>
      <c r="B741" s="796"/>
      <c r="C741" s="796"/>
      <c r="D741" s="1917"/>
      <c r="E741" s="1917"/>
      <c r="F741" s="1917"/>
      <c r="G741" s="843"/>
      <c r="H741" s="837"/>
      <c r="I741" s="1825"/>
      <c r="J741" s="837"/>
      <c r="K741" s="837"/>
    </row>
    <row r="742" spans="1:11">
      <c r="A742" s="796"/>
      <c r="B742" s="796"/>
      <c r="C742" s="796"/>
      <c r="D742" s="832"/>
      <c r="E742" s="844"/>
      <c r="F742" s="844"/>
      <c r="G742" s="843"/>
      <c r="H742" s="837"/>
      <c r="I742" s="1825"/>
      <c r="J742" s="837"/>
      <c r="K742" s="837"/>
    </row>
    <row r="743" spans="1:11" s="848" customFormat="1" ht="14.4">
      <c r="A743" s="845"/>
      <c r="B743" s="793" t="s">
        <v>2621</v>
      </c>
      <c r="C743" s="846"/>
      <c r="D743" s="1874" t="s">
        <v>1457</v>
      </c>
      <c r="E743" s="1874"/>
      <c r="F743" s="1874"/>
      <c r="G743" s="847"/>
      <c r="I743" s="1827" t="s">
        <v>2450</v>
      </c>
    </row>
    <row r="744" spans="1:11" s="848" customFormat="1">
      <c r="A744" s="846"/>
      <c r="B744" s="846"/>
      <c r="C744" s="846"/>
      <c r="D744" s="1874"/>
      <c r="E744" s="1874"/>
      <c r="F744" s="1874"/>
      <c r="G744" s="847"/>
      <c r="I744" s="1827"/>
    </row>
    <row r="745" spans="1:11" s="848" customFormat="1">
      <c r="A745" s="846"/>
      <c r="B745" s="846"/>
      <c r="C745" s="846"/>
      <c r="D745" s="1874"/>
      <c r="E745" s="1874"/>
      <c r="F745" s="1874"/>
      <c r="G745" s="847"/>
      <c r="I745" s="1827"/>
    </row>
    <row r="746" spans="1:11" s="848" customFormat="1">
      <c r="A746" s="846"/>
      <c r="B746" s="846"/>
      <c r="C746" s="846"/>
      <c r="D746" s="1874"/>
      <c r="E746" s="1874"/>
      <c r="F746" s="1874"/>
      <c r="G746" s="847"/>
      <c r="I746" s="1827"/>
    </row>
    <row r="747" spans="1:11" s="848" customFormat="1">
      <c r="A747" s="846"/>
      <c r="B747" s="846"/>
      <c r="C747" s="846"/>
      <c r="D747" s="832"/>
      <c r="E747" s="847"/>
      <c r="F747" s="847"/>
      <c r="G747" s="847"/>
      <c r="I747" s="1827"/>
    </row>
    <row r="748" spans="1:11" s="848" customFormat="1" ht="14.4">
      <c r="A748" s="792"/>
      <c r="B748" s="793" t="s">
        <v>2516</v>
      </c>
      <c r="C748" s="846"/>
      <c r="D748" s="1969" t="s">
        <v>1458</v>
      </c>
      <c r="E748" s="1969"/>
      <c r="F748" s="1969"/>
      <c r="G748" s="847"/>
      <c r="I748" s="1827" t="s">
        <v>2451</v>
      </c>
    </row>
    <row r="749" spans="1:11" s="848" customFormat="1">
      <c r="A749" s="846"/>
      <c r="B749" s="846"/>
      <c r="C749" s="846"/>
      <c r="D749" s="1969"/>
      <c r="E749" s="1969"/>
      <c r="F749" s="1969"/>
      <c r="G749" s="847"/>
      <c r="I749" s="1827"/>
    </row>
    <row r="750" spans="1:11" s="848" customFormat="1">
      <c r="A750" s="846"/>
      <c r="B750" s="846"/>
      <c r="C750" s="846"/>
      <c r="D750" s="1969"/>
      <c r="E750" s="1969"/>
      <c r="F750" s="1969"/>
      <c r="G750" s="847"/>
      <c r="I750" s="1827"/>
    </row>
    <row r="751" spans="1:11">
      <c r="A751" s="796"/>
      <c r="B751" s="796"/>
      <c r="C751" s="796"/>
      <c r="D751" s="832"/>
      <c r="E751" s="844"/>
      <c r="F751" s="844"/>
      <c r="G751" s="843"/>
      <c r="H751" s="837"/>
      <c r="I751" s="1825"/>
      <c r="J751" s="837"/>
      <c r="K751" s="837"/>
    </row>
    <row r="752" spans="1:11" ht="14.4">
      <c r="A752" s="792"/>
      <c r="B752" s="793" t="s">
        <v>2516</v>
      </c>
      <c r="C752" s="796"/>
      <c r="D752" s="1874" t="s">
        <v>1401</v>
      </c>
      <c r="E752" s="1874"/>
      <c r="F752" s="1874"/>
      <c r="G752" s="843"/>
      <c r="H752" s="837"/>
      <c r="I752" s="1825" t="s">
        <v>2450</v>
      </c>
      <c r="J752" s="837"/>
      <c r="K752" s="837"/>
    </row>
    <row r="753" spans="1:11">
      <c r="A753" s="796"/>
      <c r="B753" s="796"/>
      <c r="C753" s="796"/>
      <c r="D753" s="1874"/>
      <c r="E753" s="1874"/>
      <c r="F753" s="1874"/>
      <c r="G753" s="843"/>
      <c r="H753" s="837"/>
      <c r="I753" s="1825"/>
      <c r="J753" s="837"/>
      <c r="K753" s="837"/>
    </row>
    <row r="754" spans="1:11">
      <c r="A754" s="796"/>
      <c r="B754" s="796"/>
      <c r="C754" s="796"/>
      <c r="D754" s="776"/>
      <c r="E754" s="776"/>
      <c r="F754" s="776"/>
      <c r="G754" s="843"/>
      <c r="H754" s="837"/>
      <c r="I754" s="1825"/>
      <c r="J754" s="837"/>
      <c r="K754" s="837"/>
    </row>
    <row r="755" spans="1:11">
      <c r="A755" s="796"/>
      <c r="B755" s="793" t="s">
        <v>2516</v>
      </c>
      <c r="C755" s="796"/>
      <c r="D755" s="1874" t="s">
        <v>1423</v>
      </c>
      <c r="E755" s="1874"/>
      <c r="F755" s="1874"/>
      <c r="G755" s="843"/>
      <c r="H755" s="837"/>
      <c r="I755" s="1825" t="s">
        <v>2450</v>
      </c>
      <c r="J755" s="837"/>
      <c r="K755" s="837"/>
    </row>
    <row r="756" spans="1:11">
      <c r="A756" s="796"/>
      <c r="B756" s="796"/>
      <c r="C756" s="796"/>
      <c r="D756" s="1874"/>
      <c r="E756" s="1874"/>
      <c r="F756" s="1874"/>
      <c r="G756" s="843"/>
      <c r="H756" s="837"/>
      <c r="I756" s="1825"/>
      <c r="J756" s="837"/>
      <c r="K756" s="837"/>
    </row>
    <row r="757" spans="1:11">
      <c r="A757" s="796"/>
      <c r="B757" s="796"/>
      <c r="C757" s="796"/>
      <c r="D757" s="1874"/>
      <c r="E757" s="1874"/>
      <c r="F757" s="1874"/>
      <c r="G757" s="843"/>
      <c r="H757" s="837"/>
      <c r="I757" s="1825"/>
      <c r="J757" s="837"/>
      <c r="K757" s="837"/>
    </row>
    <row r="758" spans="1:11">
      <c r="A758" s="796"/>
      <c r="B758" s="796"/>
      <c r="C758" s="796"/>
      <c r="D758" s="776"/>
      <c r="E758" s="776"/>
      <c r="F758" s="776"/>
      <c r="G758" s="843"/>
      <c r="H758" s="837"/>
      <c r="I758" s="1825"/>
      <c r="J758" s="837"/>
      <c r="K758" s="837"/>
    </row>
    <row r="759" spans="1:11">
      <c r="A759" s="1966" t="s">
        <v>2319</v>
      </c>
      <c r="B759" s="1966"/>
      <c r="C759" s="1966"/>
      <c r="D759" s="1966"/>
      <c r="E759" s="1966"/>
      <c r="F759" s="1966"/>
      <c r="G759" s="1966"/>
      <c r="H759" s="1837"/>
      <c r="I759" s="1838"/>
    </row>
    <row r="760" spans="1:11">
      <c r="A760" s="93"/>
      <c r="B760" s="93"/>
      <c r="C760" s="1716"/>
      <c r="D760" s="155"/>
      <c r="E760" s="155"/>
      <c r="F760" s="155"/>
      <c r="G760" s="681"/>
    </row>
    <row r="761" spans="1:11">
      <c r="A761" s="93"/>
      <c r="B761" s="93"/>
      <c r="C761" s="1716"/>
      <c r="D761" s="1967" t="s">
        <v>2378</v>
      </c>
      <c r="E761" s="1967"/>
      <c r="F761" s="1967"/>
      <c r="G761" s="681"/>
    </row>
    <row r="762" spans="1:11">
      <c r="A762" s="93"/>
      <c r="B762" s="93"/>
      <c r="C762" s="1716"/>
      <c r="D762" s="1981" t="s">
        <v>2264</v>
      </c>
      <c r="E762" s="1981"/>
      <c r="F762" s="1981"/>
      <c r="G762" s="681"/>
    </row>
    <row r="763" spans="1:11">
      <c r="A763" s="93"/>
      <c r="B763" s="93"/>
      <c r="C763" s="1716"/>
      <c r="D763" s="728"/>
      <c r="E763" s="728"/>
      <c r="F763" s="728"/>
      <c r="G763" s="681"/>
    </row>
    <row r="764" spans="1:11">
      <c r="A764" s="93"/>
      <c r="B764" s="793" t="s">
        <v>2621</v>
      </c>
      <c r="C764" s="1716"/>
      <c r="D764" s="1901" t="s">
        <v>2265</v>
      </c>
      <c r="E764" s="1901"/>
      <c r="F764" s="1901"/>
      <c r="G764" s="681"/>
      <c r="I764" s="1825" t="s">
        <v>2502</v>
      </c>
    </row>
    <row r="765" spans="1:11">
      <c r="A765" s="93"/>
      <c r="B765" s="93"/>
      <c r="C765" s="1716"/>
      <c r="D765" s="1901"/>
      <c r="E765" s="1901"/>
      <c r="F765" s="1901"/>
      <c r="G765" s="681"/>
    </row>
    <row r="766" spans="1:11">
      <c r="A766" s="715"/>
      <c r="B766" s="715"/>
      <c r="C766" s="313"/>
      <c r="D766" s="1901"/>
      <c r="E766" s="1901"/>
      <c r="F766" s="1901"/>
      <c r="G766" s="1717"/>
    </row>
    <row r="767" spans="1:11">
      <c r="A767" s="1710"/>
      <c r="B767" s="1710"/>
      <c r="C767" s="1718"/>
      <c r="D767" s="1694"/>
      <c r="E767" s="681"/>
      <c r="F767" s="681"/>
      <c r="G767" s="681"/>
    </row>
    <row r="768" spans="1:11">
      <c r="A768" s="267"/>
      <c r="B768" s="793" t="s">
        <v>2516</v>
      </c>
      <c r="C768" s="1719"/>
      <c r="D768" s="1901" t="s">
        <v>2266</v>
      </c>
      <c r="E768" s="1901"/>
      <c r="F768" s="1901"/>
      <c r="G768" s="681"/>
      <c r="I768" s="1825" t="s">
        <v>2502</v>
      </c>
    </row>
    <row r="769" spans="1:9">
      <c r="A769" s="1720"/>
      <c r="B769" s="1720"/>
      <c r="C769" s="1721"/>
      <c r="D769" s="1901"/>
      <c r="E769" s="1901"/>
      <c r="F769" s="1901"/>
      <c r="G769" s="681"/>
    </row>
    <row r="770" spans="1:9">
      <c r="A770" s="267"/>
      <c r="B770" s="267"/>
      <c r="C770" s="1719"/>
      <c r="D770" s="1901"/>
      <c r="E770" s="1901"/>
      <c r="F770" s="1901"/>
      <c r="G770" s="681"/>
    </row>
    <row r="771" spans="1:9">
      <c r="A771" s="715"/>
      <c r="B771" s="715"/>
      <c r="C771" s="313"/>
      <c r="D771" s="6"/>
      <c r="E771" s="1722"/>
      <c r="F771" s="1722"/>
      <c r="G771" s="1723"/>
    </row>
    <row r="772" spans="1:9" ht="14.4">
      <c r="A772" s="709"/>
      <c r="B772" s="793" t="s">
        <v>2516</v>
      </c>
      <c r="C772" s="1724"/>
      <c r="D772" s="1901" t="s">
        <v>2267</v>
      </c>
      <c r="E772" s="1901"/>
      <c r="F772" s="1901"/>
      <c r="G772" s="1723"/>
      <c r="I772" s="1825" t="s">
        <v>2502</v>
      </c>
    </row>
    <row r="773" spans="1:9" ht="14.4">
      <c r="A773" s="709"/>
      <c r="B773" s="709"/>
      <c r="C773" s="1724"/>
      <c r="D773" s="1901"/>
      <c r="E773" s="1901"/>
      <c r="F773" s="1901"/>
      <c r="G773" s="1723"/>
    </row>
    <row r="774" spans="1:9" ht="14.4">
      <c r="A774" s="709"/>
      <c r="B774" s="709"/>
      <c r="C774" s="1724"/>
      <c r="D774" s="1901"/>
      <c r="E774" s="1901"/>
      <c r="F774" s="1901"/>
      <c r="G774" s="1723"/>
    </row>
    <row r="775" spans="1:9" ht="14.4">
      <c r="A775" s="709"/>
      <c r="B775" s="709"/>
      <c r="C775" s="1724"/>
      <c r="D775" s="1692"/>
      <c r="E775" s="6"/>
      <c r="F775" s="6"/>
      <c r="G775" s="1723"/>
    </row>
    <row r="776" spans="1:9" ht="14.4">
      <c r="A776" s="709"/>
      <c r="B776" s="793" t="s">
        <v>2516</v>
      </c>
      <c r="C776" s="1724"/>
      <c r="D776" s="1901" t="s">
        <v>2268</v>
      </c>
      <c r="E776" s="1901"/>
      <c r="F776" s="1901"/>
      <c r="G776" s="1723"/>
      <c r="I776" s="1825" t="s">
        <v>2502</v>
      </c>
    </row>
    <row r="777" spans="1:9" ht="14.4">
      <c r="A777" s="709"/>
      <c r="B777" s="709"/>
      <c r="C777" s="1724"/>
      <c r="D777" s="1901"/>
      <c r="E777" s="1901"/>
      <c r="F777" s="1901"/>
      <c r="G777" s="1723"/>
    </row>
    <row r="778" spans="1:9" ht="14.4">
      <c r="A778" s="709"/>
      <c r="B778" s="709"/>
      <c r="C778" s="1724"/>
      <c r="D778" s="1901"/>
      <c r="E778" s="1901"/>
      <c r="F778" s="1901"/>
      <c r="G778" s="1723"/>
    </row>
    <row r="779" spans="1:9" ht="14.4">
      <c r="A779" s="709"/>
      <c r="B779" s="709"/>
      <c r="C779" s="1724"/>
      <c r="D779" s="1901"/>
      <c r="E779" s="1901"/>
      <c r="F779" s="1901"/>
      <c r="G779" s="1723"/>
    </row>
    <row r="780" spans="1:9" ht="14.4">
      <c r="A780" s="709"/>
      <c r="B780" s="709"/>
      <c r="C780" s="1724"/>
      <c r="D780" s="1901"/>
      <c r="E780" s="1901"/>
      <c r="F780" s="1901"/>
      <c r="G780" s="1723"/>
    </row>
    <row r="781" spans="1:9" ht="14.4">
      <c r="A781" s="709"/>
      <c r="B781" s="709"/>
      <c r="C781" s="1724"/>
      <c r="D781" s="1901"/>
      <c r="E781" s="1901"/>
      <c r="F781" s="1901"/>
      <c r="G781" s="1723"/>
    </row>
    <row r="782" spans="1:9" ht="14.4">
      <c r="A782" s="709"/>
      <c r="B782" s="709"/>
      <c r="C782" s="1724"/>
      <c r="D782" s="1901" t="s">
        <v>2320</v>
      </c>
      <c r="E782" s="1901"/>
      <c r="F782" s="1901"/>
      <c r="G782" s="1723"/>
    </row>
    <row r="783" spans="1:9" ht="14.4">
      <c r="A783" s="709"/>
      <c r="B783" s="709"/>
      <c r="C783" s="1724"/>
      <c r="D783" s="1901"/>
      <c r="E783" s="1901"/>
      <c r="F783" s="1901"/>
      <c r="G783" s="1723"/>
    </row>
    <row r="784" spans="1:9" ht="14.4">
      <c r="A784" s="709"/>
      <c r="B784" s="709"/>
      <c r="C784" s="1724"/>
      <c r="D784" s="1901"/>
      <c r="E784" s="1901"/>
      <c r="F784" s="1901"/>
      <c r="G784" s="1723"/>
    </row>
    <row r="785" spans="1:9" ht="14.4">
      <c r="A785" s="709"/>
      <c r="B785" s="551"/>
      <c r="C785" s="1724"/>
      <c r="D785" s="1725"/>
      <c r="E785" s="1725"/>
      <c r="F785" s="1725"/>
      <c r="G785" s="1723"/>
    </row>
    <row r="786" spans="1:9" ht="14.4">
      <c r="A786" s="709"/>
      <c r="B786" s="793" t="s">
        <v>2516</v>
      </c>
      <c r="C786" s="1724"/>
      <c r="D786" s="1901" t="s">
        <v>2269</v>
      </c>
      <c r="E786" s="1901"/>
      <c r="F786" s="1901"/>
      <c r="G786" s="1723"/>
      <c r="I786" s="1825" t="s">
        <v>2502</v>
      </c>
    </row>
    <row r="787" spans="1:9" ht="14.4">
      <c r="A787" s="709"/>
      <c r="B787" s="709"/>
      <c r="C787" s="1724"/>
      <c r="D787" s="1901"/>
      <c r="E787" s="1901"/>
      <c r="F787" s="1901"/>
      <c r="G787" s="1723"/>
    </row>
    <row r="788" spans="1:9" ht="14.4">
      <c r="A788" s="709"/>
      <c r="B788" s="709"/>
      <c r="C788" s="1724"/>
      <c r="D788" s="1901"/>
      <c r="E788" s="1901"/>
      <c r="F788" s="1901"/>
      <c r="G788" s="1723"/>
    </row>
    <row r="789" spans="1:9" ht="14.4">
      <c r="A789" s="709"/>
      <c r="B789" s="709"/>
      <c r="C789" s="1724"/>
      <c r="D789" s="1901"/>
      <c r="E789" s="1901"/>
      <c r="F789" s="1901"/>
      <c r="G789" s="1723"/>
    </row>
    <row r="790" spans="1:9" ht="14.4">
      <c r="A790" s="709"/>
      <c r="B790" s="709"/>
      <c r="C790" s="1724"/>
      <c r="D790" s="1901"/>
      <c r="E790" s="1901"/>
      <c r="F790" s="1901"/>
      <c r="G790" s="1723"/>
    </row>
    <row r="791" spans="1:9" ht="14.4">
      <c r="A791" s="709"/>
      <c r="B791" s="709"/>
      <c r="C791" s="1724"/>
      <c r="D791" s="1901"/>
      <c r="E791" s="1901"/>
      <c r="F791" s="1901"/>
      <c r="G791" s="1723"/>
    </row>
    <row r="792" spans="1:9" ht="14.4">
      <c r="A792" s="709"/>
      <c r="B792" s="709"/>
      <c r="C792" s="1724"/>
      <c r="D792" s="1701"/>
      <c r="E792" s="1701"/>
      <c r="F792" s="1701"/>
      <c r="G792" s="1723"/>
    </row>
    <row r="793" spans="1:9" ht="14.4">
      <c r="A793" s="709"/>
      <c r="B793" s="793" t="s">
        <v>2516</v>
      </c>
      <c r="C793" s="1724"/>
      <c r="D793" s="1901" t="s">
        <v>2270</v>
      </c>
      <c r="E793" s="1901"/>
      <c r="F793" s="1901"/>
      <c r="G793" s="1723"/>
      <c r="I793" s="1825" t="s">
        <v>2502</v>
      </c>
    </row>
    <row r="794" spans="1:9" ht="14.4">
      <c r="A794" s="709"/>
      <c r="B794" s="709"/>
      <c r="C794" s="1724"/>
      <c r="D794" s="1901"/>
      <c r="E794" s="1901"/>
      <c r="F794" s="1901"/>
      <c r="G794" s="1723"/>
    </row>
    <row r="795" spans="1:9" ht="14.4">
      <c r="A795" s="709"/>
      <c r="B795" s="709"/>
      <c r="C795" s="1724"/>
      <c r="D795" s="1901"/>
      <c r="E795" s="1901"/>
      <c r="F795" s="1901"/>
      <c r="G795" s="1723"/>
    </row>
    <row r="796" spans="1:9" ht="14.4">
      <c r="A796" s="709"/>
      <c r="B796" s="709"/>
      <c r="C796" s="1724"/>
      <c r="D796" s="1901"/>
      <c r="E796" s="1901"/>
      <c r="F796" s="1901"/>
      <c r="G796" s="1723"/>
    </row>
    <row r="797" spans="1:9" ht="14.4">
      <c r="A797" s="709"/>
      <c r="B797" s="709"/>
      <c r="C797" s="1724"/>
      <c r="D797" s="1901"/>
      <c r="E797" s="1901"/>
      <c r="F797" s="1901"/>
      <c r="G797" s="1723"/>
    </row>
    <row r="798" spans="1:9" ht="14.4">
      <c r="A798" s="709"/>
      <c r="B798" s="709"/>
      <c r="C798" s="1724"/>
      <c r="D798" s="1901"/>
      <c r="E798" s="1901"/>
      <c r="F798" s="1901"/>
      <c r="G798" s="1723"/>
    </row>
    <row r="799" spans="1:9" ht="14.4">
      <c r="A799" s="709"/>
      <c r="B799" s="709"/>
      <c r="C799" s="1724"/>
      <c r="D799" s="1701"/>
      <c r="E799" s="1701"/>
      <c r="F799" s="1701"/>
      <c r="G799" s="1723"/>
    </row>
    <row r="800" spans="1:9" ht="14.4">
      <c r="A800" s="709"/>
      <c r="B800" s="793" t="s">
        <v>2516</v>
      </c>
      <c r="C800" s="1724"/>
      <c r="D800" s="1914" t="s">
        <v>2271</v>
      </c>
      <c r="E800" s="1914"/>
      <c r="F800" s="1914"/>
      <c r="G800" s="1723"/>
      <c r="I800" s="1825" t="s">
        <v>2502</v>
      </c>
    </row>
    <row r="801" spans="1:9" ht="14.4">
      <c r="A801" s="709"/>
      <c r="B801" s="709"/>
      <c r="C801" s="1724"/>
      <c r="D801" s="1914"/>
      <c r="E801" s="1914"/>
      <c r="F801" s="1914"/>
      <c r="G801" s="1723"/>
    </row>
    <row r="802" spans="1:9">
      <c r="A802" s="1709"/>
      <c r="B802" s="1709"/>
      <c r="C802" s="1724"/>
      <c r="D802" s="1914"/>
      <c r="E802" s="1914"/>
      <c r="F802" s="1914"/>
      <c r="G802" s="1723"/>
    </row>
    <row r="803" spans="1:9" ht="14.4">
      <c r="A803" s="709"/>
      <c r="B803" s="1709"/>
      <c r="C803" s="1724"/>
      <c r="D803" s="1914"/>
      <c r="E803" s="1914"/>
      <c r="F803" s="1914"/>
      <c r="G803" s="1723"/>
    </row>
    <row r="804" spans="1:9" ht="12.75" customHeight="1">
      <c r="A804" s="709"/>
      <c r="B804" s="1709"/>
      <c r="C804" s="1724"/>
      <c r="D804" s="1914"/>
      <c r="E804" s="1914"/>
      <c r="F804" s="1914"/>
      <c r="G804" s="1723"/>
    </row>
    <row r="805" spans="1:9" ht="12.75" customHeight="1">
      <c r="A805" s="709"/>
      <c r="B805" s="1709"/>
      <c r="C805" s="1724"/>
      <c r="D805" s="1914"/>
      <c r="E805" s="1914"/>
      <c r="F805" s="1914"/>
      <c r="G805" s="1723"/>
    </row>
    <row r="806" spans="1:9" ht="12.75" customHeight="1">
      <c r="A806" s="1709"/>
      <c r="B806" s="1709"/>
      <c r="C806" s="1724"/>
      <c r="D806" s="1722"/>
      <c r="E806" s="6"/>
      <c r="F806" s="6"/>
      <c r="G806" s="1723"/>
    </row>
    <row r="807" spans="1:9" ht="12.75" customHeight="1">
      <c r="A807" s="1891" t="s">
        <v>2272</v>
      </c>
      <c r="B807" s="1891"/>
      <c r="C807" s="1891"/>
      <c r="D807" s="1891"/>
      <c r="E807" s="1891"/>
      <c r="F807" s="1891"/>
      <c r="G807" s="1891"/>
      <c r="H807" s="1837"/>
      <c r="I807" s="1838"/>
    </row>
    <row r="808" spans="1:9" ht="12.75" customHeight="1">
      <c r="A808" s="1698"/>
      <c r="B808" s="1698"/>
      <c r="C808" s="1724"/>
      <c r="D808" s="1722"/>
      <c r="E808" s="1722"/>
      <c r="F808" s="1722"/>
      <c r="G808" s="1723"/>
    </row>
    <row r="809" spans="1:9" ht="12.75" customHeight="1">
      <c r="A809" s="709"/>
      <c r="B809" s="709"/>
      <c r="C809" s="551"/>
      <c r="D809" s="1898" t="s">
        <v>2321</v>
      </c>
      <c r="E809" s="1898"/>
      <c r="F809" s="1898"/>
      <c r="G809" s="673"/>
    </row>
    <row r="810" spans="1:9" ht="14.25" customHeight="1">
      <c r="A810" s="709"/>
      <c r="B810" s="709"/>
      <c r="C810" s="551"/>
      <c r="D810" s="1856" t="s">
        <v>2273</v>
      </c>
      <c r="E810" s="1856"/>
      <c r="F810" s="1856"/>
      <c r="G810" s="673"/>
    </row>
    <row r="811" spans="1:9" ht="12.75" customHeight="1">
      <c r="A811" s="709"/>
      <c r="B811" s="709"/>
      <c r="C811" s="551"/>
      <c r="D811" s="1687"/>
      <c r="E811" s="1687"/>
      <c r="F811" s="1687"/>
      <c r="G811" s="673"/>
    </row>
    <row r="812" spans="1:9" ht="12.75" customHeight="1">
      <c r="A812" s="1726"/>
      <c r="B812" s="793" t="s">
        <v>2621</v>
      </c>
      <c r="C812" s="1724"/>
      <c r="D812" s="1856" t="s">
        <v>2274</v>
      </c>
      <c r="E812" s="1856"/>
      <c r="F812" s="1856"/>
      <c r="G812" s="673"/>
      <c r="I812" s="1758" t="s">
        <v>2468</v>
      </c>
    </row>
    <row r="813" spans="1:9" ht="14.25" customHeight="1">
      <c r="A813" s="1709"/>
      <c r="B813" s="1709"/>
      <c r="C813" s="1724"/>
      <c r="D813" s="5" t="s">
        <v>2250</v>
      </c>
      <c r="E813" s="1860" t="s">
        <v>2275</v>
      </c>
      <c r="F813" s="1860"/>
      <c r="G813" s="673"/>
    </row>
    <row r="814" spans="1:9" ht="12.75" customHeight="1">
      <c r="A814" s="1709"/>
      <c r="B814" s="1709"/>
      <c r="C814" s="1724"/>
      <c r="D814" s="1727"/>
      <c r="E814" s="6"/>
      <c r="F814" s="6"/>
      <c r="G814" s="673"/>
    </row>
    <row r="815" spans="1:9" ht="14.25" hidden="1" customHeight="1">
      <c r="A815" s="1709"/>
      <c r="B815" s="793" t="s">
        <v>316</v>
      </c>
      <c r="C815" s="1724"/>
      <c r="D815" s="1986" t="s">
        <v>2276</v>
      </c>
      <c r="E815" s="1986"/>
      <c r="F815" s="1986"/>
      <c r="G815" s="673"/>
    </row>
    <row r="816" spans="1:9" ht="12.75" hidden="1" customHeight="1">
      <c r="A816" s="1709"/>
      <c r="B816" s="1709"/>
      <c r="C816" s="1724"/>
      <c r="D816" s="1986"/>
      <c r="E816" s="1986"/>
      <c r="F816" s="1986"/>
      <c r="G816" s="673"/>
    </row>
    <row r="817" spans="1:9" ht="12.75" hidden="1" customHeight="1">
      <c r="A817" s="1709"/>
      <c r="B817" s="1709"/>
      <c r="C817" s="1724"/>
      <c r="D817" s="1986"/>
      <c r="E817" s="1986"/>
      <c r="F817" s="1986"/>
      <c r="G817" s="673"/>
    </row>
    <row r="818" spans="1:9" ht="12.75" hidden="1" customHeight="1">
      <c r="A818" s="1709"/>
      <c r="B818" s="1709"/>
      <c r="C818" s="1724"/>
      <c r="D818" s="1986"/>
      <c r="E818" s="1986"/>
      <c r="F818" s="1986"/>
      <c r="G818" s="673"/>
    </row>
    <row r="819" spans="1:9" ht="12.75" hidden="1" customHeight="1">
      <c r="A819" s="1709"/>
      <c r="B819" s="1709"/>
      <c r="C819" s="1724"/>
      <c r="D819" s="1986"/>
      <c r="E819" s="1986"/>
      <c r="F819" s="1986"/>
      <c r="G819" s="673"/>
    </row>
    <row r="820" spans="1:9" ht="12.75" hidden="1" customHeight="1">
      <c r="A820" s="1709"/>
      <c r="B820" s="1709"/>
      <c r="C820" s="1724"/>
      <c r="D820" s="1986"/>
      <c r="E820" s="1986"/>
      <c r="F820" s="1986"/>
      <c r="G820" s="673"/>
    </row>
    <row r="821" spans="1:9" ht="12.75" hidden="1" customHeight="1">
      <c r="A821" s="1709"/>
      <c r="B821" s="1709"/>
      <c r="C821" s="1724"/>
      <c r="D821" s="1986"/>
      <c r="E821" s="1986"/>
      <c r="F821" s="1986"/>
      <c r="G821" s="673"/>
    </row>
    <row r="822" spans="1:9" ht="12.75" hidden="1" customHeight="1">
      <c r="A822" s="1709"/>
      <c r="B822" s="1709"/>
      <c r="C822" s="1724"/>
      <c r="D822" s="1986"/>
      <c r="E822" s="1986"/>
      <c r="F822" s="1986"/>
      <c r="G822" s="673"/>
    </row>
    <row r="823" spans="1:9" ht="12.75" hidden="1" customHeight="1">
      <c r="A823" s="1709"/>
      <c r="B823" s="1709"/>
      <c r="C823" s="1724"/>
      <c r="D823" s="1986"/>
      <c r="E823" s="1986"/>
      <c r="F823" s="1986"/>
      <c r="G823" s="673"/>
    </row>
    <row r="824" spans="1:9" ht="12.75" hidden="1" customHeight="1">
      <c r="A824" s="1709"/>
      <c r="B824" s="1709"/>
      <c r="C824" s="1724"/>
      <c r="D824" s="1986"/>
      <c r="E824" s="1986"/>
      <c r="F824" s="1986"/>
      <c r="G824" s="673"/>
    </row>
    <row r="825" spans="1:9" ht="12.75" hidden="1" customHeight="1">
      <c r="A825" s="1709"/>
      <c r="B825" s="1709"/>
      <c r="C825" s="1724"/>
      <c r="D825" s="1727"/>
      <c r="E825" s="6"/>
      <c r="F825" s="6"/>
      <c r="G825" s="673"/>
    </row>
    <row r="826" spans="1:9" ht="12.75" customHeight="1">
      <c r="A826" s="709"/>
      <c r="B826" s="793" t="s">
        <v>2621</v>
      </c>
      <c r="C826" s="1724"/>
      <c r="D826" s="1856" t="s">
        <v>2277</v>
      </c>
      <c r="E826" s="1856"/>
      <c r="F826" s="1856"/>
      <c r="G826" s="673"/>
      <c r="I826" s="1758" t="s">
        <v>2488</v>
      </c>
    </row>
    <row r="827" spans="1:9" ht="12.75" customHeight="1">
      <c r="A827" s="709"/>
      <c r="B827" s="709"/>
      <c r="C827" s="1724"/>
      <c r="D827" s="1856"/>
      <c r="E827" s="1856"/>
      <c r="F827" s="1856"/>
      <c r="G827" s="673"/>
    </row>
    <row r="828" spans="1:9" ht="12.75" customHeight="1">
      <c r="A828" s="709"/>
      <c r="B828" s="709"/>
      <c r="C828" s="1724"/>
      <c r="D828" s="1856"/>
      <c r="E828" s="1856"/>
      <c r="F828" s="1856"/>
      <c r="G828" s="673"/>
    </row>
    <row r="829" spans="1:9" ht="12.75" customHeight="1">
      <c r="A829" s="398"/>
      <c r="B829" s="398"/>
      <c r="C829" s="1728"/>
      <c r="D829" s="1705"/>
      <c r="E829" s="673"/>
      <c r="F829" s="673"/>
      <c r="G829" s="673"/>
    </row>
    <row r="830" spans="1:9" ht="12.75" customHeight="1">
      <c r="A830" s="1729"/>
      <c r="B830" s="793" t="s">
        <v>2516</v>
      </c>
      <c r="C830" s="1728"/>
      <c r="D830" s="1987" t="s">
        <v>2278</v>
      </c>
      <c r="E830" s="1987"/>
      <c r="F830" s="1987"/>
      <c r="G830" s="673"/>
    </row>
    <row r="831" spans="1:9" ht="12.75" customHeight="1">
      <c r="A831" s="551"/>
      <c r="B831" s="1729"/>
      <c r="C831" s="1728"/>
      <c r="D831" s="1987"/>
      <c r="E831" s="1987"/>
      <c r="F831" s="1987"/>
      <c r="G831" s="673"/>
    </row>
    <row r="832" spans="1:9" ht="12.75" customHeight="1">
      <c r="A832" s="398"/>
      <c r="B832" s="551"/>
      <c r="C832" s="1728"/>
      <c r="D832" s="1858" t="s">
        <v>2279</v>
      </c>
      <c r="E832" s="1858"/>
      <c r="F832" s="1858"/>
      <c r="G832" s="673"/>
    </row>
    <row r="833" spans="1:9" ht="12.75" customHeight="1">
      <c r="A833" s="398"/>
      <c r="B833" s="398"/>
      <c r="C833" s="1728"/>
      <c r="D833" s="1858"/>
      <c r="E833" s="1858"/>
      <c r="F833" s="1858"/>
      <c r="G833" s="673"/>
    </row>
    <row r="834" spans="1:9" ht="12.75" customHeight="1">
      <c r="A834" s="398"/>
      <c r="B834" s="398"/>
      <c r="C834" s="1728"/>
      <c r="D834" s="1858"/>
      <c r="E834" s="1858"/>
      <c r="F834" s="1858"/>
      <c r="G834" s="673"/>
    </row>
    <row r="835" spans="1:9" ht="12.75" customHeight="1">
      <c r="A835" s="398"/>
      <c r="B835" s="398"/>
      <c r="C835" s="1728"/>
      <c r="D835" s="1858"/>
      <c r="E835" s="1858"/>
      <c r="F835" s="1858"/>
      <c r="G835" s="673"/>
    </row>
    <row r="836" spans="1:9" ht="12.75" customHeight="1">
      <c r="A836" s="398"/>
      <c r="B836" s="398"/>
      <c r="C836" s="1728"/>
      <c r="D836" s="1858"/>
      <c r="E836" s="1858"/>
      <c r="F836" s="1858"/>
      <c r="G836" s="673"/>
    </row>
    <row r="837" spans="1:9" ht="12.75" customHeight="1">
      <c r="A837" s="398"/>
      <c r="B837" s="398"/>
      <c r="C837" s="1728"/>
      <c r="D837" s="1858"/>
      <c r="E837" s="1858"/>
      <c r="F837" s="1858"/>
      <c r="G837" s="673"/>
    </row>
    <row r="838" spans="1:9" ht="12.75" customHeight="1">
      <c r="A838" s="398"/>
      <c r="B838" s="398"/>
      <c r="C838" s="1728"/>
      <c r="D838" s="1705"/>
      <c r="E838" s="673"/>
      <c r="F838" s="673"/>
      <c r="G838" s="673"/>
    </row>
    <row r="839" spans="1:9" ht="12.75" customHeight="1">
      <c r="A839" s="398"/>
      <c r="B839" s="793" t="s">
        <v>2516</v>
      </c>
      <c r="C839" s="1728"/>
      <c r="D839" s="1858" t="s">
        <v>2280</v>
      </c>
      <c r="E839" s="1858"/>
      <c r="F839" s="1858"/>
      <c r="G839" s="673"/>
      <c r="I839" s="1758" t="s">
        <v>2469</v>
      </c>
    </row>
    <row r="840" spans="1:9" ht="12.75" customHeight="1">
      <c r="A840" s="398"/>
      <c r="B840" s="398"/>
      <c r="C840" s="1728"/>
      <c r="D840" s="1858" t="s">
        <v>2281</v>
      </c>
      <c r="E840" s="1858"/>
      <c r="F840" s="1858"/>
      <c r="G840" s="673"/>
    </row>
    <row r="841" spans="1:9" ht="12.75" customHeight="1">
      <c r="A841" s="398"/>
      <c r="B841" s="398"/>
      <c r="C841" s="1728"/>
      <c r="D841" s="183" t="s">
        <v>2247</v>
      </c>
      <c r="E841" s="1988" t="s">
        <v>2282</v>
      </c>
      <c r="F841" s="1988"/>
      <c r="G841" s="673"/>
    </row>
    <row r="842" spans="1:9" ht="12.75" customHeight="1">
      <c r="A842" s="398"/>
      <c r="B842" s="398"/>
      <c r="C842" s="1728"/>
      <c r="D842" s="1705"/>
      <c r="E842" s="673"/>
      <c r="F842" s="673"/>
      <c r="G842" s="673"/>
    </row>
    <row r="843" spans="1:9" ht="12.75" customHeight="1">
      <c r="A843" s="398"/>
      <c r="B843" s="793" t="s">
        <v>2516</v>
      </c>
      <c r="C843" s="1728"/>
      <c r="D843" s="1858" t="s">
        <v>2283</v>
      </c>
      <c r="E843" s="1858"/>
      <c r="F843" s="1858"/>
      <c r="G843" s="673"/>
      <c r="I843" s="1758" t="s">
        <v>2489</v>
      </c>
    </row>
    <row r="844" spans="1:9" ht="12.75" customHeight="1">
      <c r="A844" s="398"/>
      <c r="B844" s="398"/>
      <c r="C844" s="1728"/>
      <c r="D844" s="1858"/>
      <c r="E844" s="1858"/>
      <c r="F844" s="1858"/>
      <c r="G844" s="673"/>
    </row>
    <row r="845" spans="1:9" ht="12.75" customHeight="1">
      <c r="A845" s="398"/>
      <c r="B845" s="398"/>
      <c r="C845" s="1728"/>
      <c r="D845" s="1858"/>
      <c r="E845" s="1858"/>
      <c r="F845" s="1858"/>
      <c r="G845" s="673"/>
    </row>
    <row r="846" spans="1:9" ht="12.75" customHeight="1">
      <c r="A846" s="398"/>
      <c r="B846" s="398"/>
      <c r="C846" s="1728"/>
      <c r="D846" s="1858"/>
      <c r="E846" s="1858"/>
      <c r="F846" s="1858"/>
      <c r="G846" s="673"/>
    </row>
    <row r="847" spans="1:9" ht="12.75" customHeight="1">
      <c r="A847" s="1698"/>
      <c r="B847" s="1698"/>
      <c r="C847" s="1730"/>
      <c r="D847" s="1692"/>
      <c r="E847" s="6"/>
      <c r="F847" s="6"/>
      <c r="G847" s="673"/>
    </row>
    <row r="848" spans="1:9" ht="12.75" customHeight="1">
      <c r="A848" s="1704" t="s">
        <v>2284</v>
      </c>
      <c r="B848" s="1704"/>
      <c r="C848" s="1731"/>
      <c r="D848" s="1731"/>
      <c r="E848" s="1731"/>
      <c r="F848" s="1731"/>
      <c r="G848" s="1732"/>
      <c r="H848" s="1837"/>
      <c r="I848" s="1838"/>
    </row>
    <row r="849" spans="1:9" ht="12.75" customHeight="1">
      <c r="A849" s="1698"/>
      <c r="B849" s="1698"/>
      <c r="C849" s="1730"/>
      <c r="D849" s="1733"/>
      <c r="E849" s="6"/>
      <c r="F849" s="6"/>
      <c r="G849" s="673"/>
    </row>
    <row r="850" spans="1:9" ht="12.75" customHeight="1">
      <c r="A850" s="1726"/>
      <c r="B850" s="1726"/>
      <c r="C850" s="313"/>
      <c r="D850" s="1880" t="s">
        <v>2322</v>
      </c>
      <c r="E850" s="1880"/>
      <c r="F850" s="1880"/>
      <c r="G850" s="1723"/>
    </row>
    <row r="851" spans="1:9" ht="12.75" customHeight="1">
      <c r="A851" s="1726"/>
      <c r="B851" s="1726"/>
      <c r="C851" s="313"/>
      <c r="D851" s="1989" t="s">
        <v>2285</v>
      </c>
      <c r="E851" s="1989"/>
      <c r="F851" s="1989"/>
      <c r="G851" s="1723"/>
    </row>
    <row r="852" spans="1:9" ht="12.75" customHeight="1">
      <c r="A852" s="1726"/>
      <c r="B852" s="1726"/>
      <c r="C852" s="313"/>
      <c r="D852" s="1734"/>
      <c r="E852" s="1734"/>
      <c r="F852" s="1734"/>
      <c r="G852" s="1723"/>
    </row>
    <row r="853" spans="1:9" ht="12.75" customHeight="1">
      <c r="A853" s="709"/>
      <c r="B853" s="793" t="s">
        <v>2621</v>
      </c>
      <c r="C853" s="551"/>
      <c r="D853" s="1881" t="s">
        <v>2286</v>
      </c>
      <c r="E853" s="1881"/>
      <c r="F853" s="1881"/>
      <c r="G853" s="1723"/>
      <c r="I853" s="1758" t="s">
        <v>2469</v>
      </c>
    </row>
    <row r="854" spans="1:9" ht="12.75" customHeight="1">
      <c r="A854" s="1726"/>
      <c r="B854" s="1726"/>
      <c r="C854" s="551"/>
      <c r="D854" s="5" t="s">
        <v>2247</v>
      </c>
      <c r="E854" s="1991" t="s">
        <v>2282</v>
      </c>
      <c r="F854" s="1991"/>
      <c r="G854" s="1723"/>
    </row>
    <row r="855" spans="1:9" ht="12.75" customHeight="1">
      <c r="A855" s="1726"/>
      <c r="B855" s="1726"/>
      <c r="C855" s="551"/>
      <c r="D855" s="1692"/>
      <c r="E855" s="1722"/>
      <c r="F855" s="1722"/>
      <c r="G855" s="1723"/>
    </row>
    <row r="856" spans="1:9" ht="12.75" customHeight="1">
      <c r="A856" s="709"/>
      <c r="B856" s="793" t="s">
        <v>2621</v>
      </c>
      <c r="C856" s="551"/>
      <c r="D856" s="1856" t="s">
        <v>2287</v>
      </c>
      <c r="E856" s="1930"/>
      <c r="F856" s="1930"/>
      <c r="G856" s="673"/>
      <c r="I856" s="1758" t="s">
        <v>2489</v>
      </c>
    </row>
    <row r="857" spans="1:9" ht="12.75" customHeight="1">
      <c r="A857" s="1726"/>
      <c r="B857" s="1726"/>
      <c r="C857" s="551"/>
      <c r="D857" s="1930"/>
      <c r="E857" s="1930"/>
      <c r="F857" s="1930"/>
      <c r="G857" s="673"/>
    </row>
    <row r="858" spans="1:9" ht="12.75" customHeight="1">
      <c r="A858" s="1726"/>
      <c r="B858" s="1726"/>
      <c r="C858" s="551"/>
      <c r="D858" s="1692"/>
      <c r="E858" s="6"/>
      <c r="F858" s="6"/>
      <c r="G858" s="673"/>
    </row>
    <row r="859" spans="1:9" ht="12.75" customHeight="1">
      <c r="A859" s="551"/>
      <c r="B859" s="793" t="s">
        <v>2516</v>
      </c>
      <c r="C859" s="552"/>
      <c r="D859" s="1992" t="s">
        <v>2288</v>
      </c>
      <c r="E859" s="1992"/>
      <c r="F859" s="1992"/>
      <c r="G859" s="1723"/>
    </row>
    <row r="860" spans="1:9" ht="12.75" customHeight="1">
      <c r="A860" s="551"/>
      <c r="B860" s="1735"/>
      <c r="C860" s="552"/>
      <c r="D860" s="1992"/>
      <c r="E860" s="1992"/>
      <c r="F860" s="1992"/>
      <c r="G860" s="1723"/>
    </row>
    <row r="861" spans="1:9" ht="12.75" customHeight="1">
      <c r="A861" s="709"/>
      <c r="B861" s="672"/>
      <c r="C861" s="551"/>
      <c r="D861" s="1858" t="s">
        <v>2279</v>
      </c>
      <c r="E861" s="1858"/>
      <c r="F861" s="1858"/>
      <c r="G861" s="1723"/>
    </row>
    <row r="862" spans="1:9" ht="12.75" customHeight="1">
      <c r="A862" s="709"/>
      <c r="B862" s="709"/>
      <c r="C862" s="551"/>
      <c r="D862" s="1858"/>
      <c r="E862" s="1858"/>
      <c r="F862" s="1858"/>
      <c r="G862" s="1723"/>
    </row>
    <row r="863" spans="1:9" ht="12.75" customHeight="1">
      <c r="A863" s="709"/>
      <c r="B863" s="709"/>
      <c r="C863" s="551"/>
      <c r="D863" s="1858"/>
      <c r="E863" s="1858"/>
      <c r="F863" s="1858"/>
      <c r="G863" s="1723"/>
    </row>
    <row r="864" spans="1:9" ht="12.75" customHeight="1">
      <c r="A864" s="709"/>
      <c r="B864" s="709"/>
      <c r="C864" s="551"/>
      <c r="D864" s="1858"/>
      <c r="E864" s="1858"/>
      <c r="F864" s="1858"/>
      <c r="G864" s="1723"/>
    </row>
    <row r="865" spans="1:9" ht="12.75" customHeight="1">
      <c r="A865" s="709"/>
      <c r="B865" s="709"/>
      <c r="C865" s="551"/>
      <c r="D865" s="1858"/>
      <c r="E865" s="1858"/>
      <c r="F865" s="1858"/>
      <c r="G865" s="1723"/>
    </row>
    <row r="866" spans="1:9" ht="12.75" customHeight="1">
      <c r="A866" s="709"/>
      <c r="B866" s="709"/>
      <c r="C866" s="551"/>
      <c r="D866" s="1858"/>
      <c r="E866" s="1858"/>
      <c r="F866" s="1858"/>
      <c r="G866" s="1723"/>
    </row>
    <row r="867" spans="1:9" ht="12.75" customHeight="1">
      <c r="A867" s="709"/>
      <c r="B867" s="709"/>
      <c r="C867" s="551"/>
      <c r="D867" s="1692"/>
      <c r="E867" s="1722"/>
      <c r="F867" s="1722"/>
      <c r="G867" s="1723"/>
    </row>
    <row r="868" spans="1:9" ht="12.75" customHeight="1">
      <c r="A868" s="709"/>
      <c r="B868" s="793" t="s">
        <v>2516</v>
      </c>
      <c r="C868" s="551"/>
      <c r="D868" s="1885" t="s">
        <v>2280</v>
      </c>
      <c r="E868" s="1885"/>
      <c r="F868" s="1885"/>
      <c r="G868" s="1723"/>
      <c r="I868" s="1758" t="s">
        <v>2469</v>
      </c>
    </row>
    <row r="869" spans="1:9" ht="12.75" customHeight="1">
      <c r="A869" s="709"/>
      <c r="B869" s="709"/>
      <c r="C869" s="551"/>
      <c r="D869" s="1885" t="s">
        <v>2281</v>
      </c>
      <c r="E869" s="1885"/>
      <c r="F869" s="1885"/>
      <c r="G869" s="1723"/>
    </row>
    <row r="870" spans="1:9" ht="12.75" customHeight="1">
      <c r="A870" s="709"/>
      <c r="B870" s="709"/>
      <c r="C870" s="551"/>
      <c r="D870" s="5" t="s">
        <v>1502</v>
      </c>
      <c r="E870" s="1993" t="s">
        <v>2282</v>
      </c>
      <c r="F870" s="1993"/>
      <c r="G870" s="1723"/>
    </row>
    <row r="871" spans="1:9" ht="12.75" customHeight="1">
      <c r="A871" s="709"/>
      <c r="B871" s="709"/>
      <c r="C871" s="551"/>
      <c r="D871" s="1692"/>
      <c r="E871" s="1722"/>
      <c r="F871" s="1722"/>
      <c r="G871" s="1723"/>
    </row>
    <row r="872" spans="1:9" ht="12.75" customHeight="1">
      <c r="A872" s="709"/>
      <c r="B872" s="793" t="s">
        <v>2516</v>
      </c>
      <c r="C872" s="551"/>
      <c r="D872" s="1856" t="s">
        <v>2283</v>
      </c>
      <c r="E872" s="1856"/>
      <c r="F872" s="1856"/>
      <c r="G872" s="1723"/>
      <c r="I872" s="1758" t="s">
        <v>2489</v>
      </c>
    </row>
    <row r="873" spans="1:9" ht="12.75" customHeight="1">
      <c r="A873" s="709"/>
      <c r="B873" s="709"/>
      <c r="C873" s="551"/>
      <c r="D873" s="1856"/>
      <c r="E873" s="1856"/>
      <c r="F873" s="1856"/>
      <c r="G873" s="1723"/>
    </row>
    <row r="874" spans="1:9" ht="12.75" customHeight="1">
      <c r="A874" s="709"/>
      <c r="B874" s="709"/>
      <c r="C874" s="551"/>
      <c r="D874" s="1856"/>
      <c r="E874" s="1856"/>
      <c r="F874" s="1856"/>
      <c r="G874" s="1723"/>
    </row>
    <row r="875" spans="1:9" ht="12.75" customHeight="1">
      <c r="A875" s="709"/>
      <c r="B875" s="709"/>
      <c r="C875" s="551"/>
      <c r="D875" s="1856"/>
      <c r="E875" s="1856"/>
      <c r="F875" s="1856"/>
      <c r="G875" s="1723"/>
    </row>
    <row r="876" spans="1:9" ht="12.75" customHeight="1">
      <c r="A876" s="1693"/>
      <c r="B876" s="1693"/>
      <c r="C876" s="1724"/>
      <c r="D876" s="1722"/>
      <c r="E876" s="1722"/>
      <c r="F876" s="1722"/>
      <c r="G876" s="1723"/>
    </row>
    <row r="877" spans="1:9" ht="12.75" customHeight="1">
      <c r="A877" s="1891" t="s">
        <v>2323</v>
      </c>
      <c r="B877" s="1891"/>
      <c r="C877" s="1891"/>
      <c r="D877" s="1891"/>
      <c r="E877" s="1891"/>
      <c r="F877" s="1891"/>
      <c r="G877" s="1891"/>
      <c r="H877" s="1837"/>
      <c r="I877" s="1838"/>
    </row>
    <row r="878" spans="1:9" s="1756" customFormat="1" ht="12.75" customHeight="1">
      <c r="A878" s="93"/>
      <c r="B878" s="93"/>
      <c r="C878" s="93"/>
      <c r="D878" s="93"/>
      <c r="E878" s="93"/>
      <c r="F878" s="93"/>
      <c r="G878" s="93"/>
      <c r="I878" s="1758"/>
    </row>
    <row r="879" spans="1:9" s="1756" customFormat="1" ht="12.75" customHeight="1">
      <c r="A879" s="93"/>
      <c r="B879" s="93"/>
      <c r="C879" s="93"/>
      <c r="D879" s="1900" t="s">
        <v>2329</v>
      </c>
      <c r="E879" s="1900"/>
      <c r="F879" s="1900"/>
      <c r="G879" s="93"/>
      <c r="I879" s="1758"/>
    </row>
    <row r="880" spans="1:9" s="1756" customFormat="1" ht="12.75" customHeight="1">
      <c r="A880" s="93"/>
      <c r="B880" s="93"/>
      <c r="C880" s="93"/>
      <c r="D880" s="1700"/>
      <c r="E880" s="1700"/>
      <c r="F880" s="1700"/>
      <c r="G880" s="93"/>
      <c r="I880" s="1758"/>
    </row>
    <row r="881" spans="1:9" s="1756" customFormat="1" ht="12.75" customHeight="1">
      <c r="A881" s="93"/>
      <c r="B881" s="1759" t="s">
        <v>2621</v>
      </c>
      <c r="C881" s="93"/>
      <c r="D881" s="1706" t="s">
        <v>2330</v>
      </c>
      <c r="E881" s="1700"/>
      <c r="F881" s="1700"/>
      <c r="G881" s="93"/>
      <c r="I881" s="1758" t="s">
        <v>2503</v>
      </c>
    </row>
    <row r="882" spans="1:9" s="1756" customFormat="1" ht="12.75" customHeight="1">
      <c r="A882" s="93"/>
      <c r="B882" s="93"/>
      <c r="C882" s="93"/>
      <c r="D882" s="1700"/>
      <c r="E882" s="1700"/>
      <c r="F882" s="1700"/>
      <c r="G882" s="93"/>
      <c r="I882" s="1758"/>
    </row>
    <row r="883" spans="1:9" ht="12.75" customHeight="1">
      <c r="A883" s="1726"/>
      <c r="B883" s="1726"/>
      <c r="C883" s="1724"/>
      <c r="D883" s="1900" t="s">
        <v>2324</v>
      </c>
      <c r="E883" s="1900"/>
      <c r="F883" s="1900"/>
      <c r="G883" s="1723"/>
    </row>
    <row r="884" spans="1:9" ht="12.75" customHeight="1">
      <c r="A884" s="1698"/>
      <c r="B884" s="1698"/>
      <c r="C884" s="1730"/>
      <c r="D884" s="1881" t="s">
        <v>2289</v>
      </c>
      <c r="E884" s="1881"/>
      <c r="F884" s="1881"/>
      <c r="G884" s="1723"/>
    </row>
    <row r="885" spans="1:9" ht="12.75" customHeight="1">
      <c r="A885" s="1740"/>
      <c r="B885" s="1740"/>
      <c r="C885" s="1724"/>
      <c r="D885" s="5"/>
      <c r="E885" s="1722"/>
      <c r="F885" s="1722"/>
      <c r="G885" s="1723"/>
    </row>
    <row r="886" spans="1:9" ht="12.75" customHeight="1">
      <c r="A886" s="709"/>
      <c r="B886" s="793" t="s">
        <v>2621</v>
      </c>
      <c r="C886" s="551"/>
      <c r="D886" s="1856" t="s">
        <v>2293</v>
      </c>
      <c r="E886" s="1856"/>
      <c r="F886" s="1856"/>
      <c r="G886" s="673"/>
      <c r="I886" s="1758" t="s">
        <v>2453</v>
      </c>
    </row>
    <row r="887" spans="1:9" ht="12.75" customHeight="1">
      <c r="A887" s="1726"/>
      <c r="B887" s="1726"/>
      <c r="C887" s="551"/>
      <c r="D887" s="1856"/>
      <c r="E887" s="1856"/>
      <c r="F887" s="1856"/>
      <c r="G887" s="673"/>
    </row>
    <row r="888" spans="1:9" s="1756" customFormat="1" ht="12.75" customHeight="1">
      <c r="A888" s="1830"/>
      <c r="B888" s="1830"/>
      <c r="C888" s="1730"/>
      <c r="D888" s="1856" t="s">
        <v>2292</v>
      </c>
      <c r="E888" s="1856"/>
      <c r="F888" s="1856"/>
      <c r="G888" s="1723"/>
      <c r="I888" s="1758"/>
    </row>
    <row r="889" spans="1:9" s="1756" customFormat="1" ht="12.75" customHeight="1">
      <c r="A889" s="1830"/>
      <c r="B889" s="1830"/>
      <c r="C889" s="1730"/>
      <c r="D889" s="1856"/>
      <c r="E889" s="1856"/>
      <c r="F889" s="1856"/>
      <c r="G889" s="1723"/>
      <c r="I889" s="1758"/>
    </row>
    <row r="890" spans="1:9" ht="12.75" customHeight="1">
      <c r="A890" s="1698"/>
      <c r="B890" s="1698"/>
      <c r="C890" s="1730"/>
      <c r="D890" s="6"/>
      <c r="E890" s="6"/>
      <c r="F890" s="1722"/>
      <c r="G890" s="1723"/>
    </row>
    <row r="891" spans="1:9" ht="12.75" customHeight="1">
      <c r="A891" s="398"/>
      <c r="B891" s="793" t="s">
        <v>2621</v>
      </c>
      <c r="C891" s="481"/>
      <c r="D891" s="1988" t="s">
        <v>2290</v>
      </c>
      <c r="E891" s="1988"/>
      <c r="F891" s="1988"/>
      <c r="G891" s="1723"/>
      <c r="I891" s="1758" t="s">
        <v>2452</v>
      </c>
    </row>
    <row r="892" spans="1:9" ht="12.75" customHeight="1">
      <c r="A892" s="398"/>
      <c r="B892" s="398"/>
      <c r="C892" s="481"/>
      <c r="D892" s="1988"/>
      <c r="E892" s="1988"/>
      <c r="F892" s="1988"/>
      <c r="G892" s="1723"/>
    </row>
    <row r="893" spans="1:9" ht="12.75" customHeight="1">
      <c r="A893" s="398"/>
      <c r="B893" s="398"/>
      <c r="C893" s="481"/>
      <c r="D893" s="1988"/>
      <c r="E893" s="1988"/>
      <c r="F893" s="1988"/>
      <c r="G893" s="1723"/>
    </row>
    <row r="894" spans="1:9" s="1756" customFormat="1" ht="12.75" customHeight="1">
      <c r="A894" s="398"/>
      <c r="B894" s="398"/>
      <c r="C894" s="481"/>
      <c r="D894" s="1988"/>
      <c r="E894" s="1988"/>
      <c r="F894" s="1988"/>
      <c r="G894" s="1723"/>
      <c r="I894" s="1758"/>
    </row>
    <row r="895" spans="1:9" ht="12.75" customHeight="1">
      <c r="A895" s="398"/>
      <c r="B895" s="398"/>
      <c r="C895" s="481"/>
      <c r="D895" s="1988"/>
      <c r="E895" s="1988"/>
      <c r="F895" s="1988"/>
      <c r="G895" s="1723"/>
    </row>
    <row r="896" spans="1:9" ht="12.75" customHeight="1">
      <c r="A896" s="482"/>
      <c r="B896" s="482"/>
      <c r="C896" s="481"/>
      <c r="D896" s="1988"/>
      <c r="E896" s="1988"/>
      <c r="F896" s="1988"/>
      <c r="G896" s="1723"/>
    </row>
    <row r="897" spans="1:9" ht="12.75" customHeight="1">
      <c r="A897" s="482"/>
      <c r="B897" s="482"/>
      <c r="C897" s="481"/>
      <c r="D897" s="1988"/>
      <c r="E897" s="1988"/>
      <c r="F897" s="1988"/>
      <c r="G897" s="1723"/>
    </row>
    <row r="898" spans="1:9" ht="12.75" customHeight="1">
      <c r="A898" s="482"/>
      <c r="B898" s="482"/>
      <c r="C898" s="481"/>
      <c r="D898" s="1988"/>
      <c r="E898" s="1988"/>
      <c r="F898" s="1988"/>
      <c r="G898" s="1723"/>
    </row>
    <row r="899" spans="1:9" s="1756" customFormat="1" ht="12.75" customHeight="1">
      <c r="A899" s="482"/>
      <c r="B899" s="482"/>
      <c r="C899" s="481"/>
      <c r="D899" s="1831"/>
      <c r="E899" s="1831"/>
      <c r="F899" s="1831"/>
      <c r="G899" s="1723"/>
      <c r="I899" s="1758"/>
    </row>
    <row r="900" spans="1:9" ht="12.75" customHeight="1">
      <c r="A900" s="1740"/>
      <c r="B900" s="793" t="s">
        <v>2516</v>
      </c>
      <c r="C900" s="1724"/>
      <c r="D900" s="1856" t="s">
        <v>2294</v>
      </c>
      <c r="E900" s="1856"/>
      <c r="F900" s="1856"/>
      <c r="G900" s="1723"/>
    </row>
    <row r="901" spans="1:9" ht="12.75" customHeight="1">
      <c r="A901" s="1740"/>
      <c r="B901" s="1740"/>
      <c r="C901" s="1724"/>
      <c r="D901" s="1856"/>
      <c r="E901" s="1856"/>
      <c r="F901" s="1856"/>
      <c r="G901" s="1723"/>
    </row>
    <row r="902" spans="1:9" ht="12.75" customHeight="1">
      <c r="A902" s="1740"/>
      <c r="B902" s="1740"/>
      <c r="C902" s="1724"/>
      <c r="D902" s="1722"/>
      <c r="E902" s="1722"/>
      <c r="F902" s="1722"/>
      <c r="G902" s="1723"/>
    </row>
    <row r="903" spans="1:9" ht="12.75" customHeight="1">
      <c r="A903" s="1740"/>
      <c r="B903" s="793" t="s">
        <v>2516</v>
      </c>
      <c r="C903" s="1724"/>
      <c r="D903" s="1914" t="s">
        <v>2295</v>
      </c>
      <c r="E903" s="1914"/>
      <c r="F903" s="1914"/>
      <c r="G903" s="1723"/>
    </row>
    <row r="904" spans="1:9" ht="12.75" customHeight="1">
      <c r="A904" s="1740"/>
      <c r="B904" s="1740"/>
      <c r="C904" s="1724"/>
      <c r="D904" s="1914"/>
      <c r="E904" s="1914"/>
      <c r="F904" s="1914"/>
      <c r="G904" s="1723"/>
    </row>
    <row r="905" spans="1:9" ht="12.75" customHeight="1">
      <c r="A905" s="1740"/>
      <c r="B905" s="1740"/>
      <c r="C905" s="1724"/>
      <c r="D905" s="1914"/>
      <c r="E905" s="1914"/>
      <c r="F905" s="1914"/>
      <c r="G905" s="1723"/>
    </row>
    <row r="906" spans="1:9" ht="12.75" customHeight="1">
      <c r="A906" s="1740"/>
      <c r="B906" s="1740"/>
      <c r="C906" s="1724"/>
      <c r="D906" s="1914"/>
      <c r="E906" s="1914"/>
      <c r="F906" s="1914"/>
      <c r="G906" s="1723"/>
    </row>
    <row r="907" spans="1:9" ht="12.75" customHeight="1">
      <c r="A907" s="1740"/>
      <c r="B907" s="1740"/>
      <c r="C907" s="1724"/>
      <c r="D907" s="1692"/>
      <c r="E907" s="1722"/>
      <c r="F907" s="1722"/>
      <c r="G907" s="1723"/>
    </row>
    <row r="908" spans="1:9" ht="12.75" customHeight="1">
      <c r="A908" s="1740"/>
      <c r="B908" s="793" t="s">
        <v>2516</v>
      </c>
      <c r="C908" s="1724"/>
      <c r="D908" s="1881" t="s">
        <v>2296</v>
      </c>
      <c r="E908" s="1881"/>
      <c r="F908" s="1881"/>
      <c r="G908" s="1723"/>
    </row>
    <row r="909" spans="1:9" ht="12.75" customHeight="1">
      <c r="A909" s="1740"/>
      <c r="B909" s="1740"/>
      <c r="C909" s="1724"/>
      <c r="D909" s="1692"/>
      <c r="E909" s="1722"/>
      <c r="F909" s="1722"/>
      <c r="G909" s="1723"/>
    </row>
    <row r="910" spans="1:9" ht="12.75" customHeight="1">
      <c r="A910" s="1740"/>
      <c r="B910" s="793" t="s">
        <v>2516</v>
      </c>
      <c r="C910" s="1724"/>
      <c r="D910" s="1881" t="s">
        <v>2297</v>
      </c>
      <c r="E910" s="1881"/>
      <c r="F910" s="1881"/>
      <c r="G910" s="1723"/>
    </row>
    <row r="911" spans="1:9" ht="12.75" customHeight="1">
      <c r="A911" s="482"/>
      <c r="B911" s="482"/>
      <c r="C911" s="481"/>
      <c r="D911" s="183"/>
      <c r="E911" s="673"/>
      <c r="F911" s="1723"/>
      <c r="G911" s="1723"/>
    </row>
    <row r="912" spans="1:9" ht="12.75" customHeight="1">
      <c r="A912" s="1736"/>
      <c r="B912" s="793" t="s">
        <v>2621</v>
      </c>
      <c r="C912" s="1737"/>
      <c r="D912" s="1988" t="s">
        <v>2291</v>
      </c>
      <c r="E912" s="1988"/>
      <c r="F912" s="1988"/>
      <c r="G912" s="1738"/>
      <c r="I912" s="1758" t="s">
        <v>2504</v>
      </c>
    </row>
    <row r="913" spans="1:9" ht="12.75" customHeight="1">
      <c r="A913" s="1736"/>
      <c r="B913" s="1736"/>
      <c r="C913" s="1737"/>
      <c r="D913" s="1988"/>
      <c r="E913" s="1988"/>
      <c r="F913" s="1988"/>
      <c r="G913" s="1738"/>
    </row>
    <row r="914" spans="1:9" ht="12.75" customHeight="1">
      <c r="A914" s="1736"/>
      <c r="B914" s="1736"/>
      <c r="C914" s="1737"/>
      <c r="D914" s="1988"/>
      <c r="E914" s="1988"/>
      <c r="F914" s="1988"/>
      <c r="G914" s="1738"/>
    </row>
    <row r="915" spans="1:9" ht="12.75" customHeight="1">
      <c r="A915" s="1736"/>
      <c r="B915" s="1736"/>
      <c r="C915" s="1737"/>
      <c r="D915" s="1988"/>
      <c r="E915" s="1988"/>
      <c r="F915" s="1988"/>
      <c r="G915" s="1738"/>
    </row>
    <row r="916" spans="1:9" ht="12.75" customHeight="1">
      <c r="A916" s="1736"/>
      <c r="B916" s="1736"/>
      <c r="C916" s="1737"/>
      <c r="D916" s="1988"/>
      <c r="E916" s="1988"/>
      <c r="F916" s="1988"/>
      <c r="G916" s="1738"/>
    </row>
    <row r="917" spans="1:9" ht="12.75" customHeight="1">
      <c r="A917" s="1736"/>
      <c r="B917" s="1736"/>
      <c r="C917" s="1737"/>
      <c r="D917" s="1988"/>
      <c r="E917" s="1988"/>
      <c r="F917" s="1988"/>
      <c r="G917" s="1738"/>
    </row>
    <row r="918" spans="1:9" ht="12.75" customHeight="1">
      <c r="A918" s="1736"/>
      <c r="B918" s="1736"/>
      <c r="C918" s="1737"/>
      <c r="D918" s="1988"/>
      <c r="E918" s="1988"/>
      <c r="F918" s="1988"/>
      <c r="G918" s="1738"/>
    </row>
    <row r="919" spans="1:9" ht="12.75" customHeight="1">
      <c r="A919" s="1736"/>
      <c r="B919" s="1736"/>
      <c r="C919" s="1737"/>
      <c r="D919" s="1988"/>
      <c r="E919" s="1988"/>
      <c r="F919" s="1988"/>
      <c r="G919" s="1738"/>
    </row>
    <row r="920" spans="1:9" ht="12.75" customHeight="1">
      <c r="A920" s="1736"/>
      <c r="B920" s="1736"/>
      <c r="C920" s="1737"/>
      <c r="D920" s="1988"/>
      <c r="E920" s="1988"/>
      <c r="F920" s="1988"/>
      <c r="G920" s="1738"/>
    </row>
    <row r="921" spans="1:9" ht="12.75" customHeight="1">
      <c r="A921" s="482"/>
      <c r="B921" s="482"/>
      <c r="C921" s="481"/>
      <c r="D921" s="183"/>
      <c r="E921" s="673"/>
      <c r="F921" s="1723"/>
      <c r="G921" s="1723"/>
    </row>
    <row r="922" spans="1:9" ht="12.75" customHeight="1">
      <c r="A922" s="398"/>
      <c r="B922" s="793" t="s">
        <v>2621</v>
      </c>
      <c r="C922" s="481"/>
      <c r="D922" s="1990" t="s">
        <v>2507</v>
      </c>
      <c r="E922" s="1990"/>
      <c r="F922" s="1990"/>
      <c r="G922" s="1723"/>
      <c r="I922" s="1758" t="s">
        <v>2504</v>
      </c>
    </row>
    <row r="923" spans="1:9" ht="12.75" customHeight="1">
      <c r="A923" s="398"/>
      <c r="B923" s="398"/>
      <c r="C923" s="481"/>
      <c r="D923" s="1990"/>
      <c r="E923" s="1990"/>
      <c r="F923" s="1990"/>
      <c r="G923" s="1723"/>
    </row>
    <row r="924" spans="1:9" ht="12.75" customHeight="1">
      <c r="A924" s="398"/>
      <c r="B924" s="398"/>
      <c r="C924" s="481"/>
      <c r="D924" s="1990"/>
      <c r="E924" s="1990"/>
      <c r="F924" s="1990"/>
      <c r="G924" s="1723"/>
    </row>
    <row r="925" spans="1:9" ht="12.75" customHeight="1">
      <c r="A925" s="398"/>
      <c r="B925" s="398"/>
      <c r="C925" s="481"/>
      <c r="D925" s="1990"/>
      <c r="E925" s="1990"/>
      <c r="F925" s="1990"/>
      <c r="G925" s="1723"/>
    </row>
    <row r="926" spans="1:9" ht="12.75" customHeight="1">
      <c r="A926" s="398"/>
      <c r="B926" s="398"/>
      <c r="C926" s="481"/>
      <c r="D926" s="1990"/>
      <c r="E926" s="1990"/>
      <c r="F926" s="1990"/>
      <c r="G926" s="1723"/>
    </row>
    <row r="927" spans="1:9" ht="12.75" customHeight="1">
      <c r="A927" s="398"/>
      <c r="B927" s="398"/>
      <c r="C927" s="481"/>
      <c r="D927" s="1990"/>
      <c r="E927" s="1990"/>
      <c r="F927" s="1990"/>
      <c r="G927" s="1723"/>
    </row>
    <row r="928" spans="1:9" ht="12.75" customHeight="1">
      <c r="A928" s="398"/>
      <c r="B928" s="398"/>
      <c r="C928" s="481"/>
      <c r="D928" s="1990"/>
      <c r="E928" s="1990"/>
      <c r="F928" s="1990"/>
      <c r="G928" s="1723"/>
    </row>
    <row r="929" spans="1:9" s="1756" customFormat="1" ht="12.75" customHeight="1">
      <c r="A929" s="398"/>
      <c r="B929" s="398"/>
      <c r="C929" s="481"/>
      <c r="D929" s="1832"/>
      <c r="E929" s="1832"/>
      <c r="F929" s="1832"/>
      <c r="G929" s="1723"/>
      <c r="I929" s="1758"/>
    </row>
    <row r="930" spans="1:9" s="1756" customFormat="1" ht="12.75" customHeight="1">
      <c r="A930" s="398"/>
      <c r="B930" s="1759" t="s">
        <v>2516</v>
      </c>
      <c r="C930" s="481"/>
      <c r="D930" s="1916" t="s">
        <v>2505</v>
      </c>
      <c r="E930" s="1916"/>
      <c r="F930" s="1916"/>
      <c r="G930" s="1723"/>
      <c r="I930" s="1758"/>
    </row>
    <row r="931" spans="1:9" s="1756" customFormat="1" ht="12.75" customHeight="1">
      <c r="A931" s="398"/>
      <c r="B931" s="398"/>
      <c r="C931" s="481"/>
      <c r="D931" s="1916"/>
      <c r="E931" s="1916"/>
      <c r="F931" s="1916"/>
      <c r="G931" s="1723"/>
      <c r="I931" s="1758"/>
    </row>
    <row r="932" spans="1:9" s="1756" customFormat="1" ht="12.75" customHeight="1">
      <c r="A932" s="398"/>
      <c r="B932" s="398"/>
      <c r="C932" s="481"/>
      <c r="D932" s="1916"/>
      <c r="E932" s="1916"/>
      <c r="F932" s="1916"/>
      <c r="G932" s="1723"/>
      <c r="I932" s="1758"/>
    </row>
    <row r="933" spans="1:9" s="1756" customFormat="1" ht="12.75" customHeight="1">
      <c r="A933" s="398"/>
      <c r="B933" s="398"/>
      <c r="C933" s="481"/>
      <c r="D933" s="1916"/>
      <c r="E933" s="1916"/>
      <c r="F933" s="1916"/>
      <c r="G933" s="1723"/>
      <c r="I933" s="1758"/>
    </row>
    <row r="934" spans="1:9" s="1756" customFormat="1" ht="12.75" customHeight="1">
      <c r="A934" s="398"/>
      <c r="B934" s="398"/>
      <c r="C934" s="481"/>
      <c r="D934" s="1916"/>
      <c r="E934" s="1916"/>
      <c r="F934" s="1916"/>
      <c r="G934" s="1723"/>
      <c r="I934" s="1758"/>
    </row>
    <row r="935" spans="1:9" s="1756" customFormat="1" ht="12.75" customHeight="1">
      <c r="A935" s="398"/>
      <c r="B935" s="398"/>
      <c r="C935" s="481"/>
      <c r="D935" s="1916"/>
      <c r="E935" s="1916"/>
      <c r="F935" s="1916"/>
      <c r="G935" s="1723"/>
      <c r="I935" s="1758"/>
    </row>
    <row r="936" spans="1:9" s="1756" customFormat="1" ht="12.75" customHeight="1">
      <c r="A936" s="398"/>
      <c r="B936" s="398"/>
      <c r="C936" s="481"/>
      <c r="D936" s="1832"/>
      <c r="E936" s="1832"/>
      <c r="F936" s="1832"/>
      <c r="G936" s="1723"/>
      <c r="I936" s="1758"/>
    </row>
    <row r="937" spans="1:9" ht="12.75" customHeight="1">
      <c r="A937" s="1740"/>
      <c r="B937" s="793" t="s">
        <v>2516</v>
      </c>
      <c r="C937" s="1724"/>
      <c r="D937" s="1994" t="s">
        <v>2298</v>
      </c>
      <c r="E937" s="1994"/>
      <c r="F937" s="1994"/>
      <c r="G937" s="1723"/>
    </row>
    <row r="938" spans="1:9" ht="12.75" customHeight="1">
      <c r="A938" s="1740"/>
      <c r="B938" s="1740"/>
      <c r="C938" s="1724"/>
      <c r="D938" s="1994"/>
      <c r="E938" s="1994"/>
      <c r="F938" s="1994"/>
      <c r="G938" s="1723"/>
    </row>
    <row r="939" spans="1:9" ht="12.75" customHeight="1">
      <c r="A939" s="1740"/>
      <c r="B939" s="1740"/>
      <c r="C939" s="1724"/>
      <c r="D939" s="1994"/>
      <c r="E939" s="1994"/>
      <c r="F939" s="1994"/>
      <c r="G939" s="1723"/>
    </row>
    <row r="940" spans="1:9" s="1756" customFormat="1" ht="12.75" customHeight="1">
      <c r="A940" s="398"/>
      <c r="B940" s="398"/>
      <c r="C940" s="481"/>
      <c r="D940" s="1832"/>
      <c r="E940" s="1832"/>
      <c r="F940" s="1832"/>
      <c r="G940" s="1723"/>
      <c r="I940" s="1758"/>
    </row>
    <row r="941" spans="1:9" ht="12.75" customHeight="1">
      <c r="A941" s="398"/>
      <c r="B941" s="398"/>
      <c r="C941" s="481"/>
      <c r="D941" s="1739"/>
      <c r="E941" s="673"/>
      <c r="F941" s="1723"/>
      <c r="G941" s="1723"/>
    </row>
    <row r="942" spans="1:9" ht="12.75" customHeight="1">
      <c r="A942" s="398"/>
      <c r="B942" s="793" t="s">
        <v>2516</v>
      </c>
      <c r="C942" s="481"/>
      <c r="D942" s="1988" t="s">
        <v>2506</v>
      </c>
      <c r="E942" s="1988"/>
      <c r="F942" s="1988"/>
      <c r="G942" s="1723"/>
      <c r="I942" s="1758" t="s">
        <v>2504</v>
      </c>
    </row>
    <row r="943" spans="1:9" ht="12.75" customHeight="1">
      <c r="A943" s="398"/>
      <c r="B943" s="398"/>
      <c r="C943" s="481"/>
      <c r="D943" s="1988"/>
      <c r="E943" s="1988"/>
      <c r="F943" s="1988"/>
      <c r="G943" s="1723"/>
    </row>
    <row r="944" spans="1:9" ht="12.75" customHeight="1">
      <c r="A944" s="398"/>
      <c r="B944" s="398"/>
      <c r="C944" s="481"/>
      <c r="D944" s="1988"/>
      <c r="E944" s="1988"/>
      <c r="F944" s="1988"/>
      <c r="G944" s="1723"/>
    </row>
    <row r="945" spans="1:9" ht="12.75" customHeight="1">
      <c r="A945" s="398"/>
      <c r="B945" s="398"/>
      <c r="C945" s="481"/>
      <c r="D945" s="1988"/>
      <c r="E945" s="1988"/>
      <c r="F945" s="1988"/>
      <c r="G945" s="1723"/>
    </row>
    <row r="946" spans="1:9" ht="12.75" customHeight="1">
      <c r="A946" s="1742"/>
      <c r="B946" s="1742"/>
      <c r="C946" s="1728"/>
      <c r="D946" s="1689"/>
      <c r="E946" s="1689"/>
      <c r="F946" s="1689"/>
      <c r="G946" s="1689"/>
    </row>
    <row r="947" spans="1:9" ht="12.75" customHeight="1">
      <c r="A947" s="1726"/>
      <c r="B947" s="1726"/>
      <c r="C947" s="551"/>
      <c r="D947" s="1880" t="s">
        <v>2299</v>
      </c>
      <c r="E947" s="1880"/>
      <c r="F947" s="1880"/>
      <c r="G947" s="673"/>
    </row>
    <row r="948" spans="1:9" ht="12.75" customHeight="1">
      <c r="A948" s="709"/>
      <c r="B948" s="793" t="s">
        <v>2516</v>
      </c>
      <c r="C948" s="551"/>
      <c r="D948" s="1881" t="s">
        <v>2325</v>
      </c>
      <c r="E948" s="1881"/>
      <c r="F948" s="1881"/>
      <c r="G948" s="673"/>
      <c r="I948" s="1758" t="s">
        <v>2504</v>
      </c>
    </row>
    <row r="949" spans="1:9" ht="12.75" customHeight="1">
      <c r="A949" s="1726"/>
      <c r="B949" s="1726"/>
      <c r="C949" s="551"/>
      <c r="D949" s="6"/>
      <c r="E949" s="6"/>
      <c r="F949" s="6"/>
      <c r="G949" s="673"/>
    </row>
    <row r="950" spans="1:9" ht="12.75" customHeight="1">
      <c r="A950" s="1726"/>
      <c r="B950" s="1726"/>
      <c r="C950" s="551"/>
      <c r="D950" s="1880" t="s">
        <v>2300</v>
      </c>
      <c r="E950" s="1880"/>
      <c r="F950" s="1880"/>
      <c r="G950" s="672"/>
    </row>
    <row r="951" spans="1:9" ht="12.75" customHeight="1">
      <c r="A951" s="709"/>
      <c r="B951" s="793" t="s">
        <v>2516</v>
      </c>
      <c r="C951" s="551"/>
      <c r="D951" s="1856" t="s">
        <v>2301</v>
      </c>
      <c r="E951" s="1856"/>
      <c r="F951" s="1856"/>
      <c r="G951" s="672"/>
      <c r="I951" s="1758" t="s">
        <v>2504</v>
      </c>
    </row>
    <row r="952" spans="1:9" ht="12.75" customHeight="1">
      <c r="A952" s="709"/>
      <c r="B952" s="709"/>
      <c r="C952" s="551"/>
      <c r="D952" s="1856"/>
      <c r="E952" s="1856"/>
      <c r="F952" s="1856"/>
      <c r="G952" s="672"/>
    </row>
    <row r="953" spans="1:9" ht="12.75" customHeight="1">
      <c r="A953" s="709"/>
      <c r="B953" s="709"/>
      <c r="C953" s="551"/>
      <c r="D953" s="1856"/>
      <c r="E953" s="1856"/>
      <c r="F953" s="1856"/>
      <c r="G953" s="672"/>
    </row>
    <row r="954" spans="1:9" ht="12.75" customHeight="1">
      <c r="A954" s="709"/>
      <c r="B954" s="709"/>
      <c r="C954" s="551"/>
      <c r="D954" s="1856"/>
      <c r="E954" s="1856"/>
      <c r="F954" s="1856"/>
      <c r="G954" s="672"/>
    </row>
    <row r="955" spans="1:9" ht="12.75" customHeight="1">
      <c r="A955" s="709"/>
      <c r="B955" s="709"/>
      <c r="C955" s="551"/>
      <c r="D955" s="1856"/>
      <c r="E955" s="1856"/>
      <c r="F955" s="1856"/>
      <c r="G955" s="672"/>
    </row>
    <row r="956" spans="1:9" ht="12.75" customHeight="1">
      <c r="A956" s="709"/>
      <c r="B956" s="709"/>
      <c r="C956" s="551"/>
      <c r="D956" s="1856"/>
      <c r="E956" s="1856"/>
      <c r="F956" s="1856"/>
      <c r="G956" s="672"/>
    </row>
    <row r="957" spans="1:9" ht="12.75" customHeight="1">
      <c r="A957" s="709"/>
      <c r="B957" s="709"/>
      <c r="C957" s="551"/>
      <c r="D957" s="1856"/>
      <c r="E957" s="1856"/>
      <c r="F957" s="1856"/>
      <c r="G957" s="672"/>
    </row>
    <row r="958" spans="1:9" ht="12.75" customHeight="1">
      <c r="A958" s="709"/>
      <c r="B958" s="709"/>
      <c r="C958" s="551"/>
      <c r="D958" s="1856"/>
      <c r="E958" s="1856"/>
      <c r="F958" s="1856"/>
      <c r="G958" s="672"/>
    </row>
    <row r="959" spans="1:9" ht="12.75" customHeight="1">
      <c r="A959" s="709"/>
      <c r="B959" s="709"/>
      <c r="C959" s="551"/>
      <c r="D959" s="1856"/>
      <c r="E959" s="1856"/>
      <c r="F959" s="1856"/>
      <c r="G959" s="672"/>
    </row>
    <row r="960" spans="1:9" ht="12.75" customHeight="1">
      <c r="A960" s="709"/>
      <c r="B960" s="709"/>
      <c r="C960" s="551"/>
      <c r="D960" s="1856"/>
      <c r="E960" s="1856"/>
      <c r="F960" s="1856"/>
      <c r="G960" s="672"/>
    </row>
    <row r="961" spans="1:9" ht="12.75" customHeight="1">
      <c r="A961" s="709"/>
      <c r="B961" s="709"/>
      <c r="C961" s="551"/>
      <c r="D961" s="1856"/>
      <c r="E961" s="1856"/>
      <c r="F961" s="1856"/>
      <c r="G961" s="672"/>
    </row>
    <row r="962" spans="1:9" ht="12.75" customHeight="1">
      <c r="A962" s="709"/>
      <c r="B962" s="709"/>
      <c r="C962" s="551"/>
      <c r="D962" s="1856"/>
      <c r="E962" s="1856"/>
      <c r="F962" s="1856"/>
      <c r="G962" s="672"/>
    </row>
    <row r="963" spans="1:9" s="1756" customFormat="1" ht="12.75" customHeight="1">
      <c r="A963" s="709"/>
      <c r="B963" s="709"/>
      <c r="C963" s="551"/>
      <c r="D963" s="1856"/>
      <c r="E963" s="1856"/>
      <c r="F963" s="1856"/>
      <c r="G963" s="672"/>
      <c r="I963" s="1758"/>
    </row>
    <row r="964" spans="1:9" ht="12.75" customHeight="1">
      <c r="A964" s="709"/>
      <c r="B964" s="709"/>
      <c r="C964" s="551"/>
      <c r="D964" s="1856"/>
      <c r="E964" s="1856"/>
      <c r="F964" s="1856"/>
      <c r="G964" s="672"/>
    </row>
    <row r="965" spans="1:9" ht="12.75" customHeight="1">
      <c r="A965" s="709"/>
      <c r="B965" s="709"/>
      <c r="C965" s="551"/>
      <c r="D965" s="1856"/>
      <c r="E965" s="1856"/>
      <c r="F965" s="1856"/>
      <c r="G965" s="673"/>
    </row>
    <row r="966" spans="1:9" ht="12.75" customHeight="1">
      <c r="A966" s="1726"/>
      <c r="B966" s="1726"/>
      <c r="C966" s="551"/>
      <c r="D966" s="6"/>
      <c r="E966" s="6"/>
      <c r="F966" s="6"/>
      <c r="G966" s="673"/>
    </row>
    <row r="967" spans="1:9" ht="12.75" customHeight="1">
      <c r="A967" s="1891" t="s">
        <v>2302</v>
      </c>
      <c r="B967" s="1891"/>
      <c r="C967" s="1891"/>
      <c r="D967" s="1891"/>
      <c r="E967" s="1891"/>
      <c r="F967" s="1891"/>
      <c r="G967" s="1891"/>
      <c r="H967" s="1837"/>
      <c r="I967" s="1838"/>
    </row>
    <row r="968" spans="1:9" ht="12.75" customHeight="1">
      <c r="A968" s="1693"/>
      <c r="B968" s="1693"/>
      <c r="C968" s="551"/>
      <c r="D968" s="6"/>
      <c r="E968" s="6"/>
      <c r="F968" s="6"/>
      <c r="G968" s="673"/>
    </row>
    <row r="969" spans="1:9" ht="12.75" customHeight="1">
      <c r="A969" s="1726"/>
      <c r="B969" s="1726"/>
      <c r="C969" s="1724"/>
      <c r="D969" s="1880" t="s">
        <v>2326</v>
      </c>
      <c r="E969" s="1880"/>
      <c r="F969" s="1880"/>
      <c r="G969" s="673"/>
    </row>
    <row r="970" spans="1:9" ht="12.75" customHeight="1">
      <c r="A970" s="1698"/>
      <c r="B970" s="1698"/>
      <c r="C970" s="1730"/>
      <c r="D970" s="1881" t="s">
        <v>2303</v>
      </c>
      <c r="E970" s="1881"/>
      <c r="F970" s="1881"/>
      <c r="G970" s="673"/>
    </row>
    <row r="971" spans="1:9" ht="12.75" customHeight="1">
      <c r="A971" s="1698"/>
      <c r="B971" s="1698"/>
      <c r="C971" s="1730"/>
      <c r="D971" s="6"/>
      <c r="E971" s="6"/>
      <c r="F971" s="1722"/>
      <c r="G971" s="672"/>
    </row>
    <row r="972" spans="1:9" ht="12.75" customHeight="1">
      <c r="A972" s="1726"/>
      <c r="B972" s="793" t="s">
        <v>2621</v>
      </c>
      <c r="C972" s="551"/>
      <c r="D972" s="1860" t="s">
        <v>2304</v>
      </c>
      <c r="E972" s="1860"/>
      <c r="F972" s="1860"/>
      <c r="G972" s="672"/>
      <c r="I972" s="1758" t="s">
        <v>2482</v>
      </c>
    </row>
    <row r="973" spans="1:9" ht="12.75" customHeight="1">
      <c r="A973" s="1726"/>
      <c r="B973" s="1726"/>
      <c r="C973" s="551"/>
      <c r="D973" s="1860"/>
      <c r="E973" s="1860"/>
      <c r="F973" s="1860"/>
      <c r="G973" s="672"/>
    </row>
    <row r="974" spans="1:9" ht="12.75" customHeight="1">
      <c r="A974" s="1726"/>
      <c r="B974" s="1726"/>
      <c r="C974" s="551"/>
      <c r="D974" s="1860"/>
      <c r="E974" s="1860"/>
      <c r="F974" s="1860"/>
      <c r="G974" s="672"/>
    </row>
    <row r="975" spans="1:9" ht="12.75" customHeight="1">
      <c r="A975" s="1726"/>
      <c r="B975" s="1726"/>
      <c r="C975" s="551"/>
      <c r="D975" s="1860"/>
      <c r="E975" s="1860"/>
      <c r="F975" s="1860"/>
      <c r="G975" s="672"/>
    </row>
    <row r="976" spans="1:9" ht="12.75" customHeight="1">
      <c r="A976" s="1710"/>
      <c r="B976" s="1710"/>
      <c r="C976" s="552"/>
      <c r="D976" s="1860"/>
      <c r="E976" s="1860"/>
      <c r="F976" s="1860"/>
      <c r="G976" s="672"/>
    </row>
    <row r="977" spans="1:7" ht="12.75" customHeight="1">
      <c r="A977" s="1710"/>
      <c r="B977" s="1710"/>
      <c r="C977" s="552"/>
      <c r="D977" s="1860"/>
      <c r="E977" s="1860"/>
      <c r="F977" s="1860"/>
      <c r="G977" s="672"/>
    </row>
    <row r="978" spans="1:7" ht="12.75" customHeight="1">
      <c r="A978" s="715"/>
      <c r="B978" s="715"/>
      <c r="C978" s="313"/>
      <c r="D978" s="1860"/>
      <c r="E978" s="1860"/>
      <c r="F978" s="1860"/>
      <c r="G978" s="672"/>
    </row>
    <row r="979" spans="1:7" ht="12.75" customHeight="1">
      <c r="A979" s="715"/>
      <c r="B979" s="715"/>
      <c r="C979" s="313"/>
      <c r="D979" s="1860"/>
      <c r="E979" s="1860"/>
      <c r="F979" s="1860"/>
      <c r="G979" s="672"/>
    </row>
    <row r="980" spans="1:7" ht="12.75" customHeight="1">
      <c r="A980" s="715"/>
      <c r="B980" s="715"/>
      <c r="C980" s="313"/>
      <c r="D980" s="1690"/>
      <c r="E980" s="1690"/>
      <c r="F980" s="1690"/>
      <c r="G980" s="672"/>
    </row>
    <row r="981" spans="1:7" ht="12.75" customHeight="1">
      <c r="A981" s="715"/>
      <c r="B981" s="793" t="s">
        <v>2516</v>
      </c>
      <c r="C981" s="313"/>
      <c r="D981" s="1858" t="s">
        <v>2305</v>
      </c>
      <c r="E981" s="1858"/>
      <c r="F981" s="1858"/>
      <c r="G981" s="672"/>
    </row>
    <row r="982" spans="1:7" ht="12.75" customHeight="1">
      <c r="A982" s="715"/>
      <c r="B982" s="715"/>
      <c r="C982" s="313"/>
      <c r="D982" s="1858"/>
      <c r="E982" s="1858"/>
      <c r="F982" s="1858"/>
      <c r="G982" s="672"/>
    </row>
    <row r="983" spans="1:7" ht="12.75" customHeight="1">
      <c r="A983" s="715"/>
      <c r="B983" s="715"/>
      <c r="C983" s="313"/>
      <c r="D983" s="1858"/>
      <c r="E983" s="1858"/>
      <c r="F983" s="1858"/>
      <c r="G983" s="672"/>
    </row>
    <row r="984" spans="1:7" ht="12.75" customHeight="1">
      <c r="A984" s="715"/>
      <c r="B984" s="715"/>
      <c r="C984" s="313"/>
      <c r="D984" s="1858"/>
      <c r="E984" s="1858"/>
      <c r="F984" s="1858"/>
      <c r="G984" s="672"/>
    </row>
    <row r="985" spans="1:7" ht="12.75" customHeight="1">
      <c r="A985" s="715"/>
      <c r="B985" s="715"/>
      <c r="C985" s="313"/>
      <c r="D985" s="1688"/>
      <c r="E985" s="1688"/>
      <c r="F985" s="1688"/>
      <c r="G985" s="672"/>
    </row>
    <row r="986" spans="1:7" ht="12.75" customHeight="1">
      <c r="A986" s="715"/>
      <c r="B986" s="793" t="s">
        <v>2516</v>
      </c>
      <c r="C986" s="313"/>
      <c r="D986" s="1858" t="s">
        <v>2306</v>
      </c>
      <c r="E986" s="1858"/>
      <c r="F986" s="1858"/>
      <c r="G986" s="672"/>
    </row>
    <row r="987" spans="1:7" ht="12.75" customHeight="1">
      <c r="A987" s="715"/>
      <c r="B987" s="715"/>
      <c r="C987" s="313"/>
      <c r="D987" s="1858"/>
      <c r="E987" s="1858"/>
      <c r="F987" s="1858"/>
      <c r="G987" s="672"/>
    </row>
    <row r="988" spans="1:7" ht="12.75" customHeight="1">
      <c r="A988" s="715"/>
      <c r="B988" s="715"/>
      <c r="C988" s="313"/>
      <c r="D988" s="1688"/>
      <c r="E988" s="1688"/>
      <c r="F988" s="1688"/>
      <c r="G988" s="672"/>
    </row>
    <row r="989" spans="1:7" ht="12.75" customHeight="1">
      <c r="A989" s="709"/>
      <c r="B989" s="793" t="s">
        <v>2621</v>
      </c>
      <c r="C989" s="551"/>
      <c r="D989" s="1881" t="s">
        <v>2307</v>
      </c>
      <c r="E989" s="1881"/>
      <c r="F989" s="1881"/>
      <c r="G989" s="672"/>
    </row>
    <row r="990" spans="1:7" ht="12.75" customHeight="1">
      <c r="A990" s="1726"/>
      <c r="B990" s="1726"/>
      <c r="C990" s="551"/>
      <c r="D990" s="6"/>
      <c r="E990" s="6"/>
      <c r="F990" s="6"/>
      <c r="G990" s="672"/>
    </row>
    <row r="991" spans="1:7" ht="12.75" customHeight="1">
      <c r="A991" s="709"/>
      <c r="B991" s="793" t="s">
        <v>2516</v>
      </c>
      <c r="C991" s="551"/>
      <c r="D991" s="1881" t="s">
        <v>2308</v>
      </c>
      <c r="E991" s="1881"/>
      <c r="F991" s="1881"/>
      <c r="G991" s="672"/>
    </row>
    <row r="992" spans="1:7" ht="12.75" customHeight="1">
      <c r="A992" s="1726"/>
      <c r="B992" s="1726"/>
      <c r="C992" s="551"/>
      <c r="D992" s="1692"/>
      <c r="E992" s="6"/>
      <c r="F992" s="6"/>
      <c r="G992" s="672"/>
    </row>
    <row r="993" spans="1:9" ht="12.75" customHeight="1">
      <c r="A993" s="709"/>
      <c r="B993" s="793" t="s">
        <v>2516</v>
      </c>
      <c r="C993" s="551"/>
      <c r="D993" s="1881" t="s">
        <v>2309</v>
      </c>
      <c r="E993" s="1881"/>
      <c r="F993" s="1881"/>
      <c r="G993" s="672"/>
    </row>
    <row r="994" spans="1:9" ht="12.75" customHeight="1">
      <c r="A994" s="1726"/>
      <c r="B994" s="1726"/>
      <c r="C994" s="551"/>
      <c r="D994" s="1692"/>
      <c r="E994" s="6"/>
      <c r="F994" s="6"/>
      <c r="G994" s="672"/>
    </row>
    <row r="995" spans="1:9" ht="12.75" customHeight="1">
      <c r="A995" s="709"/>
      <c r="B995" s="793" t="s">
        <v>2516</v>
      </c>
      <c r="C995" s="551"/>
      <c r="D995" s="1856" t="s">
        <v>2310</v>
      </c>
      <c r="E995" s="1856"/>
      <c r="F995" s="1856"/>
      <c r="G995" s="672"/>
    </row>
    <row r="996" spans="1:9" ht="12.75" customHeight="1">
      <c r="A996" s="709"/>
      <c r="B996" s="709"/>
      <c r="C996" s="551"/>
      <c r="D996" s="1856"/>
      <c r="E996" s="1856"/>
      <c r="F996" s="1856"/>
      <c r="G996" s="672"/>
    </row>
    <row r="997" spans="1:9" ht="12.75" customHeight="1">
      <c r="A997" s="709"/>
      <c r="B997" s="709"/>
      <c r="C997" s="551"/>
      <c r="D997" s="1692"/>
      <c r="E997" s="6"/>
      <c r="F997" s="6"/>
      <c r="G997" s="673"/>
    </row>
    <row r="998" spans="1:9" ht="12.75" customHeight="1">
      <c r="A998" s="402"/>
      <c r="B998" s="793" t="s">
        <v>2516</v>
      </c>
      <c r="C998" s="1743"/>
      <c r="D998" s="1899" t="s">
        <v>2311</v>
      </c>
      <c r="E998" s="1899"/>
      <c r="F998" s="1899"/>
      <c r="G998" s="1744"/>
    </row>
    <row r="999" spans="1:9" ht="12.75" customHeight="1">
      <c r="A999" s="1743"/>
      <c r="B999" s="1743"/>
      <c r="C999" s="1743"/>
      <c r="D999" s="1899"/>
      <c r="E999" s="1899"/>
      <c r="F999" s="1899"/>
      <c r="G999" s="1744"/>
    </row>
    <row r="1000" spans="1:9" ht="12.75" customHeight="1">
      <c r="A1000" s="1743"/>
      <c r="B1000" s="1743"/>
      <c r="C1000" s="1743"/>
      <c r="D1000" s="1745"/>
      <c r="E1000" s="1746"/>
      <c r="F1000" s="1746"/>
      <c r="G1000" s="1744"/>
    </row>
    <row r="1001" spans="1:9" ht="12.75" customHeight="1">
      <c r="A1001" s="402"/>
      <c r="B1001" s="793" t="s">
        <v>2621</v>
      </c>
      <c r="C1001" s="1743"/>
      <c r="D1001" s="2000" t="s">
        <v>2312</v>
      </c>
      <c r="E1001" s="2000"/>
      <c r="F1001" s="2000"/>
      <c r="G1001" s="1744"/>
    </row>
    <row r="1002" spans="1:9" ht="12.75" customHeight="1">
      <c r="A1002" s="1743"/>
      <c r="B1002" s="1743"/>
      <c r="C1002" s="1743"/>
      <c r="D1002" s="1745"/>
      <c r="E1002" s="1746"/>
      <c r="F1002" s="1746"/>
      <c r="G1002" s="1744"/>
    </row>
    <row r="1003" spans="1:9" ht="12.75" customHeight="1">
      <c r="A1003" s="709"/>
      <c r="B1003" s="793" t="s">
        <v>2516</v>
      </c>
      <c r="C1003" s="551"/>
      <c r="D1003" s="1881" t="s">
        <v>2313</v>
      </c>
      <c r="E1003" s="1881"/>
      <c r="F1003" s="1881"/>
      <c r="G1003" s="673"/>
    </row>
    <row r="1004" spans="1:9" ht="12.75" customHeight="1">
      <c r="A1004" s="709"/>
      <c r="B1004" s="709"/>
      <c r="C1004" s="551"/>
      <c r="D1004" s="1692"/>
      <c r="E1004" s="6"/>
      <c r="F1004" s="6"/>
      <c r="G1004" s="673"/>
    </row>
    <row r="1005" spans="1:9" ht="12.75" customHeight="1">
      <c r="A1005" s="709"/>
      <c r="B1005" s="793" t="s">
        <v>2516</v>
      </c>
      <c r="C1005" s="551"/>
      <c r="D1005" s="1856" t="s">
        <v>2314</v>
      </c>
      <c r="E1005" s="1856"/>
      <c r="F1005" s="1856"/>
      <c r="G1005" s="673"/>
    </row>
    <row r="1006" spans="1:9" ht="12.75" customHeight="1">
      <c r="A1006" s="709"/>
      <c r="B1006" s="709"/>
      <c r="C1006" s="551"/>
      <c r="D1006" s="1856"/>
      <c r="E1006" s="1856"/>
      <c r="F1006" s="1856"/>
      <c r="G1006" s="673"/>
    </row>
    <row r="1007" spans="1:9" ht="12.75" customHeight="1">
      <c r="A1007" s="1726"/>
      <c r="B1007" s="1726"/>
      <c r="C1007" s="551"/>
      <c r="D1007" s="6"/>
      <c r="E1007" s="6"/>
      <c r="F1007" s="6"/>
      <c r="G1007" s="673"/>
    </row>
    <row r="1008" spans="1:9" ht="12.75" customHeight="1">
      <c r="A1008" s="1891" t="s">
        <v>2315</v>
      </c>
      <c r="B1008" s="1891"/>
      <c r="C1008" s="1891"/>
      <c r="D1008" s="1891"/>
      <c r="E1008" s="1891"/>
      <c r="F1008" s="1891"/>
      <c r="G1008" s="1891"/>
      <c r="H1008" s="1837"/>
      <c r="I1008" s="1838"/>
    </row>
    <row r="1009" spans="1:9" ht="12.75" customHeight="1">
      <c r="A1009" s="1726"/>
      <c r="B1009" s="1726"/>
      <c r="C1009" s="551"/>
      <c r="D1009" s="6"/>
      <c r="E1009" s="6"/>
      <c r="F1009" s="6"/>
      <c r="G1009" s="673"/>
    </row>
    <row r="1010" spans="1:9" ht="12.75" customHeight="1">
      <c r="A1010" s="1710"/>
      <c r="B1010" s="1710"/>
      <c r="C1010" s="552"/>
      <c r="D1010" s="1900" t="s">
        <v>2316</v>
      </c>
      <c r="E1010" s="1900"/>
      <c r="F1010" s="1900"/>
      <c r="G1010" s="673"/>
    </row>
    <row r="1011" spans="1:9" ht="12.75" customHeight="1">
      <c r="A1011" s="1710"/>
      <c r="B1011" s="1710"/>
      <c r="C1011" s="552"/>
      <c r="D1011" s="1999" t="s">
        <v>2317</v>
      </c>
      <c r="E1011" s="1999"/>
      <c r="F1011" s="1999"/>
      <c r="G1011" s="673"/>
    </row>
    <row r="1012" spans="1:9" ht="12.75" customHeight="1">
      <c r="A1012" s="669"/>
      <c r="B1012" s="669"/>
      <c r="C1012" s="1699"/>
      <c r="D1012" s="673"/>
      <c r="E1012" s="673"/>
      <c r="F1012" s="673"/>
      <c r="G1012" s="673"/>
    </row>
    <row r="1013" spans="1:9" ht="12.75" customHeight="1">
      <c r="A1013" s="709"/>
      <c r="B1013" s="709"/>
      <c r="C1013" s="313"/>
      <c r="D1013" s="1900" t="s">
        <v>2331</v>
      </c>
      <c r="E1013" s="1900"/>
      <c r="F1013" s="1900"/>
      <c r="G1013" s="673"/>
      <c r="I1013" s="1758" t="s">
        <v>2454</v>
      </c>
    </row>
    <row r="1014" spans="1:9" ht="12.75" customHeight="1">
      <c r="A1014" s="1726"/>
      <c r="B1014" s="793" t="s">
        <v>2621</v>
      </c>
      <c r="C1014" s="551"/>
      <c r="D1014" s="1999" t="s">
        <v>1503</v>
      </c>
      <c r="E1014" s="1999"/>
      <c r="F1014" s="1999"/>
      <c r="G1014" s="673"/>
    </row>
    <row r="1015" spans="1:9" s="1756" customFormat="1" ht="12.75" customHeight="1">
      <c r="A1015" s="1726"/>
      <c r="B1015" s="709"/>
      <c r="C1015" s="551"/>
      <c r="D1015" s="1995" t="s">
        <v>2318</v>
      </c>
      <c r="E1015" s="1995"/>
      <c r="F1015" s="1995"/>
      <c r="G1015" s="673"/>
      <c r="I1015" s="1758"/>
    </row>
    <row r="1016" spans="1:9" ht="12.75" customHeight="1">
      <c r="A1016" s="1726"/>
      <c r="B1016" s="1726"/>
      <c r="C1016" s="551"/>
      <c r="D1016" s="1999"/>
      <c r="E1016" s="1999"/>
      <c r="F1016" s="1999"/>
      <c r="G1016" s="673"/>
    </row>
    <row r="1017" spans="1:9" ht="12.75" customHeight="1">
      <c r="A1017" s="1996" t="s">
        <v>2327</v>
      </c>
      <c r="B1017" s="1996"/>
      <c r="C1017" s="1996"/>
      <c r="D1017" s="1996"/>
      <c r="E1017" s="1996"/>
      <c r="F1017" s="1996"/>
      <c r="G1017" s="1996"/>
      <c r="H1017" s="1837"/>
      <c r="I1017" s="1838"/>
    </row>
    <row r="1018" spans="1:9" ht="12.75" customHeight="1">
      <c r="A1018" s="254"/>
      <c r="B1018" s="254"/>
      <c r="C1018" s="1718"/>
      <c r="D1018" s="681"/>
      <c r="E1018" s="681"/>
      <c r="F1018" s="681"/>
      <c r="G1018" s="681"/>
    </row>
    <row r="1019" spans="1:9" ht="12.75" customHeight="1">
      <c r="A1019" s="254"/>
      <c r="B1019" s="1753"/>
      <c r="C1019" s="1760"/>
      <c r="D1019" s="1894" t="s">
        <v>1504</v>
      </c>
      <c r="E1019" s="1894"/>
      <c r="F1019" s="1894"/>
      <c r="G1019" s="681"/>
    </row>
    <row r="1020" spans="1:9" ht="12.75" customHeight="1">
      <c r="A1020" s="254"/>
      <c r="B1020" s="1759" t="s">
        <v>2621</v>
      </c>
      <c r="C1020" s="1760"/>
      <c r="D1020" s="1873" t="s">
        <v>1503</v>
      </c>
      <c r="E1020" s="1873"/>
      <c r="F1020" s="1873"/>
      <c r="G1020" s="681"/>
    </row>
    <row r="1021" spans="1:9" ht="12.75" customHeight="1">
      <c r="A1021" s="254"/>
      <c r="B1021" s="1756"/>
      <c r="C1021" s="1760"/>
      <c r="D1021" s="1873" t="s">
        <v>2328</v>
      </c>
      <c r="E1021" s="1873"/>
      <c r="F1021" s="1873"/>
      <c r="G1021" s="681"/>
    </row>
    <row r="1022" spans="1:9" s="1756" customFormat="1" ht="12.75" customHeight="1">
      <c r="A1022" s="254"/>
      <c r="C1022" s="1760"/>
      <c r="D1022" s="1754"/>
      <c r="E1022" s="1754"/>
      <c r="F1022" s="1754"/>
      <c r="G1022" s="681"/>
      <c r="I1022" s="1758"/>
    </row>
    <row r="1023" spans="1:9" ht="12.75" customHeight="1">
      <c r="A1023" s="254"/>
      <c r="B1023" s="254"/>
      <c r="C1023" s="1718"/>
      <c r="D1023" s="1997" t="s">
        <v>1183</v>
      </c>
      <c r="E1023" s="1997"/>
      <c r="F1023" s="1997"/>
      <c r="G1023" s="681"/>
      <c r="I1023" s="1758" t="s">
        <v>2483</v>
      </c>
    </row>
    <row r="1024" spans="1:9" ht="12.75" customHeight="1">
      <c r="A1024" s="498"/>
      <c r="B1024" s="498"/>
      <c r="C1024" s="497"/>
      <c r="D1024" s="1998" t="s">
        <v>1200</v>
      </c>
      <c r="E1024" s="1998"/>
      <c r="F1024" s="1998"/>
      <c r="G1024" s="1747"/>
    </row>
    <row r="1025" spans="1:9" ht="12.75" customHeight="1">
      <c r="A1025" s="709"/>
      <c r="B1025" s="1759" t="s">
        <v>2516</v>
      </c>
      <c r="C1025" s="552"/>
      <c r="D1025" s="1885" t="s">
        <v>1068</v>
      </c>
      <c r="E1025" s="1885"/>
      <c r="F1025" s="1885"/>
      <c r="G1025" s="673"/>
    </row>
    <row r="1026" spans="1:9" ht="12.75" customHeight="1">
      <c r="A1026" s="1710"/>
      <c r="B1026" s="1710"/>
      <c r="C1026" s="552"/>
      <c r="D1026" s="6"/>
      <c r="E1026" s="1972" t="s">
        <v>1184</v>
      </c>
      <c r="F1026" s="1972"/>
      <c r="G1026" s="673"/>
    </row>
    <row r="1027" spans="1:9">
      <c r="A1027" s="785"/>
      <c r="B1027" s="785"/>
      <c r="C1027" s="785"/>
      <c r="D1027" s="785"/>
      <c r="E1027" s="785"/>
      <c r="F1027" s="785"/>
      <c r="G1027" s="785"/>
    </row>
    <row r="1028" spans="1:9">
      <c r="A1028" s="1996" t="s">
        <v>2348</v>
      </c>
      <c r="B1028" s="1996"/>
      <c r="C1028" s="1996"/>
      <c r="D1028" s="1996"/>
      <c r="E1028" s="1996"/>
      <c r="F1028" s="1996"/>
      <c r="G1028" s="1996"/>
      <c r="H1028" s="1837"/>
      <c r="I1028" s="1838"/>
    </row>
    <row r="1029" spans="1:9">
      <c r="A1029" s="785"/>
      <c r="B1029" s="785"/>
      <c r="C1029" s="785"/>
      <c r="D1029" s="785"/>
      <c r="E1029" s="785"/>
      <c r="F1029" s="785"/>
      <c r="G1029" s="785"/>
    </row>
    <row r="1030" spans="1:9">
      <c r="A1030" s="785"/>
      <c r="B1030" s="785"/>
      <c r="C1030" s="785"/>
      <c r="D1030" s="1758" t="s">
        <v>2334</v>
      </c>
      <c r="E1030" s="785"/>
      <c r="F1030" s="785"/>
      <c r="G1030" s="785"/>
    </row>
    <row r="1031" spans="1:9" s="1756" customFormat="1">
      <c r="D1031" s="1755" t="s">
        <v>2333</v>
      </c>
      <c r="I1031" s="1758"/>
    </row>
    <row r="1032" spans="1:9" s="1756" customFormat="1">
      <c r="D1032" s="1758"/>
      <c r="I1032" s="1758"/>
    </row>
    <row r="1033" spans="1:9">
      <c r="A1033" s="785"/>
      <c r="B1033" s="1759" t="s">
        <v>2516</v>
      </c>
      <c r="C1033" s="785"/>
      <c r="D1033" s="2003" t="s">
        <v>2332</v>
      </c>
      <c r="E1033" s="2003"/>
      <c r="F1033" s="2003"/>
      <c r="G1033" s="785"/>
      <c r="I1033" s="1758" t="s">
        <v>2455</v>
      </c>
    </row>
    <row r="1034" spans="1:9">
      <c r="A1034" s="785"/>
      <c r="B1034" s="785"/>
      <c r="C1034" s="785"/>
      <c r="D1034" s="2003"/>
      <c r="E1034" s="2003"/>
      <c r="F1034" s="2003"/>
      <c r="G1034" s="785"/>
    </row>
    <row r="1035" spans="1:9">
      <c r="A1035" s="785"/>
      <c r="B1035" s="785"/>
      <c r="C1035" s="785"/>
      <c r="D1035" s="2003"/>
      <c r="E1035" s="2003"/>
      <c r="F1035" s="2003"/>
      <c r="G1035" s="785"/>
    </row>
    <row r="1036" spans="1:9">
      <c r="A1036" s="785"/>
      <c r="B1036" s="785"/>
      <c r="C1036" s="785"/>
      <c r="D1036" s="2003"/>
      <c r="E1036" s="2003"/>
      <c r="F1036" s="2003"/>
      <c r="G1036" s="785"/>
    </row>
    <row r="1037" spans="1:9">
      <c r="A1037" s="785"/>
      <c r="B1037" s="785"/>
      <c r="C1037" s="785"/>
      <c r="D1037" s="785"/>
      <c r="E1037" s="785"/>
      <c r="F1037" s="785"/>
      <c r="G1037" s="785"/>
    </row>
    <row r="1038" spans="1:9">
      <c r="A1038" s="785"/>
      <c r="B1038" s="1756"/>
      <c r="C1038" s="785"/>
      <c r="D1038" s="1758" t="s">
        <v>1582</v>
      </c>
      <c r="E1038" s="785"/>
      <c r="F1038" s="785"/>
      <c r="G1038" s="785"/>
    </row>
    <row r="1039" spans="1:9">
      <c r="A1039" s="785"/>
      <c r="B1039" s="785"/>
      <c r="C1039" s="785"/>
      <c r="D1039" s="1756" t="s">
        <v>2335</v>
      </c>
      <c r="E1039" s="785"/>
      <c r="F1039" s="785"/>
      <c r="G1039" s="785"/>
    </row>
    <row r="1040" spans="1:9">
      <c r="A1040" s="785"/>
      <c r="B1040" s="785"/>
      <c r="C1040" s="785"/>
      <c r="D1040" s="785"/>
      <c r="E1040" s="785"/>
      <c r="F1040" s="785"/>
      <c r="G1040" s="785"/>
    </row>
    <row r="1041" spans="1:9">
      <c r="A1041" s="785"/>
      <c r="B1041" s="1759" t="s">
        <v>2516</v>
      </c>
      <c r="C1041" s="785"/>
      <c r="D1041" s="1756" t="s">
        <v>2330</v>
      </c>
      <c r="E1041" s="785"/>
      <c r="F1041" s="785"/>
      <c r="G1041" s="785"/>
      <c r="I1041" s="1758" t="s">
        <v>2456</v>
      </c>
    </row>
    <row r="1042" spans="1:9">
      <c r="A1042" s="785"/>
      <c r="B1042" s="785"/>
      <c r="C1042" s="785"/>
      <c r="D1042" s="785"/>
      <c r="E1042" s="785"/>
      <c r="F1042" s="785"/>
      <c r="G1042" s="785"/>
    </row>
    <row r="1043" spans="1:9">
      <c r="A1043" s="785"/>
      <c r="B1043" s="1759" t="s">
        <v>2516</v>
      </c>
      <c r="C1043" s="785"/>
      <c r="D1043" s="2003" t="s">
        <v>2336</v>
      </c>
      <c r="E1043" s="2003"/>
      <c r="F1043" s="2003"/>
      <c r="G1043" s="785"/>
      <c r="I1043" s="1758" t="s">
        <v>2457</v>
      </c>
    </row>
    <row r="1044" spans="1:9">
      <c r="A1044" s="785"/>
      <c r="B1044" s="785"/>
      <c r="C1044" s="785"/>
      <c r="D1044" s="2003"/>
      <c r="E1044" s="2003"/>
      <c r="F1044" s="2003"/>
      <c r="G1044" s="785"/>
    </row>
    <row r="1045" spans="1:9">
      <c r="A1045" s="785"/>
      <c r="B1045" s="785"/>
      <c r="C1045" s="785"/>
      <c r="D1045" s="2003"/>
      <c r="E1045" s="2003"/>
      <c r="F1045" s="2003"/>
      <c r="G1045" s="785"/>
    </row>
    <row r="1046" spans="1:9">
      <c r="A1046" s="785"/>
      <c r="B1046" s="785"/>
      <c r="C1046" s="785"/>
      <c r="D1046" s="2003"/>
      <c r="E1046" s="2003"/>
      <c r="F1046" s="2003"/>
      <c r="G1046" s="785"/>
    </row>
    <row r="1047" spans="1:9">
      <c r="A1047" s="785"/>
      <c r="B1047" s="785"/>
      <c r="C1047" s="785"/>
      <c r="D1047" s="2003"/>
      <c r="E1047" s="2003"/>
      <c r="F1047" s="2003"/>
      <c r="G1047" s="785"/>
    </row>
    <row r="1048" spans="1:9">
      <c r="A1048" s="785"/>
      <c r="B1048" s="785"/>
      <c r="C1048" s="785"/>
      <c r="D1048" s="785"/>
      <c r="E1048" s="785"/>
      <c r="F1048" s="785"/>
      <c r="G1048" s="785"/>
    </row>
    <row r="1049" spans="1:9">
      <c r="A1049" s="1996" t="s">
        <v>2337</v>
      </c>
      <c r="B1049" s="1996"/>
      <c r="C1049" s="1996"/>
      <c r="D1049" s="1996"/>
      <c r="E1049" s="1996"/>
      <c r="F1049" s="1996"/>
      <c r="G1049" s="1996"/>
      <c r="H1049" s="1837"/>
      <c r="I1049" s="1838"/>
    </row>
    <row r="1050" spans="1:9">
      <c r="A1050" s="785"/>
      <c r="B1050" s="785"/>
      <c r="C1050" s="785"/>
      <c r="D1050" s="785"/>
      <c r="E1050" s="785"/>
      <c r="F1050" s="785"/>
      <c r="G1050" s="785"/>
    </row>
    <row r="1051" spans="1:9">
      <c r="A1051" s="785"/>
      <c r="B1051" s="785"/>
      <c r="C1051" s="785"/>
      <c r="D1051" s="785"/>
      <c r="E1051" s="785"/>
      <c r="F1051" s="785"/>
      <c r="G1051" s="785"/>
    </row>
    <row r="1052" spans="1:9">
      <c r="A1052" s="785"/>
      <c r="B1052" s="1759" t="s">
        <v>2621</v>
      </c>
      <c r="C1052" s="785"/>
      <c r="D1052" s="1751" t="s">
        <v>2340</v>
      </c>
      <c r="E1052" s="1755"/>
      <c r="F1052" s="785"/>
      <c r="G1052" s="785"/>
      <c r="I1052" s="1758" t="s">
        <v>2458</v>
      </c>
    </row>
    <row r="1053" spans="1:9">
      <c r="A1053" s="785"/>
      <c r="B1053" s="785"/>
      <c r="C1053" s="785"/>
      <c r="D1053" s="1751" t="s">
        <v>2342</v>
      </c>
      <c r="E1053" s="1755"/>
      <c r="F1053" s="785"/>
      <c r="G1053" s="785"/>
    </row>
    <row r="1054" spans="1:9" s="1756" customFormat="1">
      <c r="D1054" s="1751"/>
      <c r="E1054" s="1755"/>
      <c r="I1054" s="1758"/>
    </row>
    <row r="1055" spans="1:9">
      <c r="A1055" s="785"/>
      <c r="B1055" s="1759" t="s">
        <v>2621</v>
      </c>
      <c r="C1055" s="785"/>
      <c r="D1055" s="1751" t="s">
        <v>2343</v>
      </c>
      <c r="E1055" s="1755"/>
      <c r="F1055" s="785"/>
      <c r="G1055" s="785"/>
      <c r="I1055" s="1758" t="s">
        <v>2459</v>
      </c>
    </row>
    <row r="1056" spans="1:9" s="1756" customFormat="1">
      <c r="D1056" s="1751" t="s">
        <v>2341</v>
      </c>
      <c r="E1056" s="1755"/>
      <c r="I1056" s="1758"/>
    </row>
    <row r="1057" spans="1:9" s="1756" customFormat="1">
      <c r="D1057" s="1751"/>
      <c r="E1057" s="1755"/>
      <c r="I1057" s="1758"/>
    </row>
    <row r="1058" spans="1:9">
      <c r="A1058" s="785"/>
      <c r="B1058" s="1759" t="s">
        <v>2516</v>
      </c>
      <c r="C1058" s="785"/>
      <c r="D1058" s="1750" t="s">
        <v>2346</v>
      </c>
      <c r="E1058" s="1755"/>
      <c r="F1058" s="785"/>
      <c r="G1058" s="785"/>
      <c r="I1058" s="1758" t="s">
        <v>2460</v>
      </c>
    </row>
    <row r="1059" spans="1:9" s="1756" customFormat="1">
      <c r="D1059" s="2004" t="s">
        <v>2347</v>
      </c>
      <c r="E1059" s="2004"/>
      <c r="F1059" s="2004"/>
      <c r="I1059" s="1758"/>
    </row>
    <row r="1060" spans="1:9" s="1756" customFormat="1">
      <c r="D1060" s="2004"/>
      <c r="E1060" s="2004"/>
      <c r="F1060" s="2004"/>
      <c r="I1060" s="1758"/>
    </row>
    <row r="1061" spans="1:9" s="1756" customFormat="1">
      <c r="D1061" s="2004"/>
      <c r="E1061" s="2004"/>
      <c r="F1061" s="2004"/>
      <c r="I1061" s="1758"/>
    </row>
    <row r="1062" spans="1:9" s="1756" customFormat="1">
      <c r="D1062" s="2004"/>
      <c r="E1062" s="2004"/>
      <c r="F1062" s="2004"/>
      <c r="I1062" s="1758"/>
    </row>
    <row r="1063" spans="1:9" s="1756" customFormat="1">
      <c r="D1063" s="1750" t="s">
        <v>2345</v>
      </c>
      <c r="E1063" s="1755"/>
      <c r="I1063" s="1758"/>
    </row>
    <row r="1064" spans="1:9" s="1756" customFormat="1">
      <c r="D1064" s="1750"/>
      <c r="E1064" s="1755"/>
      <c r="I1064" s="1758"/>
    </row>
    <row r="1065" spans="1:9">
      <c r="A1065" s="785"/>
      <c r="B1065" s="785"/>
      <c r="C1065" s="785"/>
      <c r="D1065" s="1751" t="s">
        <v>2338</v>
      </c>
      <c r="E1065" s="1755"/>
      <c r="F1065" s="785"/>
      <c r="G1065" s="785"/>
      <c r="I1065" s="1758" t="s">
        <v>2461</v>
      </c>
    </row>
    <row r="1066" spans="1:9">
      <c r="A1066" s="785"/>
      <c r="B1066" s="1759" t="s">
        <v>2516</v>
      </c>
      <c r="C1066" s="785"/>
      <c r="D1066" s="2001" t="s">
        <v>2339</v>
      </c>
      <c r="E1066" s="2001"/>
      <c r="F1066" s="2001"/>
      <c r="G1066" s="785"/>
    </row>
    <row r="1067" spans="1:9" s="1756" customFormat="1">
      <c r="D1067" s="2001"/>
      <c r="E1067" s="2001"/>
      <c r="F1067" s="2001"/>
      <c r="I1067" s="1758"/>
    </row>
    <row r="1068" spans="1:9" s="1756" customFormat="1">
      <c r="D1068" s="2001"/>
      <c r="E1068" s="2001"/>
      <c r="F1068" s="2001"/>
      <c r="I1068" s="1758"/>
    </row>
    <row r="1069" spans="1:9" s="1756" customFormat="1">
      <c r="D1069" s="2001"/>
      <c r="E1069" s="2001"/>
      <c r="F1069" s="2001"/>
      <c r="I1069" s="1758"/>
    </row>
    <row r="1070" spans="1:9">
      <c r="A1070" s="785"/>
      <c r="B1070" s="785"/>
      <c r="C1070" s="785"/>
      <c r="D1070" s="2001"/>
      <c r="E1070" s="2001"/>
      <c r="F1070" s="2001"/>
      <c r="G1070" s="785"/>
    </row>
    <row r="1071" spans="1:9">
      <c r="A1071" s="785"/>
      <c r="B1071" s="785"/>
      <c r="C1071" s="785"/>
      <c r="D1071" s="1751" t="s">
        <v>2344</v>
      </c>
      <c r="E1071" s="785"/>
      <c r="F1071" s="785"/>
      <c r="G1071" s="785"/>
    </row>
    <row r="1072" spans="1:9">
      <c r="A1072" s="785"/>
      <c r="B1072" s="785"/>
      <c r="C1072" s="785"/>
      <c r="D1072" s="785"/>
      <c r="E1072" s="785"/>
      <c r="F1072" s="785"/>
      <c r="G1072" s="785"/>
    </row>
    <row r="1073" spans="1:9">
      <c r="A1073" s="1996" t="s">
        <v>2349</v>
      </c>
      <c r="B1073" s="1996"/>
      <c r="C1073" s="1996"/>
      <c r="D1073" s="1996"/>
      <c r="E1073" s="1996"/>
      <c r="F1073" s="1996"/>
      <c r="G1073" s="1996"/>
      <c r="H1073" s="1837"/>
      <c r="I1073" s="1838"/>
    </row>
    <row r="1074" spans="1:9">
      <c r="A1074" s="785"/>
      <c r="B1074" s="785"/>
      <c r="C1074" s="785"/>
      <c r="D1074" s="785"/>
      <c r="E1074" s="785"/>
      <c r="F1074" s="785"/>
      <c r="G1074" s="785"/>
    </row>
    <row r="1075" spans="1:9">
      <c r="A1075" s="785"/>
      <c r="B1075" s="785"/>
      <c r="C1075" s="785"/>
      <c r="D1075" s="785"/>
      <c r="E1075" s="785"/>
      <c r="F1075" s="785"/>
      <c r="G1075" s="785"/>
    </row>
    <row r="1076" spans="1:9">
      <c r="A1076" s="785"/>
      <c r="B1076" s="1759" t="s">
        <v>2516</v>
      </c>
      <c r="C1076" s="785"/>
      <c r="D1076" s="2001" t="s">
        <v>2350</v>
      </c>
      <c r="E1076" s="2001"/>
      <c r="F1076" s="2001"/>
      <c r="G1076" s="785"/>
      <c r="I1076" s="1758" t="s">
        <v>2462</v>
      </c>
    </row>
    <row r="1077" spans="1:9" s="1756" customFormat="1">
      <c r="D1077" s="2001"/>
      <c r="E1077" s="2001"/>
      <c r="F1077" s="2001"/>
      <c r="I1077" s="1758"/>
    </row>
    <row r="1078" spans="1:9" s="1756" customFormat="1">
      <c r="D1078" s="2001"/>
      <c r="E1078" s="2001"/>
      <c r="F1078" s="2001"/>
      <c r="I1078" s="1758"/>
    </row>
    <row r="1079" spans="1:9" s="1756" customFormat="1">
      <c r="D1079" s="1751"/>
      <c r="I1079" s="1758"/>
    </row>
    <row r="1080" spans="1:9">
      <c r="A1080" s="785"/>
      <c r="B1080" s="1759" t="s">
        <v>2516</v>
      </c>
      <c r="C1080" s="785"/>
      <c r="D1080" s="2001" t="s">
        <v>2351</v>
      </c>
      <c r="E1080" s="2001"/>
      <c r="F1080" s="2001"/>
      <c r="G1080" s="785"/>
      <c r="I1080" s="1758" t="s">
        <v>2463</v>
      </c>
    </row>
    <row r="1081" spans="1:9" s="1756" customFormat="1">
      <c r="D1081" s="2001"/>
      <c r="E1081" s="2001"/>
      <c r="F1081" s="2001"/>
      <c r="I1081" s="1758"/>
    </row>
    <row r="1082" spans="1:9" s="1756" customFormat="1">
      <c r="D1082" s="1751"/>
      <c r="I1082" s="1758"/>
    </row>
    <row r="1083" spans="1:9">
      <c r="A1083" s="785"/>
      <c r="B1083" s="1759" t="s">
        <v>2516</v>
      </c>
      <c r="C1083" s="785"/>
      <c r="D1083" s="2001" t="s">
        <v>2510</v>
      </c>
      <c r="E1083" s="2001"/>
      <c r="F1083" s="2001"/>
      <c r="G1083" s="785"/>
      <c r="I1083" s="1758" t="s">
        <v>2508</v>
      </c>
    </row>
    <row r="1084" spans="1:9" s="1756" customFormat="1">
      <c r="D1084" s="2001"/>
      <c r="E1084" s="2001"/>
      <c r="F1084" s="2001"/>
      <c r="I1084" s="1758"/>
    </row>
    <row r="1085" spans="1:9" s="1756" customFormat="1">
      <c r="D1085" s="2001"/>
      <c r="E1085" s="2001"/>
      <c r="F1085" s="2001"/>
      <c r="I1085" s="1758"/>
    </row>
    <row r="1086" spans="1:9" s="1756" customFormat="1">
      <c r="D1086" s="2001"/>
      <c r="E1086" s="2001"/>
      <c r="F1086" s="2001"/>
      <c r="I1086" s="1758"/>
    </row>
    <row r="1087" spans="1:9" s="1756" customFormat="1">
      <c r="D1087" s="2001"/>
      <c r="E1087" s="2001"/>
      <c r="F1087" s="2001"/>
      <c r="I1087" s="1758"/>
    </row>
    <row r="1088" spans="1:9" s="1756" customFormat="1">
      <c r="D1088" s="2001"/>
      <c r="E1088" s="2001"/>
      <c r="F1088" s="2001"/>
      <c r="I1088" s="1758"/>
    </row>
    <row r="1089" spans="1:9" s="1757" customFormat="1">
      <c r="B1089" s="1756"/>
      <c r="D1089" s="1751" t="s">
        <v>2509</v>
      </c>
    </row>
    <row r="1090" spans="1:9">
      <c r="A1090" s="785"/>
      <c r="B1090" s="1759" t="s">
        <v>2516</v>
      </c>
      <c r="C1090" s="785"/>
      <c r="D1090" s="2001" t="s">
        <v>2352</v>
      </c>
      <c r="E1090" s="2001"/>
      <c r="F1090" s="2001"/>
      <c r="G1090" s="785"/>
      <c r="I1090" s="1821" t="s">
        <v>2464</v>
      </c>
    </row>
    <row r="1091" spans="1:9" s="1756" customFormat="1">
      <c r="D1091" s="2001"/>
      <c r="E1091" s="2001"/>
      <c r="F1091" s="2001"/>
      <c r="I1091" s="1758"/>
    </row>
    <row r="1092" spans="1:9" s="1756" customFormat="1">
      <c r="D1092" s="2001"/>
      <c r="E1092" s="2001"/>
      <c r="F1092" s="2001"/>
      <c r="I1092" s="1758"/>
    </row>
    <row r="1093" spans="1:9" s="1756" customFormat="1">
      <c r="D1093" s="1751"/>
      <c r="I1093" s="1758"/>
    </row>
    <row r="1094" spans="1:9">
      <c r="A1094" s="785"/>
      <c r="B1094" s="1759" t="s">
        <v>2516</v>
      </c>
      <c r="C1094" s="785"/>
      <c r="D1094" s="2002" t="s">
        <v>2511</v>
      </c>
      <c r="E1094" s="2002"/>
      <c r="F1094" s="2002"/>
      <c r="G1094" s="785"/>
      <c r="I1094" s="1758" t="s">
        <v>2465</v>
      </c>
    </row>
    <row r="1095" spans="1:9">
      <c r="A1095" s="785"/>
      <c r="B1095" s="785"/>
      <c r="C1095" s="785"/>
      <c r="D1095" s="2002"/>
      <c r="E1095" s="2002"/>
      <c r="F1095" s="2002"/>
      <c r="G1095" s="785"/>
    </row>
    <row r="1096" spans="1:9">
      <c r="A1096" s="785"/>
      <c r="B1096" s="785"/>
      <c r="C1096" s="785"/>
      <c r="D1096" s="2002"/>
      <c r="E1096" s="2002"/>
      <c r="F1096" s="2002"/>
      <c r="G1096" s="785"/>
    </row>
    <row r="1097" spans="1:9" s="1756" customFormat="1">
      <c r="D1097" s="1833"/>
      <c r="E1097" s="1833"/>
      <c r="F1097" s="1833"/>
      <c r="I1097" s="1758"/>
    </row>
    <row r="1098" spans="1:9" s="1756" customFormat="1" ht="15.75" customHeight="1">
      <c r="B1098" s="1759" t="s">
        <v>2516</v>
      </c>
      <c r="D1098" s="1858" t="s">
        <v>2513</v>
      </c>
      <c r="E1098" s="1858"/>
      <c r="F1098" s="1858"/>
      <c r="I1098" s="1758" t="s">
        <v>2512</v>
      </c>
    </row>
    <row r="1099" spans="1:9" s="1756" customFormat="1">
      <c r="D1099" s="1858"/>
      <c r="E1099" s="1858"/>
      <c r="F1099" s="1858"/>
      <c r="I1099" s="1758"/>
    </row>
    <row r="1100" spans="1:9" s="1756" customFormat="1">
      <c r="D1100" s="1858"/>
      <c r="E1100" s="1858"/>
      <c r="F1100" s="1858"/>
      <c r="I1100" s="1758"/>
    </row>
    <row r="1101" spans="1:9" s="1756" customFormat="1">
      <c r="D1101" s="1858"/>
      <c r="E1101" s="1858"/>
      <c r="F1101" s="1858"/>
      <c r="I1101" s="1758"/>
    </row>
    <row r="1102" spans="1:9" s="1756" customFormat="1">
      <c r="D1102" s="1833"/>
      <c r="E1102" s="1833"/>
      <c r="F1102" s="1833"/>
      <c r="I1102" s="1758"/>
    </row>
    <row r="1103" spans="1:9" ht="39.6">
      <c r="A1103" s="785"/>
      <c r="B1103" s="785"/>
      <c r="C1103" s="785"/>
      <c r="D1103" s="785"/>
      <c r="E1103" s="785"/>
      <c r="F1103" s="785"/>
      <c r="G1103" s="785"/>
      <c r="I1103" s="1828" t="s">
        <v>2514</v>
      </c>
    </row>
    <row r="1104" spans="1:9">
      <c r="A1104" s="785"/>
      <c r="B1104" s="785"/>
      <c r="C1104" s="785"/>
      <c r="D1104" s="785"/>
      <c r="E1104" s="785"/>
      <c r="F1104" s="785"/>
      <c r="G1104" s="785"/>
    </row>
    <row r="1105" spans="1:7">
      <c r="A1105" s="785"/>
      <c r="B1105" s="785"/>
      <c r="C1105" s="785"/>
      <c r="D1105" s="785"/>
      <c r="E1105" s="785"/>
      <c r="F1105" s="785"/>
      <c r="G1105" s="785"/>
    </row>
    <row r="1106" spans="1:7">
      <c r="A1106" s="785"/>
      <c r="B1106" s="785"/>
      <c r="C1106" s="785"/>
      <c r="D1106" s="785"/>
      <c r="E1106" s="785"/>
      <c r="F1106" s="785"/>
      <c r="G1106" s="785"/>
    </row>
    <row r="1107" spans="1:7">
      <c r="A1107" s="785"/>
      <c r="B1107" s="785"/>
      <c r="C1107" s="785"/>
      <c r="D1107" s="785"/>
      <c r="E1107" s="785"/>
      <c r="F1107" s="785"/>
      <c r="G1107" s="785"/>
    </row>
    <row r="1108" spans="1:7">
      <c r="A1108" s="785"/>
      <c r="B1108" s="785"/>
      <c r="C1108" s="785"/>
      <c r="D1108" s="785"/>
      <c r="E1108" s="785"/>
      <c r="F1108" s="785"/>
      <c r="G1108" s="785"/>
    </row>
    <row r="1109" spans="1:7">
      <c r="A1109" s="785"/>
      <c r="B1109" s="785"/>
      <c r="C1109" s="785"/>
      <c r="D1109" s="785"/>
      <c r="E1109" s="785"/>
      <c r="F1109" s="785"/>
      <c r="G1109" s="785"/>
    </row>
    <row r="1110" spans="1:7">
      <c r="A1110" s="785"/>
      <c r="B1110" s="785"/>
      <c r="C1110" s="785"/>
      <c r="D1110" s="785"/>
      <c r="E1110" s="785"/>
      <c r="F1110" s="785"/>
      <c r="G1110" s="785"/>
    </row>
    <row r="1111" spans="1:7">
      <c r="A1111" s="785"/>
      <c r="B1111" s="785"/>
      <c r="C1111" s="785"/>
      <c r="D1111" s="785"/>
      <c r="E1111" s="785"/>
      <c r="F1111" s="785"/>
      <c r="G1111" s="785"/>
    </row>
    <row r="1112" spans="1:7">
      <c r="A1112" s="785"/>
      <c r="B1112" s="785"/>
      <c r="C1112" s="785"/>
      <c r="D1112" s="785"/>
      <c r="E1112" s="785"/>
      <c r="F1112" s="785"/>
      <c r="G1112" s="785"/>
    </row>
    <row r="1113" spans="1:7">
      <c r="A1113" s="785"/>
      <c r="B1113" s="785"/>
      <c r="C1113" s="785"/>
      <c r="D1113" s="785"/>
      <c r="E1113" s="785"/>
      <c r="F1113" s="785"/>
      <c r="G1113" s="785"/>
    </row>
    <row r="1114" spans="1:7">
      <c r="A1114" s="785"/>
      <c r="B1114" s="785"/>
      <c r="C1114" s="785"/>
      <c r="D1114" s="785"/>
      <c r="E1114" s="785"/>
      <c r="F1114" s="785"/>
      <c r="G1114" s="785"/>
    </row>
    <row r="1115" spans="1:7">
      <c r="A1115" s="785"/>
      <c r="B1115" s="785"/>
      <c r="C1115" s="785"/>
      <c r="D1115" s="785"/>
      <c r="E1115" s="785"/>
      <c r="F1115" s="785"/>
      <c r="G1115" s="785"/>
    </row>
    <row r="1116" spans="1:7">
      <c r="A1116" s="785"/>
      <c r="B1116" s="785"/>
      <c r="C1116" s="785"/>
      <c r="D1116" s="785"/>
      <c r="E1116" s="785"/>
      <c r="F1116" s="785"/>
      <c r="G1116" s="785"/>
    </row>
    <row r="1117" spans="1:7">
      <c r="A1117" s="785"/>
      <c r="B1117" s="785"/>
      <c r="C1117" s="785"/>
      <c r="D1117" s="785"/>
      <c r="E1117" s="785"/>
      <c r="F1117" s="785"/>
      <c r="G1117" s="785"/>
    </row>
    <row r="1118" spans="1:7">
      <c r="A1118" s="785"/>
      <c r="B1118" s="785"/>
      <c r="C1118" s="785"/>
      <c r="D1118" s="785"/>
      <c r="E1118" s="785"/>
      <c r="F1118" s="785"/>
      <c r="G1118" s="785"/>
    </row>
    <row r="1119" spans="1:7">
      <c r="A1119" s="785"/>
      <c r="B1119" s="785"/>
      <c r="C1119" s="785"/>
      <c r="D1119" s="785"/>
      <c r="E1119" s="785"/>
      <c r="F1119" s="785"/>
      <c r="G1119" s="785"/>
    </row>
    <row r="1120" spans="1:7">
      <c r="A1120" s="785"/>
      <c r="B1120" s="785"/>
      <c r="C1120" s="785"/>
      <c r="D1120" s="785"/>
      <c r="E1120" s="785"/>
      <c r="F1120" s="785"/>
      <c r="G1120" s="785"/>
    </row>
    <row r="1121" spans="1:7"/>
    <row r="1122" spans="1:7"/>
    <row r="1123" spans="1:7"/>
    <row r="1124" spans="1:7"/>
    <row r="1125" spans="1:7"/>
    <row r="1126" spans="1:7"/>
    <row r="1127" spans="1:7"/>
    <row r="1128" spans="1:7">
      <c r="A1128" s="785"/>
      <c r="B1128" s="785"/>
      <c r="C1128" s="785"/>
      <c r="D1128" s="785"/>
      <c r="E1128" s="785"/>
      <c r="F1128" s="785"/>
      <c r="G1128" s="785"/>
    </row>
    <row r="1129" spans="1:7">
      <c r="A1129" s="785"/>
      <c r="B1129" s="785"/>
      <c r="C1129" s="785"/>
      <c r="D1129" s="785"/>
      <c r="E1129" s="785"/>
      <c r="F1129" s="785"/>
      <c r="G1129" s="785"/>
    </row>
    <row r="1130" spans="1:7">
      <c r="A1130" s="785"/>
      <c r="B1130" s="785"/>
      <c r="C1130" s="785"/>
      <c r="D1130" s="785"/>
      <c r="E1130" s="785"/>
      <c r="F1130" s="785"/>
      <c r="G1130" s="785"/>
    </row>
    <row r="1131" spans="1:7">
      <c r="A1131" s="785"/>
      <c r="B1131" s="785"/>
      <c r="C1131" s="785"/>
      <c r="D1131" s="785"/>
      <c r="E1131" s="785"/>
      <c r="F1131" s="785"/>
      <c r="G1131" s="785"/>
    </row>
    <row r="1132" spans="1:7">
      <c r="A1132" s="785"/>
      <c r="B1132" s="785"/>
      <c r="C1132" s="785"/>
      <c r="D1132" s="785"/>
      <c r="E1132" s="785"/>
      <c r="F1132" s="785"/>
      <c r="G1132" s="785"/>
    </row>
    <row r="1133" spans="1:7">
      <c r="A1133" s="785"/>
      <c r="B1133" s="785"/>
      <c r="C1133" s="785"/>
      <c r="D1133" s="785"/>
      <c r="E1133" s="785"/>
      <c r="F1133" s="785"/>
      <c r="G1133" s="785"/>
    </row>
    <row r="1134" spans="1:7">
      <c r="A1134" s="785"/>
      <c r="B1134" s="785"/>
      <c r="C1134" s="785"/>
      <c r="D1134" s="785"/>
      <c r="E1134" s="785"/>
      <c r="F1134" s="785"/>
      <c r="G1134" s="785"/>
    </row>
    <row r="1135" spans="1:7">
      <c r="A1135" s="785"/>
      <c r="B1135" s="785"/>
      <c r="C1135" s="785"/>
      <c r="D1135" s="785"/>
      <c r="E1135" s="785"/>
      <c r="F1135" s="785"/>
      <c r="G1135" s="785"/>
    </row>
    <row r="1136" spans="1:7">
      <c r="A1136" s="785"/>
      <c r="B1136" s="785"/>
      <c r="C1136" s="785"/>
      <c r="D1136" s="785"/>
      <c r="E1136" s="785"/>
      <c r="F1136" s="785"/>
      <c r="G1136" s="785"/>
    </row>
    <row r="1137" spans="1:7">
      <c r="A1137" s="785"/>
      <c r="B1137" s="785"/>
      <c r="C1137" s="785"/>
      <c r="D1137" s="785"/>
      <c r="E1137" s="785"/>
      <c r="F1137" s="785"/>
      <c r="G1137" s="785"/>
    </row>
    <row r="1138" spans="1:7">
      <c r="A1138" s="785"/>
      <c r="B1138" s="785"/>
      <c r="C1138" s="785"/>
      <c r="D1138" s="785"/>
      <c r="E1138" s="785"/>
      <c r="F1138" s="785"/>
      <c r="G1138" s="785"/>
    </row>
    <row r="1139" spans="1:7">
      <c r="A1139" s="785"/>
      <c r="B1139" s="785"/>
      <c r="C1139" s="785"/>
      <c r="D1139" s="785"/>
      <c r="E1139" s="785"/>
      <c r="F1139" s="785"/>
      <c r="G1139" s="785"/>
    </row>
    <row r="1140" spans="1:7">
      <c r="A1140" s="785"/>
      <c r="B1140" s="785"/>
      <c r="C1140" s="785"/>
      <c r="D1140" s="785"/>
      <c r="E1140" s="785"/>
      <c r="F1140" s="785"/>
      <c r="G1140" s="785"/>
    </row>
    <row r="1141" spans="1:7">
      <c r="A1141" s="785"/>
      <c r="B1141" s="785"/>
      <c r="C1141" s="785"/>
      <c r="D1141" s="785"/>
      <c r="E1141" s="785"/>
      <c r="F1141" s="785"/>
      <c r="G1141" s="785"/>
    </row>
    <row r="1142" spans="1:7">
      <c r="A1142" s="785"/>
      <c r="B1142" s="785"/>
      <c r="C1142" s="785"/>
      <c r="D1142" s="785"/>
      <c r="E1142" s="785"/>
      <c r="F1142" s="785"/>
      <c r="G1142" s="785"/>
    </row>
    <row r="1143" spans="1:7">
      <c r="A1143" s="785"/>
      <c r="B1143" s="785"/>
      <c r="C1143" s="785"/>
      <c r="D1143" s="785"/>
      <c r="E1143" s="785"/>
      <c r="F1143" s="785"/>
      <c r="G1143" s="785"/>
    </row>
    <row r="1144" spans="1:7">
      <c r="A1144" s="785"/>
      <c r="B1144" s="785"/>
      <c r="C1144" s="785"/>
      <c r="D1144" s="785"/>
      <c r="E1144" s="785"/>
      <c r="F1144" s="785"/>
      <c r="G1144" s="785"/>
    </row>
    <row r="1145" spans="1:7">
      <c r="A1145" s="785"/>
      <c r="B1145" s="785"/>
      <c r="C1145" s="785"/>
      <c r="D1145" s="785"/>
      <c r="E1145" s="785"/>
      <c r="F1145" s="785"/>
      <c r="G1145" s="785"/>
    </row>
    <row r="1146" spans="1:7">
      <c r="A1146" s="785"/>
      <c r="B1146" s="785"/>
      <c r="C1146" s="785"/>
      <c r="D1146" s="785"/>
      <c r="E1146" s="785"/>
      <c r="F1146" s="785"/>
      <c r="G1146" s="785"/>
    </row>
    <row r="1147" spans="1:7">
      <c r="A1147" s="785"/>
      <c r="B1147" s="785"/>
      <c r="C1147" s="785"/>
      <c r="D1147" s="785"/>
      <c r="E1147" s="785"/>
      <c r="F1147" s="785"/>
      <c r="G1147" s="785"/>
    </row>
    <row r="1148" spans="1:7">
      <c r="A1148" s="785"/>
      <c r="B1148" s="785"/>
      <c r="C1148" s="785"/>
      <c r="D1148" s="785"/>
      <c r="E1148" s="785"/>
      <c r="F1148" s="785"/>
      <c r="G1148" s="785"/>
    </row>
    <row r="1149" spans="1:7">
      <c r="A1149" s="785"/>
      <c r="B1149" s="785"/>
      <c r="C1149" s="785"/>
      <c r="D1149" s="785"/>
      <c r="E1149" s="785"/>
      <c r="F1149" s="785"/>
      <c r="G1149" s="785"/>
    </row>
    <row r="1150" spans="1:7">
      <c r="A1150" s="785"/>
      <c r="B1150" s="785"/>
      <c r="C1150" s="785"/>
      <c r="D1150" s="785"/>
      <c r="E1150" s="785"/>
      <c r="F1150" s="785"/>
      <c r="G1150" s="785"/>
    </row>
    <row r="1151" spans="1:7">
      <c r="A1151" s="785"/>
      <c r="B1151" s="785"/>
      <c r="C1151" s="785"/>
      <c r="D1151" s="785"/>
      <c r="E1151" s="785"/>
      <c r="F1151" s="785"/>
      <c r="G1151" s="785"/>
    </row>
    <row r="1152" spans="1:7">
      <c r="A1152" s="785"/>
      <c r="B1152" s="785"/>
      <c r="C1152" s="785"/>
      <c r="D1152" s="785"/>
      <c r="E1152" s="785"/>
      <c r="F1152" s="785"/>
      <c r="G1152" s="785"/>
    </row>
    <row r="1153" spans="1:7">
      <c r="A1153" s="785"/>
      <c r="B1153" s="785"/>
      <c r="C1153" s="785"/>
      <c r="D1153" s="785"/>
      <c r="E1153" s="785"/>
      <c r="F1153" s="785"/>
      <c r="G1153" s="785"/>
    </row>
    <row r="1154" spans="1:7">
      <c r="A1154" s="785"/>
      <c r="B1154" s="785"/>
      <c r="C1154" s="785"/>
      <c r="D1154" s="785"/>
      <c r="E1154" s="785"/>
      <c r="F1154" s="785"/>
      <c r="G1154" s="785"/>
    </row>
    <row r="1155" spans="1:7">
      <c r="A1155" s="785"/>
      <c r="B1155" s="785"/>
      <c r="C1155" s="785"/>
      <c r="D1155" s="785"/>
      <c r="E1155" s="785"/>
      <c r="F1155" s="785"/>
      <c r="G1155" s="785"/>
    </row>
    <row r="1156" spans="1:7">
      <c r="A1156" s="785"/>
      <c r="B1156" s="785"/>
      <c r="C1156" s="785"/>
      <c r="D1156" s="785"/>
      <c r="E1156" s="785"/>
      <c r="F1156" s="785"/>
      <c r="G1156" s="785"/>
    </row>
    <row r="1157" spans="1:7">
      <c r="A1157" s="785"/>
      <c r="B1157" s="785"/>
      <c r="C1157" s="785"/>
      <c r="D1157" s="785"/>
      <c r="E1157" s="785"/>
      <c r="F1157" s="785"/>
      <c r="G1157" s="785"/>
    </row>
    <row r="1158" spans="1:7">
      <c r="A1158" s="785"/>
      <c r="B1158" s="785"/>
      <c r="C1158" s="785"/>
      <c r="D1158" s="785"/>
      <c r="E1158" s="785"/>
      <c r="F1158" s="785"/>
      <c r="G1158" s="785"/>
    </row>
    <row r="1159" spans="1:7">
      <c r="A1159" s="785"/>
      <c r="B1159" s="785"/>
      <c r="C1159" s="785"/>
      <c r="D1159" s="785"/>
      <c r="E1159" s="785"/>
      <c r="F1159" s="785"/>
      <c r="G1159" s="785"/>
    </row>
    <row r="1160" spans="1:7">
      <c r="A1160" s="785"/>
      <c r="B1160" s="785"/>
      <c r="C1160" s="785"/>
      <c r="D1160" s="785"/>
      <c r="E1160" s="785"/>
      <c r="F1160" s="785"/>
      <c r="G1160" s="785"/>
    </row>
    <row r="1161" spans="1:7">
      <c r="A1161" s="785"/>
      <c r="B1161" s="785"/>
      <c r="C1161" s="785"/>
      <c r="D1161" s="785"/>
      <c r="E1161" s="785"/>
      <c r="F1161" s="785"/>
      <c r="G1161" s="785"/>
    </row>
    <row r="1162" spans="1:7">
      <c r="A1162" s="785"/>
      <c r="B1162" s="785"/>
      <c r="C1162" s="785"/>
      <c r="D1162" s="785"/>
      <c r="E1162" s="785"/>
      <c r="F1162" s="785"/>
      <c r="G1162" s="785"/>
    </row>
    <row r="1163" spans="1:7">
      <c r="A1163" s="785"/>
      <c r="B1163" s="785"/>
      <c r="C1163" s="785"/>
      <c r="D1163" s="785"/>
      <c r="E1163" s="785"/>
      <c r="F1163" s="785"/>
      <c r="G1163" s="785"/>
    </row>
    <row r="1164" spans="1:7">
      <c r="A1164" s="785"/>
      <c r="B1164" s="785"/>
      <c r="C1164" s="785"/>
      <c r="D1164" s="785"/>
      <c r="E1164" s="785"/>
      <c r="F1164" s="785"/>
      <c r="G1164" s="785"/>
    </row>
    <row r="1165" spans="1:7">
      <c r="A1165" s="785"/>
      <c r="B1165" s="785"/>
      <c r="C1165" s="785"/>
      <c r="D1165" s="785"/>
      <c r="E1165" s="785"/>
      <c r="F1165" s="785"/>
      <c r="G1165" s="785"/>
    </row>
    <row r="1166" spans="1:7">
      <c r="A1166" s="785"/>
      <c r="B1166" s="785"/>
      <c r="C1166" s="785"/>
      <c r="D1166" s="785"/>
      <c r="E1166" s="785"/>
      <c r="F1166" s="785"/>
      <c r="G1166" s="785"/>
    </row>
    <row r="1167" spans="1:7">
      <c r="A1167" s="785"/>
      <c r="B1167" s="785"/>
      <c r="C1167" s="785"/>
      <c r="D1167" s="785"/>
      <c r="E1167" s="785"/>
      <c r="F1167" s="785"/>
      <c r="G1167" s="785"/>
    </row>
    <row r="1168" spans="1:7">
      <c r="A1168" s="785"/>
      <c r="B1168" s="785"/>
      <c r="C1168" s="785"/>
      <c r="D1168" s="785"/>
      <c r="E1168" s="785"/>
      <c r="F1168" s="785"/>
      <c r="G1168" s="785"/>
    </row>
    <row r="1169" spans="1:7">
      <c r="A1169" s="785"/>
      <c r="B1169" s="785"/>
      <c r="C1169" s="785"/>
      <c r="D1169" s="785"/>
      <c r="E1169" s="785"/>
      <c r="F1169" s="785"/>
      <c r="G1169" s="785"/>
    </row>
    <row r="1170" spans="1:7">
      <c r="A1170" s="785"/>
      <c r="B1170" s="785"/>
      <c r="C1170" s="785"/>
      <c r="D1170" s="785"/>
      <c r="E1170" s="785"/>
      <c r="F1170" s="785"/>
      <c r="G1170" s="785"/>
    </row>
    <row r="1171" spans="1:7">
      <c r="A1171" s="785"/>
      <c r="B1171" s="785"/>
      <c r="C1171" s="785"/>
      <c r="D1171" s="785"/>
      <c r="E1171" s="785"/>
      <c r="F1171" s="785"/>
      <c r="G1171" s="785"/>
    </row>
    <row r="1172" spans="1:7">
      <c r="A1172" s="785"/>
      <c r="B1172" s="785"/>
      <c r="C1172" s="785"/>
      <c r="D1172" s="785"/>
      <c r="E1172" s="785"/>
      <c r="F1172" s="785"/>
      <c r="G1172" s="785"/>
    </row>
    <row r="1173" spans="1:7">
      <c r="A1173" s="785"/>
      <c r="B1173" s="785"/>
      <c r="C1173" s="785"/>
      <c r="D1173" s="785"/>
      <c r="E1173" s="785"/>
      <c r="F1173" s="785"/>
      <c r="G1173" s="785"/>
    </row>
    <row r="1174" spans="1:7">
      <c r="A1174" s="785"/>
      <c r="B1174" s="785"/>
      <c r="C1174" s="785"/>
      <c r="D1174" s="785"/>
      <c r="E1174" s="785"/>
      <c r="F1174" s="785"/>
      <c r="G1174" s="785"/>
    </row>
    <row r="1175" spans="1:7">
      <c r="A1175" s="785"/>
      <c r="B1175" s="785"/>
      <c r="C1175" s="785"/>
      <c r="D1175" s="785"/>
      <c r="E1175" s="785"/>
      <c r="F1175" s="785"/>
      <c r="G1175" s="785"/>
    </row>
    <row r="1176" spans="1:7">
      <c r="A1176" s="785"/>
      <c r="B1176" s="785"/>
      <c r="C1176" s="785"/>
      <c r="D1176" s="785"/>
      <c r="E1176" s="785"/>
      <c r="F1176" s="785"/>
      <c r="G1176" s="785"/>
    </row>
    <row r="1177" spans="1:7">
      <c r="A1177" s="785"/>
      <c r="B1177" s="785"/>
      <c r="C1177" s="785"/>
      <c r="D1177" s="785"/>
      <c r="E1177" s="785"/>
      <c r="F1177" s="785"/>
      <c r="G1177" s="785"/>
    </row>
    <row r="1178" spans="1:7">
      <c r="A1178" s="785"/>
      <c r="B1178" s="785"/>
      <c r="C1178" s="785"/>
      <c r="D1178" s="785"/>
      <c r="E1178" s="785"/>
      <c r="F1178" s="785"/>
      <c r="G1178" s="785"/>
    </row>
    <row r="1179" spans="1:7">
      <c r="A1179" s="785"/>
      <c r="B1179" s="785"/>
      <c r="C1179" s="785"/>
      <c r="D1179" s="785"/>
      <c r="E1179" s="785"/>
      <c r="F1179" s="785"/>
      <c r="G1179" s="785"/>
    </row>
    <row r="1180" spans="1:7">
      <c r="A1180" s="785"/>
      <c r="B1180" s="785"/>
      <c r="C1180" s="785"/>
      <c r="D1180" s="785"/>
      <c r="E1180" s="785"/>
      <c r="F1180" s="785"/>
      <c r="G1180" s="785"/>
    </row>
    <row r="1181" spans="1:7">
      <c r="A1181" s="785"/>
      <c r="B1181" s="785"/>
      <c r="C1181" s="785"/>
      <c r="D1181" s="785"/>
      <c r="E1181" s="785"/>
      <c r="F1181" s="785"/>
      <c r="G1181" s="785"/>
    </row>
    <row r="1182" spans="1:7">
      <c r="A1182" s="785"/>
      <c r="B1182" s="785"/>
      <c r="C1182" s="785"/>
      <c r="D1182" s="785"/>
      <c r="E1182" s="785"/>
      <c r="F1182" s="785"/>
      <c r="G1182" s="785"/>
    </row>
    <row r="1183" spans="1:7">
      <c r="A1183" s="785"/>
      <c r="B1183" s="785"/>
      <c r="C1183" s="785"/>
      <c r="D1183" s="785"/>
      <c r="E1183" s="785"/>
      <c r="F1183" s="785"/>
      <c r="G1183" s="785"/>
    </row>
    <row r="1184" spans="1:7">
      <c r="A1184" s="785"/>
      <c r="B1184" s="785"/>
      <c r="C1184" s="785"/>
      <c r="D1184" s="785"/>
      <c r="E1184" s="785"/>
      <c r="F1184" s="785"/>
      <c r="G1184" s="785"/>
    </row>
    <row r="1185" spans="1:7">
      <c r="A1185" s="785"/>
      <c r="B1185" s="785"/>
      <c r="C1185" s="785"/>
      <c r="D1185" s="785"/>
      <c r="E1185" s="785"/>
      <c r="F1185" s="785"/>
      <c r="G1185" s="785"/>
    </row>
    <row r="1186" spans="1:7">
      <c r="A1186" s="785"/>
      <c r="B1186" s="785"/>
      <c r="C1186" s="785"/>
      <c r="D1186" s="785"/>
      <c r="E1186" s="785"/>
      <c r="F1186" s="785"/>
      <c r="G1186" s="785"/>
    </row>
    <row r="1187" spans="1:7">
      <c r="A1187" s="785"/>
      <c r="B1187" s="785"/>
      <c r="C1187" s="785"/>
      <c r="D1187" s="785"/>
      <c r="E1187" s="785"/>
      <c r="F1187" s="785"/>
      <c r="G1187" s="785"/>
    </row>
    <row r="1188" spans="1:7">
      <c r="A1188" s="785"/>
      <c r="B1188" s="785"/>
      <c r="C1188" s="785"/>
      <c r="D1188" s="785"/>
      <c r="E1188" s="785"/>
      <c r="F1188" s="785"/>
      <c r="G1188" s="785"/>
    </row>
    <row r="1189" spans="1:7">
      <c r="A1189" s="785"/>
      <c r="B1189" s="785"/>
      <c r="C1189" s="785"/>
      <c r="D1189" s="785"/>
      <c r="E1189" s="785"/>
      <c r="F1189" s="785"/>
      <c r="G1189" s="785"/>
    </row>
    <row r="1190" spans="1:7">
      <c r="A1190" s="785"/>
      <c r="B1190" s="785"/>
      <c r="C1190" s="785"/>
      <c r="D1190" s="785"/>
      <c r="E1190" s="785"/>
      <c r="F1190" s="785"/>
      <c r="G1190" s="785"/>
    </row>
    <row r="1191" spans="1:7">
      <c r="A1191" s="785"/>
      <c r="B1191" s="785"/>
      <c r="C1191" s="785"/>
      <c r="D1191" s="785"/>
      <c r="E1191" s="785"/>
      <c r="F1191" s="785"/>
      <c r="G1191" s="785"/>
    </row>
    <row r="1192" spans="1:7">
      <c r="A1192" s="785"/>
      <c r="B1192" s="785"/>
      <c r="C1192" s="785"/>
      <c r="D1192" s="785"/>
      <c r="E1192" s="785"/>
      <c r="F1192" s="785"/>
      <c r="G1192" s="785"/>
    </row>
    <row r="1193" spans="1:7">
      <c r="A1193" s="785"/>
      <c r="B1193" s="785"/>
      <c r="C1193" s="785"/>
      <c r="D1193" s="785"/>
      <c r="E1193" s="785"/>
      <c r="F1193" s="785"/>
      <c r="G1193" s="785"/>
    </row>
    <row r="1194" spans="1:7">
      <c r="A1194" s="785"/>
      <c r="B1194" s="785"/>
      <c r="C1194" s="785"/>
      <c r="D1194" s="785"/>
      <c r="E1194" s="785"/>
      <c r="F1194" s="785"/>
      <c r="G1194" s="785"/>
    </row>
    <row r="1195" spans="1:7">
      <c r="A1195" s="785"/>
      <c r="B1195" s="785"/>
      <c r="C1195" s="785"/>
      <c r="D1195" s="785"/>
      <c r="E1195" s="785"/>
      <c r="F1195" s="785"/>
      <c r="G1195" s="785"/>
    </row>
    <row r="1196" spans="1:7">
      <c r="A1196" s="785"/>
      <c r="B1196" s="785"/>
      <c r="C1196" s="785"/>
      <c r="D1196" s="785"/>
      <c r="E1196" s="785"/>
      <c r="F1196" s="785"/>
      <c r="G1196" s="785"/>
    </row>
    <row r="1197" spans="1:7">
      <c r="A1197" s="785"/>
      <c r="B1197" s="785"/>
      <c r="C1197" s="785"/>
      <c r="D1197" s="785"/>
      <c r="E1197" s="785"/>
      <c r="F1197" s="785"/>
      <c r="G1197" s="785"/>
    </row>
    <row r="1198" spans="1:7">
      <c r="A1198" s="785"/>
      <c r="B1198" s="785"/>
      <c r="C1198" s="785"/>
      <c r="D1198" s="785"/>
      <c r="E1198" s="785"/>
      <c r="F1198" s="785"/>
      <c r="G1198" s="785"/>
    </row>
    <row r="1199" spans="1:7">
      <c r="A1199" s="785"/>
      <c r="B1199" s="785"/>
      <c r="C1199" s="785"/>
      <c r="D1199" s="785"/>
      <c r="E1199" s="785"/>
      <c r="F1199" s="785"/>
      <c r="G1199" s="785"/>
    </row>
    <row r="1200" spans="1:7">
      <c r="A1200" s="785"/>
      <c r="B1200" s="785"/>
      <c r="C1200" s="785"/>
      <c r="D1200" s="785"/>
      <c r="E1200" s="785"/>
      <c r="F1200" s="785"/>
      <c r="G1200" s="785"/>
    </row>
    <row r="1201" spans="1:7">
      <c r="A1201" s="785"/>
      <c r="B1201" s="785"/>
      <c r="C1201" s="785"/>
      <c r="D1201" s="785"/>
      <c r="E1201" s="785"/>
      <c r="F1201" s="785"/>
      <c r="G1201" s="785"/>
    </row>
    <row r="1202" spans="1:7">
      <c r="A1202" s="785"/>
      <c r="B1202" s="785"/>
      <c r="C1202" s="785"/>
      <c r="D1202" s="785"/>
      <c r="E1202" s="785"/>
      <c r="F1202" s="785"/>
      <c r="G1202" s="785"/>
    </row>
    <row r="1203" spans="1:7">
      <c r="A1203" s="785"/>
      <c r="B1203" s="785"/>
      <c r="C1203" s="785"/>
      <c r="D1203" s="785"/>
      <c r="E1203" s="785"/>
      <c r="F1203" s="785"/>
      <c r="G1203" s="785"/>
    </row>
    <row r="1204" spans="1:7">
      <c r="A1204" s="785"/>
      <c r="B1204" s="785"/>
      <c r="C1204" s="785"/>
      <c r="D1204" s="785"/>
      <c r="E1204" s="785"/>
      <c r="F1204" s="785"/>
      <c r="G1204" s="785"/>
    </row>
    <row r="1205" spans="1:7">
      <c r="A1205" s="785"/>
      <c r="B1205" s="785"/>
      <c r="C1205" s="785"/>
      <c r="D1205" s="785"/>
      <c r="E1205" s="785"/>
      <c r="F1205" s="785"/>
      <c r="G1205" s="785"/>
    </row>
    <row r="1206" spans="1:7">
      <c r="A1206" s="785"/>
      <c r="B1206" s="785"/>
      <c r="C1206" s="785"/>
      <c r="D1206" s="785"/>
      <c r="E1206" s="785"/>
      <c r="F1206" s="785"/>
      <c r="G1206" s="785"/>
    </row>
    <row r="1207" spans="1:7">
      <c r="A1207" s="785"/>
      <c r="B1207" s="785"/>
      <c r="C1207" s="785"/>
      <c r="D1207" s="785"/>
      <c r="E1207" s="785"/>
      <c r="F1207" s="785"/>
      <c r="G1207" s="785"/>
    </row>
    <row r="1208" spans="1:7">
      <c r="A1208" s="785"/>
      <c r="B1208" s="785"/>
      <c r="C1208" s="785"/>
      <c r="D1208" s="785"/>
      <c r="E1208" s="785"/>
      <c r="F1208" s="785"/>
      <c r="G1208" s="785"/>
    </row>
    <row r="1209" spans="1:7">
      <c r="A1209" s="785"/>
      <c r="B1209" s="785"/>
      <c r="C1209" s="785"/>
      <c r="D1209" s="785"/>
      <c r="E1209" s="785"/>
      <c r="F1209" s="785"/>
      <c r="G1209" s="785"/>
    </row>
    <row r="1210" spans="1:7">
      <c r="A1210" s="785"/>
      <c r="B1210" s="785"/>
      <c r="C1210" s="785"/>
      <c r="D1210" s="785"/>
      <c r="E1210" s="785"/>
      <c r="F1210" s="785"/>
      <c r="G1210" s="785"/>
    </row>
    <row r="1211" spans="1:7">
      <c r="A1211" s="785"/>
      <c r="B1211" s="785"/>
      <c r="C1211" s="785"/>
      <c r="D1211" s="785"/>
      <c r="E1211" s="785"/>
      <c r="F1211" s="785"/>
      <c r="G1211" s="785"/>
    </row>
    <row r="1212" spans="1:7">
      <c r="A1212" s="785"/>
      <c r="B1212" s="785"/>
      <c r="C1212" s="785"/>
      <c r="D1212" s="785"/>
      <c r="E1212" s="785"/>
      <c r="F1212" s="785"/>
      <c r="G1212" s="785"/>
    </row>
    <row r="1213" spans="1:7">
      <c r="A1213" s="785"/>
      <c r="B1213" s="785"/>
      <c r="C1213" s="785"/>
      <c r="D1213" s="785"/>
      <c r="E1213" s="785"/>
      <c r="F1213" s="785"/>
      <c r="G1213" s="785"/>
    </row>
    <row r="1214" spans="1:7">
      <c r="A1214" s="785"/>
      <c r="B1214" s="785"/>
      <c r="C1214" s="785"/>
      <c r="D1214" s="785"/>
      <c r="E1214" s="785"/>
      <c r="F1214" s="785"/>
      <c r="G1214" s="785"/>
    </row>
    <row r="1215" spans="1:7">
      <c r="A1215" s="785"/>
      <c r="B1215" s="785"/>
      <c r="C1215" s="785"/>
      <c r="D1215" s="785"/>
      <c r="E1215" s="785"/>
      <c r="F1215" s="785"/>
      <c r="G1215" s="785"/>
    </row>
    <row r="1216" spans="1:7">
      <c r="A1216" s="785"/>
      <c r="B1216" s="785"/>
      <c r="C1216" s="785"/>
      <c r="D1216" s="785"/>
      <c r="E1216" s="785"/>
      <c r="F1216" s="785"/>
      <c r="G1216" s="785"/>
    </row>
    <row r="1217" spans="1:7">
      <c r="A1217" s="785"/>
      <c r="B1217" s="785"/>
      <c r="C1217" s="785"/>
      <c r="D1217" s="785"/>
      <c r="E1217" s="785"/>
      <c r="F1217" s="785"/>
      <c r="G1217" s="785"/>
    </row>
    <row r="1218" spans="1:7">
      <c r="A1218" s="785"/>
      <c r="B1218" s="785"/>
      <c r="C1218" s="785"/>
      <c r="D1218" s="785"/>
      <c r="E1218" s="785"/>
      <c r="F1218" s="785"/>
      <c r="G1218" s="785"/>
    </row>
    <row r="1219" spans="1:7">
      <c r="A1219" s="785"/>
      <c r="B1219" s="785"/>
      <c r="C1219" s="785"/>
      <c r="D1219" s="785"/>
      <c r="E1219" s="785"/>
      <c r="F1219" s="785"/>
      <c r="G1219" s="785"/>
    </row>
    <row r="1220" spans="1:7">
      <c r="A1220" s="785"/>
      <c r="B1220" s="785"/>
      <c r="C1220" s="785"/>
      <c r="D1220" s="785"/>
      <c r="E1220" s="785"/>
      <c r="F1220" s="785"/>
      <c r="G1220" s="785"/>
    </row>
    <row r="1221" spans="1:7">
      <c r="A1221" s="785"/>
      <c r="B1221" s="785"/>
      <c r="C1221" s="785"/>
      <c r="D1221" s="785"/>
      <c r="E1221" s="785"/>
      <c r="F1221" s="785"/>
      <c r="G1221" s="785"/>
    </row>
    <row r="1222" spans="1:7">
      <c r="A1222" s="785"/>
      <c r="B1222" s="785"/>
      <c r="C1222" s="785"/>
      <c r="D1222" s="785"/>
      <c r="E1222" s="785"/>
      <c r="F1222" s="785"/>
      <c r="G1222" s="785"/>
    </row>
    <row r="1223" spans="1:7">
      <c r="A1223" s="785"/>
      <c r="B1223" s="785"/>
      <c r="C1223" s="785"/>
      <c r="D1223" s="785"/>
      <c r="E1223" s="785"/>
      <c r="F1223" s="785"/>
      <c r="G1223" s="785"/>
    </row>
    <row r="1224" spans="1:7">
      <c r="A1224" s="785"/>
      <c r="B1224" s="785"/>
      <c r="C1224" s="785"/>
      <c r="D1224" s="785"/>
      <c r="E1224" s="785"/>
      <c r="F1224" s="785"/>
      <c r="G1224" s="785"/>
    </row>
    <row r="1225" spans="1:7">
      <c r="A1225" s="785"/>
      <c r="B1225" s="785"/>
      <c r="C1225" s="785"/>
      <c r="D1225" s="785"/>
      <c r="E1225" s="785"/>
      <c r="F1225" s="785"/>
      <c r="G1225" s="785"/>
    </row>
    <row r="1226" spans="1:7">
      <c r="A1226" s="785"/>
      <c r="B1226" s="785"/>
      <c r="C1226" s="785"/>
      <c r="D1226" s="785"/>
      <c r="E1226" s="785"/>
      <c r="F1226" s="785"/>
      <c r="G1226" s="785"/>
    </row>
    <row r="1227" spans="1:7">
      <c r="A1227" s="785"/>
      <c r="B1227" s="785"/>
      <c r="C1227" s="785"/>
      <c r="D1227" s="785"/>
      <c r="E1227" s="785"/>
      <c r="F1227" s="785"/>
      <c r="G1227" s="785"/>
    </row>
    <row r="1228" spans="1:7">
      <c r="A1228" s="785"/>
      <c r="B1228" s="785"/>
      <c r="C1228" s="785"/>
      <c r="D1228" s="785"/>
      <c r="E1228" s="785"/>
      <c r="F1228" s="785"/>
      <c r="G1228" s="785"/>
    </row>
    <row r="1229" spans="1:7">
      <c r="A1229" s="785"/>
      <c r="B1229" s="785"/>
      <c r="C1229" s="785"/>
      <c r="D1229" s="785"/>
      <c r="E1229" s="785"/>
      <c r="F1229" s="785"/>
      <c r="G1229" s="785"/>
    </row>
    <row r="1230" spans="1:7">
      <c r="A1230" s="785"/>
      <c r="B1230" s="785"/>
      <c r="C1230" s="785"/>
      <c r="D1230" s="785"/>
      <c r="E1230" s="785"/>
      <c r="F1230" s="785"/>
      <c r="G1230" s="785"/>
    </row>
    <row r="1231" spans="1:7">
      <c r="A1231" s="785"/>
      <c r="B1231" s="785"/>
      <c r="C1231" s="785"/>
      <c r="D1231" s="785"/>
      <c r="E1231" s="785"/>
      <c r="F1231" s="785"/>
      <c r="G1231" s="785"/>
    </row>
    <row r="1232" spans="1:7">
      <c r="A1232" s="785"/>
      <c r="B1232" s="785"/>
      <c r="C1232" s="785"/>
      <c r="D1232" s="785"/>
      <c r="E1232" s="785"/>
      <c r="F1232" s="785"/>
      <c r="G1232" s="785"/>
    </row>
    <row r="1233" spans="1:7">
      <c r="A1233" s="785"/>
      <c r="B1233" s="785"/>
      <c r="C1233" s="785"/>
      <c r="D1233" s="785"/>
      <c r="E1233" s="785"/>
      <c r="F1233" s="785"/>
      <c r="G1233" s="785"/>
    </row>
    <row r="1234" spans="1:7">
      <c r="A1234" s="785"/>
      <c r="B1234" s="785"/>
      <c r="C1234" s="785"/>
      <c r="D1234" s="785"/>
      <c r="E1234" s="785"/>
      <c r="F1234" s="785"/>
      <c r="G1234" s="785"/>
    </row>
    <row r="1235" spans="1:7">
      <c r="A1235" s="785"/>
      <c r="B1235" s="785"/>
      <c r="C1235" s="785"/>
      <c r="D1235" s="785"/>
      <c r="E1235" s="785"/>
      <c r="F1235" s="785"/>
      <c r="G1235" s="785"/>
    </row>
    <row r="1236" spans="1:7">
      <c r="A1236" s="785"/>
      <c r="B1236" s="785"/>
      <c r="C1236" s="785"/>
      <c r="D1236" s="785"/>
      <c r="E1236" s="785"/>
      <c r="F1236" s="785"/>
      <c r="G1236" s="785"/>
    </row>
    <row r="1237" spans="1:7">
      <c r="A1237" s="785"/>
      <c r="B1237" s="785"/>
      <c r="C1237" s="785"/>
      <c r="D1237" s="785"/>
      <c r="E1237" s="785"/>
      <c r="F1237" s="785"/>
      <c r="G1237" s="785"/>
    </row>
    <row r="1238" spans="1:7">
      <c r="A1238" s="785"/>
      <c r="B1238" s="785"/>
      <c r="C1238" s="785"/>
      <c r="D1238" s="785"/>
      <c r="E1238" s="785"/>
      <c r="F1238" s="785"/>
      <c r="G1238" s="785"/>
    </row>
    <row r="1239" spans="1:7">
      <c r="A1239" s="785"/>
      <c r="B1239" s="785"/>
      <c r="C1239" s="785"/>
      <c r="D1239" s="785"/>
      <c r="E1239" s="785"/>
      <c r="F1239" s="785"/>
      <c r="G1239" s="785"/>
    </row>
    <row r="1240" spans="1:7">
      <c r="A1240" s="785"/>
      <c r="B1240" s="785"/>
      <c r="C1240" s="785"/>
      <c r="D1240" s="785"/>
      <c r="E1240" s="785"/>
      <c r="F1240" s="785"/>
      <c r="G1240" s="785"/>
    </row>
    <row r="1241" spans="1:7">
      <c r="A1241" s="785"/>
      <c r="B1241" s="785"/>
      <c r="C1241" s="785"/>
      <c r="D1241" s="785"/>
      <c r="E1241" s="785"/>
      <c r="F1241" s="785"/>
      <c r="G1241" s="785"/>
    </row>
    <row r="1242" spans="1:7">
      <c r="A1242" s="785"/>
      <c r="B1242" s="785"/>
      <c r="C1242" s="785"/>
      <c r="D1242" s="785"/>
      <c r="E1242" s="785"/>
      <c r="F1242" s="785"/>
      <c r="G1242" s="785"/>
    </row>
    <row r="1243" spans="1:7">
      <c r="A1243" s="785"/>
      <c r="B1243" s="785"/>
      <c r="C1243" s="785"/>
      <c r="D1243" s="785"/>
      <c r="E1243" s="785"/>
      <c r="F1243" s="785"/>
      <c r="G1243" s="785"/>
    </row>
    <row r="1244" spans="1:7">
      <c r="A1244" s="785"/>
      <c r="B1244" s="785"/>
      <c r="C1244" s="785"/>
      <c r="D1244" s="785"/>
      <c r="E1244" s="785"/>
      <c r="F1244" s="785"/>
      <c r="G1244" s="785"/>
    </row>
    <row r="1245" spans="1:7">
      <c r="A1245" s="785"/>
      <c r="B1245" s="785"/>
      <c r="C1245" s="785"/>
      <c r="D1245" s="785"/>
      <c r="E1245" s="785"/>
      <c r="F1245" s="785"/>
      <c r="G1245" s="785"/>
    </row>
    <row r="1246" spans="1:7">
      <c r="A1246" s="785"/>
      <c r="B1246" s="785"/>
      <c r="C1246" s="785"/>
      <c r="D1246" s="785"/>
      <c r="E1246" s="785"/>
      <c r="F1246" s="785"/>
      <c r="G1246" s="785"/>
    </row>
    <row r="1247" spans="1:7">
      <c r="A1247" s="785"/>
      <c r="B1247" s="785"/>
      <c r="C1247" s="785"/>
      <c r="D1247" s="785"/>
      <c r="E1247" s="785"/>
      <c r="F1247" s="785"/>
      <c r="G1247" s="785"/>
    </row>
    <row r="1248" spans="1:7">
      <c r="A1248" s="785"/>
      <c r="B1248" s="785"/>
      <c r="C1248" s="785"/>
      <c r="D1248" s="785"/>
      <c r="E1248" s="785"/>
      <c r="F1248" s="785"/>
      <c r="G1248" s="785"/>
    </row>
    <row r="1249" spans="1:7">
      <c r="A1249" s="785"/>
      <c r="B1249" s="785"/>
      <c r="C1249" s="785"/>
      <c r="D1249" s="785"/>
      <c r="E1249" s="785"/>
      <c r="F1249" s="785"/>
      <c r="G1249" s="785"/>
    </row>
    <row r="1250" spans="1:7">
      <c r="A1250" s="785"/>
      <c r="B1250" s="785"/>
      <c r="C1250" s="785"/>
      <c r="D1250" s="785"/>
      <c r="E1250" s="785"/>
      <c r="F1250" s="785"/>
      <c r="G1250" s="785"/>
    </row>
    <row r="1251" spans="1:7">
      <c r="A1251" s="785"/>
      <c r="B1251" s="785"/>
      <c r="C1251" s="785"/>
      <c r="D1251" s="785"/>
      <c r="E1251" s="785"/>
      <c r="F1251" s="785"/>
      <c r="G1251" s="785"/>
    </row>
    <row r="1252" spans="1:7">
      <c r="A1252" s="785"/>
      <c r="B1252" s="785"/>
      <c r="C1252" s="785"/>
      <c r="D1252" s="785"/>
      <c r="E1252" s="785"/>
      <c r="F1252" s="785"/>
      <c r="G1252" s="785"/>
    </row>
    <row r="1253" spans="1:7">
      <c r="A1253" s="785"/>
      <c r="B1253" s="785"/>
      <c r="C1253" s="785"/>
      <c r="D1253" s="785"/>
      <c r="E1253" s="785"/>
      <c r="F1253" s="785"/>
      <c r="G1253" s="785"/>
    </row>
    <row r="1254" spans="1:7">
      <c r="A1254" s="785"/>
      <c r="B1254" s="785"/>
      <c r="C1254" s="785"/>
      <c r="D1254" s="785"/>
      <c r="E1254" s="785"/>
      <c r="F1254" s="785"/>
      <c r="G1254" s="785"/>
    </row>
    <row r="1255" spans="1:7">
      <c r="A1255" s="785"/>
      <c r="B1255" s="785"/>
      <c r="C1255" s="785"/>
      <c r="D1255" s="785"/>
      <c r="E1255" s="785"/>
      <c r="F1255" s="785"/>
      <c r="G1255" s="785"/>
    </row>
    <row r="1256" spans="1:7">
      <c r="A1256" s="785"/>
      <c r="B1256" s="785"/>
      <c r="C1256" s="785"/>
      <c r="D1256" s="785"/>
      <c r="E1256" s="785"/>
      <c r="F1256" s="785"/>
      <c r="G1256" s="785"/>
    </row>
    <row r="1257" spans="1:7">
      <c r="A1257" s="785"/>
      <c r="B1257" s="785"/>
      <c r="C1257" s="785"/>
      <c r="D1257" s="785"/>
      <c r="E1257" s="785"/>
      <c r="F1257" s="785"/>
      <c r="G1257" s="785"/>
    </row>
    <row r="1258" spans="1:7">
      <c r="A1258" s="785"/>
      <c r="B1258" s="785"/>
      <c r="C1258" s="785"/>
      <c r="D1258" s="785"/>
      <c r="E1258" s="785"/>
      <c r="F1258" s="785"/>
      <c r="G1258" s="785"/>
    </row>
    <row r="1259" spans="1:7">
      <c r="A1259" s="785"/>
      <c r="B1259" s="785"/>
      <c r="C1259" s="785"/>
      <c r="D1259" s="785"/>
      <c r="E1259" s="785"/>
      <c r="F1259" s="785"/>
      <c r="G1259" s="785"/>
    </row>
    <row r="1260" spans="1:7">
      <c r="A1260" s="785"/>
      <c r="B1260" s="785"/>
      <c r="C1260" s="785"/>
      <c r="D1260" s="785"/>
      <c r="E1260" s="785"/>
      <c r="F1260" s="785"/>
      <c r="G1260" s="785"/>
    </row>
    <row r="1261" spans="1:7">
      <c r="A1261" s="785"/>
      <c r="B1261" s="785"/>
      <c r="C1261" s="785"/>
      <c r="D1261" s="785"/>
      <c r="E1261" s="785"/>
      <c r="F1261" s="785"/>
      <c r="G1261" s="785"/>
    </row>
    <row r="1262" spans="1:7">
      <c r="A1262" s="785"/>
      <c r="B1262" s="785"/>
      <c r="C1262" s="785"/>
      <c r="D1262" s="785"/>
      <c r="E1262" s="785"/>
      <c r="F1262" s="785"/>
      <c r="G1262" s="785"/>
    </row>
    <row r="1263" spans="1:7">
      <c r="A1263" s="785"/>
      <c r="B1263" s="785"/>
      <c r="C1263" s="785"/>
      <c r="D1263" s="785"/>
      <c r="E1263" s="785"/>
      <c r="F1263" s="785"/>
      <c r="G1263" s="785"/>
    </row>
    <row r="1264" spans="1:7">
      <c r="A1264" s="785"/>
      <c r="B1264" s="785"/>
      <c r="C1264" s="785"/>
      <c r="D1264" s="785"/>
      <c r="E1264" s="785"/>
      <c r="F1264" s="785"/>
      <c r="G1264" s="785"/>
    </row>
    <row r="1265" spans="1:7">
      <c r="A1265" s="785"/>
      <c r="B1265" s="785"/>
      <c r="C1265" s="785"/>
      <c r="D1265" s="785"/>
      <c r="E1265" s="785"/>
      <c r="F1265" s="785"/>
      <c r="G1265" s="785"/>
    </row>
    <row r="1266" spans="1:7">
      <c r="A1266" s="785"/>
      <c r="B1266" s="785"/>
      <c r="C1266" s="785"/>
      <c r="D1266" s="785"/>
      <c r="E1266" s="785"/>
      <c r="F1266" s="785"/>
      <c r="G1266" s="785"/>
    </row>
    <row r="1267" spans="1:7">
      <c r="A1267" s="785"/>
      <c r="B1267" s="785"/>
      <c r="C1267" s="785"/>
      <c r="D1267" s="785"/>
      <c r="E1267" s="785"/>
      <c r="F1267" s="785"/>
      <c r="G1267" s="785"/>
    </row>
    <row r="1268" spans="1:7">
      <c r="A1268" s="785"/>
      <c r="B1268" s="785"/>
      <c r="C1268" s="785"/>
      <c r="D1268" s="785"/>
      <c r="E1268" s="785"/>
      <c r="F1268" s="785"/>
      <c r="G1268" s="785"/>
    </row>
    <row r="1269" spans="1:7">
      <c r="A1269" s="785"/>
      <c r="B1269" s="785"/>
      <c r="C1269" s="785"/>
      <c r="D1269" s="785"/>
      <c r="E1269" s="785"/>
      <c r="F1269" s="785"/>
      <c r="G1269" s="785"/>
    </row>
    <row r="1270" spans="1:7">
      <c r="A1270" s="785"/>
      <c r="B1270" s="785"/>
      <c r="C1270" s="785"/>
      <c r="D1270" s="785"/>
      <c r="E1270" s="785"/>
      <c r="F1270" s="785"/>
      <c r="G1270" s="785"/>
    </row>
    <row r="1271" spans="1:7">
      <c r="A1271" s="785"/>
      <c r="B1271" s="785"/>
      <c r="C1271" s="785"/>
      <c r="D1271" s="785"/>
      <c r="E1271" s="785"/>
      <c r="F1271" s="785"/>
      <c r="G1271" s="785"/>
    </row>
    <row r="1272" spans="1:7">
      <c r="A1272" s="785"/>
      <c r="B1272" s="785"/>
      <c r="C1272" s="785"/>
      <c r="D1272" s="785"/>
      <c r="E1272" s="785"/>
      <c r="F1272" s="785"/>
      <c r="G1272" s="785"/>
    </row>
    <row r="1273" spans="1:7">
      <c r="A1273" s="785"/>
      <c r="B1273" s="785"/>
      <c r="C1273" s="785"/>
      <c r="D1273" s="785"/>
      <c r="E1273" s="785"/>
      <c r="F1273" s="785"/>
      <c r="G1273" s="785"/>
    </row>
    <row r="1274" spans="1:7">
      <c r="A1274" s="785"/>
      <c r="B1274" s="785"/>
      <c r="C1274" s="785"/>
      <c r="D1274" s="785"/>
      <c r="E1274" s="785"/>
      <c r="F1274" s="785"/>
      <c r="G1274" s="785"/>
    </row>
    <row r="1275" spans="1:7">
      <c r="A1275" s="785"/>
      <c r="B1275" s="785"/>
      <c r="C1275" s="785"/>
      <c r="D1275" s="785"/>
      <c r="E1275" s="785"/>
      <c r="F1275" s="785"/>
      <c r="G1275" s="785"/>
    </row>
    <row r="1276" spans="1:7">
      <c r="A1276" s="785"/>
      <c r="B1276" s="785"/>
      <c r="C1276" s="785"/>
      <c r="D1276" s="785"/>
      <c r="E1276" s="785"/>
      <c r="F1276" s="785"/>
      <c r="G1276" s="785"/>
    </row>
    <row r="1277" spans="1:7">
      <c r="A1277" s="785"/>
      <c r="B1277" s="785"/>
      <c r="C1277" s="785"/>
      <c r="D1277" s="785"/>
      <c r="E1277" s="785"/>
      <c r="F1277" s="785"/>
      <c r="G1277" s="785"/>
    </row>
    <row r="1278" spans="1:7">
      <c r="A1278" s="785"/>
      <c r="B1278" s="785"/>
      <c r="C1278" s="785"/>
      <c r="D1278" s="785"/>
      <c r="E1278" s="785"/>
      <c r="F1278" s="785"/>
      <c r="G1278" s="785"/>
    </row>
    <row r="1279" spans="1:7">
      <c r="A1279" s="785"/>
      <c r="B1279" s="785"/>
      <c r="C1279" s="785"/>
      <c r="D1279" s="785"/>
      <c r="E1279" s="785"/>
      <c r="F1279" s="785"/>
      <c r="G1279" s="785"/>
    </row>
    <row r="1280" spans="1:7">
      <c r="A1280" s="785"/>
      <c r="B1280" s="785"/>
      <c r="C1280" s="785"/>
      <c r="D1280" s="785"/>
      <c r="E1280" s="785"/>
      <c r="F1280" s="785"/>
      <c r="G1280" s="785"/>
    </row>
    <row r="1281" spans="1:7">
      <c r="A1281" s="785"/>
      <c r="B1281" s="785"/>
      <c r="C1281" s="785"/>
      <c r="D1281" s="785"/>
      <c r="E1281" s="785"/>
      <c r="F1281" s="785"/>
      <c r="G1281" s="785"/>
    </row>
    <row r="1282" spans="1:7">
      <c r="A1282" s="785"/>
      <c r="B1282" s="785"/>
      <c r="C1282" s="785"/>
      <c r="D1282" s="785"/>
      <c r="E1282" s="785"/>
      <c r="F1282" s="785"/>
      <c r="G1282" s="785"/>
    </row>
    <row r="1283" spans="1:7">
      <c r="A1283" s="785"/>
      <c r="B1283" s="785"/>
      <c r="C1283" s="785"/>
      <c r="D1283" s="785"/>
      <c r="E1283" s="785"/>
      <c r="F1283" s="785"/>
      <c r="G1283" s="785"/>
    </row>
    <row r="1284" spans="1:7">
      <c r="A1284" s="785"/>
      <c r="B1284" s="785"/>
      <c r="C1284" s="785"/>
      <c r="D1284" s="785"/>
      <c r="E1284" s="785"/>
      <c r="F1284" s="785"/>
      <c r="G1284" s="785"/>
    </row>
    <row r="1285" spans="1:7">
      <c r="A1285" s="785"/>
      <c r="B1285" s="785"/>
      <c r="C1285" s="785"/>
      <c r="D1285" s="785"/>
      <c r="E1285" s="785"/>
      <c r="F1285" s="785"/>
      <c r="G1285" s="785"/>
    </row>
    <row r="1286" spans="1:7">
      <c r="A1286" s="785"/>
      <c r="B1286" s="785"/>
      <c r="C1286" s="785"/>
      <c r="D1286" s="785"/>
      <c r="E1286" s="785"/>
      <c r="F1286" s="785"/>
      <c r="G1286" s="785"/>
    </row>
    <row r="1287" spans="1:7">
      <c r="A1287" s="785"/>
      <c r="B1287" s="785"/>
      <c r="C1287" s="785"/>
      <c r="D1287" s="785"/>
      <c r="E1287" s="785"/>
      <c r="F1287" s="785"/>
      <c r="G1287" s="785"/>
    </row>
    <row r="1288" spans="1:7">
      <c r="A1288" s="785"/>
      <c r="B1288" s="785"/>
      <c r="C1288" s="785"/>
      <c r="D1288" s="785"/>
      <c r="E1288" s="785"/>
      <c r="F1288" s="785"/>
      <c r="G1288" s="785"/>
    </row>
    <row r="1289" spans="1:7">
      <c r="A1289" s="785"/>
      <c r="B1289" s="785"/>
      <c r="C1289" s="785"/>
      <c r="D1289" s="785"/>
      <c r="E1289" s="785"/>
      <c r="F1289" s="785"/>
      <c r="G1289" s="785"/>
    </row>
    <row r="1290" spans="1:7">
      <c r="A1290" s="785"/>
      <c r="B1290" s="785"/>
      <c r="C1290" s="785"/>
      <c r="D1290" s="785"/>
      <c r="E1290" s="785"/>
      <c r="F1290" s="785"/>
      <c r="G1290" s="785"/>
    </row>
    <row r="1291" spans="1:7">
      <c r="A1291" s="785"/>
      <c r="B1291" s="785"/>
      <c r="C1291" s="785"/>
      <c r="D1291" s="785"/>
      <c r="E1291" s="785"/>
      <c r="F1291" s="785"/>
      <c r="G1291" s="785"/>
    </row>
    <row r="1292" spans="1:7">
      <c r="A1292" s="785"/>
      <c r="B1292" s="785"/>
      <c r="C1292" s="785"/>
      <c r="D1292" s="785"/>
      <c r="E1292" s="785"/>
      <c r="F1292" s="785"/>
      <c r="G1292" s="785"/>
    </row>
    <row r="1293" spans="1:7">
      <c r="A1293" s="785"/>
      <c r="B1293" s="785"/>
      <c r="C1293" s="785"/>
      <c r="D1293" s="785"/>
      <c r="E1293" s="785"/>
      <c r="F1293" s="785"/>
      <c r="G1293" s="785"/>
    </row>
    <row r="1294" spans="1:7">
      <c r="A1294" s="785"/>
      <c r="B1294" s="785"/>
      <c r="C1294" s="785"/>
      <c r="D1294" s="785"/>
      <c r="E1294" s="785"/>
      <c r="F1294" s="785"/>
      <c r="G1294" s="785"/>
    </row>
    <row r="1295" spans="1:7">
      <c r="A1295" s="785"/>
      <c r="B1295" s="785"/>
      <c r="C1295" s="785"/>
      <c r="D1295" s="785"/>
      <c r="E1295" s="785"/>
      <c r="F1295" s="785"/>
      <c r="G1295" s="785"/>
    </row>
    <row r="1296" spans="1:7">
      <c r="A1296" s="785"/>
      <c r="B1296" s="785"/>
      <c r="C1296" s="785"/>
      <c r="D1296" s="785"/>
      <c r="E1296" s="785"/>
      <c r="F1296" s="785"/>
      <c r="G1296" s="785"/>
    </row>
    <row r="1297" spans="1:7">
      <c r="A1297" s="785"/>
      <c r="B1297" s="785"/>
      <c r="C1297" s="785"/>
      <c r="D1297" s="785"/>
      <c r="E1297" s="785"/>
      <c r="F1297" s="785"/>
      <c r="G1297" s="785"/>
    </row>
    <row r="1298" spans="1:7">
      <c r="A1298" s="785"/>
      <c r="B1298" s="785"/>
      <c r="C1298" s="785"/>
      <c r="D1298" s="785"/>
      <c r="E1298" s="785"/>
      <c r="F1298" s="785"/>
      <c r="G1298" s="785"/>
    </row>
    <row r="1299" spans="1:7">
      <c r="A1299" s="785"/>
      <c r="B1299" s="785"/>
      <c r="C1299" s="785"/>
      <c r="D1299" s="785"/>
      <c r="E1299" s="785"/>
      <c r="F1299" s="785"/>
      <c r="G1299" s="785"/>
    </row>
    <row r="1300" spans="1:7">
      <c r="A1300" s="785"/>
      <c r="B1300" s="785"/>
      <c r="C1300" s="785"/>
      <c r="D1300" s="785"/>
      <c r="E1300" s="785"/>
      <c r="F1300" s="785"/>
      <c r="G1300" s="785"/>
    </row>
    <row r="1301" spans="1:7">
      <c r="A1301" s="785"/>
      <c r="B1301" s="785"/>
      <c r="C1301" s="785"/>
      <c r="D1301" s="785"/>
      <c r="E1301" s="785"/>
      <c r="F1301" s="785"/>
      <c r="G1301" s="785"/>
    </row>
    <row r="1302" spans="1:7">
      <c r="A1302" s="785"/>
      <c r="B1302" s="785"/>
      <c r="C1302" s="785"/>
      <c r="D1302" s="785"/>
      <c r="E1302" s="785"/>
      <c r="F1302" s="785"/>
      <c r="G1302" s="785"/>
    </row>
    <row r="1303" spans="1:7">
      <c r="A1303" s="785"/>
      <c r="B1303" s="785"/>
      <c r="C1303" s="785"/>
      <c r="D1303" s="785"/>
      <c r="E1303" s="785"/>
      <c r="F1303" s="785"/>
      <c r="G1303" s="785"/>
    </row>
    <row r="1304" spans="1:7">
      <c r="A1304" s="785"/>
      <c r="B1304" s="785"/>
      <c r="C1304" s="785"/>
      <c r="D1304" s="785"/>
      <c r="E1304" s="785"/>
      <c r="F1304" s="785"/>
      <c r="G1304" s="785"/>
    </row>
    <row r="1305" spans="1:7">
      <c r="A1305" s="785"/>
      <c r="B1305" s="785"/>
      <c r="C1305" s="785"/>
      <c r="D1305" s="785"/>
      <c r="E1305" s="785"/>
      <c r="F1305" s="785"/>
      <c r="G1305" s="785"/>
    </row>
    <row r="1306" spans="1:7">
      <c r="A1306" s="785"/>
      <c r="B1306" s="785"/>
      <c r="C1306" s="785"/>
      <c r="D1306" s="785"/>
      <c r="E1306" s="785"/>
      <c r="F1306" s="785"/>
      <c r="G1306" s="785"/>
    </row>
    <row r="1307" spans="1:7">
      <c r="A1307" s="785"/>
      <c r="B1307" s="785"/>
      <c r="C1307" s="785"/>
      <c r="D1307" s="785"/>
      <c r="E1307" s="785"/>
      <c r="F1307" s="785"/>
      <c r="G1307" s="785"/>
    </row>
    <row r="1308" spans="1:7">
      <c r="A1308" s="785"/>
      <c r="B1308" s="785"/>
      <c r="C1308" s="785"/>
      <c r="D1308" s="785"/>
      <c r="E1308" s="785"/>
      <c r="F1308" s="785"/>
      <c r="G1308" s="785"/>
    </row>
    <row r="1309" spans="1:7">
      <c r="A1309" s="785"/>
      <c r="B1309" s="785"/>
      <c r="C1309" s="785"/>
      <c r="D1309" s="785"/>
      <c r="E1309" s="785"/>
      <c r="F1309" s="785"/>
      <c r="G1309" s="785"/>
    </row>
    <row r="1310" spans="1:7">
      <c r="A1310" s="785"/>
      <c r="B1310" s="785"/>
      <c r="C1310" s="785"/>
      <c r="D1310" s="785"/>
      <c r="E1310" s="785"/>
      <c r="F1310" s="785"/>
      <c r="G1310" s="785"/>
    </row>
    <row r="1311" spans="1:7">
      <c r="A1311" s="785"/>
      <c r="B1311" s="785"/>
      <c r="C1311" s="785"/>
      <c r="D1311" s="785"/>
      <c r="E1311" s="785"/>
      <c r="F1311" s="785"/>
      <c r="G1311" s="785"/>
    </row>
    <row r="1312" spans="1:7">
      <c r="A1312" s="785"/>
      <c r="B1312" s="785"/>
      <c r="C1312" s="785"/>
      <c r="D1312" s="785"/>
      <c r="E1312" s="785"/>
      <c r="F1312" s="785"/>
      <c r="G1312" s="785"/>
    </row>
    <row r="1313" spans="1:7">
      <c r="A1313" s="785"/>
      <c r="B1313" s="785"/>
      <c r="C1313" s="785"/>
      <c r="D1313" s="785"/>
      <c r="E1313" s="785"/>
      <c r="F1313" s="785"/>
      <c r="G1313" s="785"/>
    </row>
    <row r="1314" spans="1:7">
      <c r="A1314" s="785"/>
      <c r="B1314" s="785"/>
      <c r="C1314" s="785"/>
      <c r="D1314" s="785"/>
      <c r="E1314" s="785"/>
      <c r="F1314" s="785"/>
      <c r="G1314" s="785"/>
    </row>
    <row r="1315" spans="1:7">
      <c r="A1315" s="785"/>
      <c r="B1315" s="785"/>
      <c r="C1315" s="785"/>
      <c r="D1315" s="785"/>
      <c r="E1315" s="785"/>
      <c r="F1315" s="785"/>
      <c r="G1315" s="785"/>
    </row>
    <row r="1316" spans="1:7">
      <c r="A1316" s="785"/>
      <c r="B1316" s="785"/>
      <c r="C1316" s="785"/>
      <c r="D1316" s="785"/>
      <c r="E1316" s="785"/>
      <c r="F1316" s="785"/>
      <c r="G1316" s="785"/>
    </row>
    <row r="1317" spans="1:7">
      <c r="A1317" s="785"/>
      <c r="B1317" s="785"/>
      <c r="C1317" s="785"/>
      <c r="D1317" s="785"/>
      <c r="E1317" s="785"/>
      <c r="F1317" s="785"/>
      <c r="G1317" s="785"/>
    </row>
    <row r="1318" spans="1:7">
      <c r="A1318" s="785"/>
      <c r="B1318" s="785"/>
      <c r="C1318" s="785"/>
      <c r="D1318" s="785"/>
      <c r="E1318" s="785"/>
      <c r="F1318" s="785"/>
      <c r="G1318" s="785"/>
    </row>
    <row r="1319" spans="1:7">
      <c r="A1319" s="785"/>
      <c r="B1319" s="785"/>
      <c r="C1319" s="785"/>
      <c r="D1319" s="785"/>
      <c r="E1319" s="785"/>
      <c r="F1319" s="785"/>
      <c r="G1319" s="785"/>
    </row>
    <row r="1320" spans="1:7">
      <c r="A1320" s="785"/>
      <c r="B1320" s="785"/>
      <c r="C1320" s="785"/>
      <c r="D1320" s="785"/>
      <c r="E1320" s="785"/>
      <c r="F1320" s="785"/>
      <c r="G1320" s="785"/>
    </row>
    <row r="1321" spans="1:7">
      <c r="A1321" s="785"/>
      <c r="B1321" s="785"/>
      <c r="C1321" s="785"/>
      <c r="D1321" s="785"/>
      <c r="E1321" s="785"/>
      <c r="F1321" s="785"/>
      <c r="G1321" s="785"/>
    </row>
    <row r="1322" spans="1:7">
      <c r="A1322" s="785"/>
      <c r="B1322" s="785"/>
      <c r="C1322" s="785"/>
      <c r="D1322" s="785"/>
      <c r="E1322" s="785"/>
      <c r="F1322" s="785"/>
      <c r="G1322" s="785"/>
    </row>
    <row r="1323" spans="1:7">
      <c r="A1323" s="785"/>
      <c r="B1323" s="785"/>
      <c r="C1323" s="785"/>
      <c r="D1323" s="785"/>
      <c r="E1323" s="785"/>
      <c r="F1323" s="785"/>
      <c r="G1323" s="785"/>
    </row>
    <row r="1324" spans="1:7">
      <c r="A1324" s="785"/>
      <c r="B1324" s="785"/>
      <c r="C1324" s="785"/>
      <c r="D1324" s="785"/>
      <c r="E1324" s="785"/>
      <c r="F1324" s="785"/>
      <c r="G1324" s="785"/>
    </row>
    <row r="1325" spans="1:7">
      <c r="A1325" s="785"/>
      <c r="B1325" s="785"/>
      <c r="C1325" s="785"/>
      <c r="D1325" s="785"/>
      <c r="E1325" s="785"/>
      <c r="F1325" s="785"/>
      <c r="G1325" s="785"/>
    </row>
    <row r="1326" spans="1:7">
      <c r="A1326" s="785"/>
      <c r="B1326" s="785"/>
      <c r="C1326" s="785"/>
      <c r="D1326" s="785"/>
      <c r="E1326" s="785"/>
      <c r="F1326" s="785"/>
      <c r="G1326" s="785"/>
    </row>
    <row r="1327" spans="1:7">
      <c r="A1327" s="785"/>
      <c r="B1327" s="785"/>
      <c r="C1327" s="785"/>
      <c r="D1327" s="785"/>
      <c r="E1327" s="785"/>
      <c r="F1327" s="785"/>
      <c r="G1327" s="785"/>
    </row>
    <row r="1328" spans="1:7">
      <c r="A1328" s="785"/>
      <c r="B1328" s="785"/>
      <c r="C1328" s="785"/>
      <c r="D1328" s="785"/>
      <c r="E1328" s="785"/>
      <c r="F1328" s="785"/>
      <c r="G1328" s="785"/>
    </row>
    <row r="1329" spans="1:7">
      <c r="A1329" s="785"/>
      <c r="B1329" s="785"/>
      <c r="C1329" s="785"/>
      <c r="D1329" s="785"/>
      <c r="E1329" s="785"/>
      <c r="F1329" s="785"/>
      <c r="G1329" s="785"/>
    </row>
    <row r="1330" spans="1:7">
      <c r="A1330" s="785"/>
      <c r="B1330" s="785"/>
      <c r="C1330" s="785"/>
      <c r="D1330" s="785"/>
      <c r="E1330" s="785"/>
      <c r="F1330" s="785"/>
      <c r="G1330" s="785"/>
    </row>
    <row r="1331" spans="1:7">
      <c r="A1331" s="785"/>
      <c r="B1331" s="785"/>
      <c r="C1331" s="785"/>
      <c r="D1331" s="785"/>
      <c r="E1331" s="785"/>
      <c r="F1331" s="785"/>
      <c r="G1331" s="785"/>
    </row>
    <row r="1332" spans="1:7">
      <c r="A1332" s="785"/>
      <c r="B1332" s="785"/>
      <c r="C1332" s="785"/>
      <c r="D1332" s="785"/>
      <c r="E1332" s="785"/>
      <c r="F1332" s="785"/>
      <c r="G1332" s="785"/>
    </row>
    <row r="1333" spans="1:7">
      <c r="A1333" s="785"/>
      <c r="B1333" s="785"/>
      <c r="C1333" s="785"/>
      <c r="D1333" s="785"/>
      <c r="E1333" s="785"/>
      <c r="F1333" s="785"/>
      <c r="G1333" s="785"/>
    </row>
    <row r="1334" spans="1:7">
      <c r="A1334" s="785"/>
      <c r="B1334" s="785"/>
      <c r="C1334" s="785"/>
      <c r="D1334" s="785"/>
      <c r="E1334" s="785"/>
      <c r="F1334" s="785"/>
      <c r="G1334" s="785"/>
    </row>
    <row r="1335" spans="1:7">
      <c r="A1335" s="785"/>
      <c r="B1335" s="785"/>
      <c r="C1335" s="785"/>
      <c r="D1335" s="785"/>
      <c r="E1335" s="785"/>
      <c r="F1335" s="785"/>
      <c r="G1335" s="785"/>
    </row>
    <row r="1336" spans="1:7">
      <c r="A1336" s="785"/>
      <c r="B1336" s="785"/>
      <c r="C1336" s="785"/>
      <c r="D1336" s="785"/>
      <c r="E1336" s="785"/>
      <c r="F1336" s="785"/>
      <c r="G1336" s="785"/>
    </row>
    <row r="1337" spans="1:7">
      <c r="A1337" s="785"/>
      <c r="B1337" s="785"/>
      <c r="C1337" s="785"/>
      <c r="D1337" s="785"/>
      <c r="E1337" s="785"/>
      <c r="F1337" s="785"/>
      <c r="G1337" s="785"/>
    </row>
    <row r="1338" spans="1:7">
      <c r="A1338" s="785"/>
      <c r="B1338" s="785"/>
      <c r="C1338" s="785"/>
      <c r="D1338" s="785"/>
      <c r="E1338" s="785"/>
      <c r="F1338" s="785"/>
      <c r="G1338" s="785"/>
    </row>
    <row r="1339" spans="1:7">
      <c r="A1339" s="785"/>
      <c r="B1339" s="785"/>
      <c r="C1339" s="785"/>
      <c r="D1339" s="785"/>
      <c r="E1339" s="785"/>
      <c r="F1339" s="785"/>
      <c r="G1339" s="785"/>
    </row>
    <row r="1340" spans="1:7">
      <c r="A1340" s="785"/>
      <c r="B1340" s="785"/>
      <c r="C1340" s="785"/>
      <c r="D1340" s="785"/>
      <c r="E1340" s="785"/>
      <c r="F1340" s="785"/>
      <c r="G1340" s="785"/>
    </row>
    <row r="1341" spans="1:7">
      <c r="A1341" s="785"/>
      <c r="B1341" s="785"/>
      <c r="C1341" s="785"/>
      <c r="D1341" s="785"/>
      <c r="E1341" s="785"/>
      <c r="F1341" s="785"/>
      <c r="G1341" s="785"/>
    </row>
    <row r="1342" spans="1:7">
      <c r="A1342" s="785"/>
      <c r="B1342" s="785"/>
      <c r="C1342" s="785"/>
      <c r="D1342" s="785"/>
      <c r="E1342" s="785"/>
      <c r="F1342" s="785"/>
      <c r="G1342" s="785"/>
    </row>
    <row r="1343" spans="1:7">
      <c r="A1343" s="785"/>
      <c r="B1343" s="785"/>
      <c r="C1343" s="785"/>
      <c r="D1343" s="785"/>
      <c r="E1343" s="785"/>
      <c r="F1343" s="785"/>
      <c r="G1343" s="785"/>
    </row>
    <row r="1344" spans="1:7">
      <c r="A1344" s="785"/>
      <c r="B1344" s="785"/>
      <c r="C1344" s="785"/>
      <c r="D1344" s="785"/>
      <c r="E1344" s="785"/>
      <c r="F1344" s="785"/>
      <c r="G1344" s="785"/>
    </row>
    <row r="1345" spans="1:7">
      <c r="A1345" s="785"/>
      <c r="B1345" s="785"/>
      <c r="C1345" s="785"/>
      <c r="D1345" s="785"/>
      <c r="E1345" s="785"/>
      <c r="F1345" s="785"/>
      <c r="G1345" s="785"/>
    </row>
    <row r="1346" spans="1:7">
      <c r="A1346" s="785"/>
      <c r="B1346" s="785"/>
      <c r="C1346" s="785"/>
      <c r="D1346" s="785"/>
      <c r="E1346" s="785"/>
      <c r="F1346" s="785"/>
      <c r="G1346" s="785"/>
    </row>
    <row r="1347" spans="1:7">
      <c r="A1347" s="785"/>
      <c r="B1347" s="785"/>
      <c r="C1347" s="785"/>
      <c r="D1347" s="785"/>
      <c r="E1347" s="785"/>
      <c r="F1347" s="785"/>
      <c r="G1347" s="785"/>
    </row>
    <row r="1348" spans="1:7">
      <c r="A1348" s="785"/>
      <c r="B1348" s="785"/>
      <c r="C1348" s="785"/>
      <c r="D1348" s="785"/>
      <c r="E1348" s="785"/>
      <c r="F1348" s="785"/>
      <c r="G1348" s="785"/>
    </row>
    <row r="1349" spans="1:7">
      <c r="A1349" s="785"/>
      <c r="B1349" s="785"/>
      <c r="C1349" s="785"/>
      <c r="D1349" s="785"/>
      <c r="E1349" s="785"/>
      <c r="F1349" s="785"/>
      <c r="G1349" s="785"/>
    </row>
    <row r="1350" spans="1:7">
      <c r="A1350" s="785"/>
      <c r="B1350" s="785"/>
      <c r="C1350" s="785"/>
      <c r="D1350" s="785"/>
      <c r="E1350" s="785"/>
      <c r="F1350" s="785"/>
      <c r="G1350" s="785"/>
    </row>
    <row r="1351" spans="1:7">
      <c r="A1351" s="785"/>
      <c r="B1351" s="785"/>
      <c r="C1351" s="785"/>
      <c r="D1351" s="785"/>
      <c r="E1351" s="785"/>
      <c r="F1351" s="785"/>
      <c r="G1351" s="785"/>
    </row>
    <row r="1352" spans="1:7">
      <c r="A1352" s="785"/>
      <c r="B1352" s="785"/>
      <c r="C1352" s="785"/>
      <c r="D1352" s="785"/>
      <c r="E1352" s="785"/>
      <c r="F1352" s="785"/>
      <c r="G1352" s="785"/>
    </row>
    <row r="1353" spans="1:7">
      <c r="A1353" s="785"/>
      <c r="B1353" s="785"/>
      <c r="C1353" s="785"/>
      <c r="D1353" s="785"/>
      <c r="E1353" s="785"/>
      <c r="F1353" s="785"/>
      <c r="G1353" s="785"/>
    </row>
    <row r="1354" spans="1:7">
      <c r="A1354" s="785"/>
      <c r="B1354" s="785"/>
      <c r="C1354" s="785"/>
      <c r="D1354" s="785"/>
      <c r="E1354" s="785"/>
      <c r="F1354" s="785"/>
      <c r="G1354" s="785"/>
    </row>
    <row r="1355" spans="1:7">
      <c r="A1355" s="785"/>
      <c r="B1355" s="785"/>
      <c r="C1355" s="785"/>
      <c r="D1355" s="785"/>
      <c r="E1355" s="785"/>
      <c r="F1355" s="785"/>
      <c r="G1355" s="785"/>
    </row>
    <row r="1356" spans="1:7">
      <c r="A1356" s="785"/>
      <c r="B1356" s="785"/>
      <c r="C1356" s="785"/>
      <c r="D1356" s="785"/>
      <c r="E1356" s="785"/>
      <c r="F1356" s="785"/>
      <c r="G1356" s="785"/>
    </row>
    <row r="1357" spans="1:7">
      <c r="A1357" s="785"/>
      <c r="B1357" s="785"/>
      <c r="C1357" s="785"/>
      <c r="D1357" s="785"/>
      <c r="E1357" s="785"/>
      <c r="F1357" s="785"/>
      <c r="G1357" s="785"/>
    </row>
    <row r="1358" spans="1:7">
      <c r="A1358" s="785"/>
      <c r="B1358" s="785"/>
      <c r="C1358" s="785"/>
      <c r="D1358" s="785"/>
      <c r="E1358" s="785"/>
      <c r="F1358" s="785"/>
      <c r="G1358" s="785"/>
    </row>
    <row r="1359" spans="1:7">
      <c r="A1359" s="785"/>
      <c r="B1359" s="785"/>
      <c r="C1359" s="785"/>
      <c r="D1359" s="785"/>
      <c r="E1359" s="785"/>
      <c r="F1359" s="785"/>
      <c r="G1359" s="785"/>
    </row>
    <row r="1360" spans="1:7">
      <c r="A1360" s="785"/>
      <c r="B1360" s="785"/>
      <c r="C1360" s="785"/>
      <c r="D1360" s="785"/>
      <c r="E1360" s="785"/>
      <c r="F1360" s="785"/>
      <c r="G1360" s="785"/>
    </row>
    <row r="1361" spans="1:7">
      <c r="A1361" s="785"/>
      <c r="B1361" s="785"/>
      <c r="C1361" s="785"/>
      <c r="D1361" s="785"/>
      <c r="E1361" s="785"/>
      <c r="F1361" s="785"/>
      <c r="G1361" s="785"/>
    </row>
    <row r="1362" spans="1:7">
      <c r="A1362" s="785"/>
      <c r="B1362" s="785"/>
      <c r="C1362" s="785"/>
      <c r="D1362" s="785"/>
      <c r="E1362" s="785"/>
      <c r="F1362" s="785"/>
      <c r="G1362" s="785"/>
    </row>
    <row r="1363" spans="1:7">
      <c r="A1363" s="785"/>
      <c r="B1363" s="785"/>
      <c r="C1363" s="785"/>
      <c r="D1363" s="785"/>
      <c r="E1363" s="785"/>
      <c r="F1363" s="785"/>
      <c r="G1363" s="785"/>
    </row>
    <row r="1364" spans="1:7">
      <c r="A1364" s="785"/>
      <c r="B1364" s="785"/>
      <c r="C1364" s="785"/>
      <c r="D1364" s="785"/>
      <c r="E1364" s="785"/>
      <c r="F1364" s="785"/>
      <c r="G1364" s="785"/>
    </row>
    <row r="1365" spans="1:7">
      <c r="A1365" s="785"/>
      <c r="B1365" s="785"/>
      <c r="C1365" s="785"/>
      <c r="D1365" s="785"/>
      <c r="E1365" s="785"/>
      <c r="F1365" s="785"/>
      <c r="G1365" s="785"/>
    </row>
    <row r="1366" spans="1:7">
      <c r="A1366" s="785"/>
      <c r="B1366" s="785"/>
      <c r="C1366" s="785"/>
      <c r="D1366" s="785"/>
      <c r="E1366" s="785"/>
      <c r="F1366" s="785"/>
      <c r="G1366" s="785"/>
    </row>
    <row r="1367" spans="1:7">
      <c r="A1367" s="785"/>
      <c r="B1367" s="785"/>
      <c r="C1367" s="785"/>
      <c r="D1367" s="785"/>
      <c r="E1367" s="785"/>
      <c r="F1367" s="785"/>
      <c r="G1367" s="785"/>
    </row>
    <row r="1368" spans="1:7"/>
    <row r="1369" spans="1:7"/>
    <row r="1370" spans="1:7">
      <c r="A1370" s="785"/>
      <c r="B1370" s="785"/>
      <c r="C1370" s="785"/>
      <c r="D1370" s="785"/>
      <c r="E1370" s="785"/>
      <c r="F1370" s="785"/>
      <c r="G1370" s="785"/>
    </row>
    <row r="1371" spans="1:7">
      <c r="A1371" s="785"/>
      <c r="B1371" s="785"/>
      <c r="C1371" s="785"/>
      <c r="D1371" s="785"/>
      <c r="E1371" s="785"/>
      <c r="F1371" s="785"/>
      <c r="G1371" s="785"/>
    </row>
    <row r="1372" spans="1:7">
      <c r="A1372" s="785"/>
      <c r="B1372" s="785"/>
      <c r="C1372" s="785"/>
      <c r="D1372" s="785"/>
      <c r="E1372" s="785"/>
      <c r="F1372" s="785"/>
      <c r="G1372" s="785"/>
    </row>
    <row r="1373" spans="1:7">
      <c r="A1373" s="785"/>
      <c r="B1373" s="785"/>
      <c r="C1373" s="785"/>
      <c r="D1373" s="785"/>
      <c r="E1373" s="785"/>
      <c r="F1373" s="785"/>
      <c r="G1373" s="785"/>
    </row>
    <row r="1374" spans="1:7">
      <c r="A1374" s="785"/>
      <c r="B1374" s="785"/>
      <c r="C1374" s="785"/>
      <c r="D1374" s="785"/>
      <c r="E1374" s="785"/>
      <c r="F1374" s="785"/>
      <c r="G1374" s="785"/>
    </row>
    <row r="1375" spans="1:7">
      <c r="A1375" s="785"/>
      <c r="B1375" s="785"/>
      <c r="C1375" s="785"/>
      <c r="D1375" s="785"/>
      <c r="E1375" s="785"/>
      <c r="F1375" s="785"/>
      <c r="G1375" s="785"/>
    </row>
    <row r="1376" spans="1:7">
      <c r="A1376" s="785"/>
      <c r="B1376" s="785"/>
      <c r="C1376" s="785"/>
      <c r="D1376" s="785"/>
      <c r="E1376" s="785"/>
      <c r="F1376" s="785"/>
      <c r="G1376" s="785"/>
    </row>
    <row r="1377" spans="1:7">
      <c r="A1377" s="785"/>
      <c r="B1377" s="785"/>
      <c r="C1377" s="785"/>
      <c r="D1377" s="785"/>
      <c r="E1377" s="785"/>
      <c r="F1377" s="785"/>
      <c r="G1377" s="785"/>
    </row>
    <row r="1378" spans="1:7">
      <c r="A1378" s="785"/>
      <c r="B1378" s="785"/>
      <c r="C1378" s="785"/>
      <c r="D1378" s="785"/>
      <c r="E1378" s="785"/>
      <c r="F1378" s="785"/>
      <c r="G1378" s="785"/>
    </row>
    <row r="1379" spans="1:7">
      <c r="A1379" s="785"/>
      <c r="B1379" s="785"/>
      <c r="C1379" s="785"/>
      <c r="D1379" s="785"/>
      <c r="E1379" s="785"/>
      <c r="F1379" s="785"/>
      <c r="G1379" s="785"/>
    </row>
    <row r="1380" spans="1:7">
      <c r="A1380" s="785"/>
      <c r="B1380" s="785"/>
      <c r="C1380" s="785"/>
      <c r="D1380" s="785"/>
      <c r="E1380" s="785"/>
      <c r="F1380" s="785"/>
      <c r="G1380" s="785"/>
    </row>
    <row r="1381" spans="1:7">
      <c r="A1381" s="785"/>
      <c r="B1381" s="785"/>
      <c r="C1381" s="785"/>
      <c r="D1381" s="785"/>
      <c r="E1381" s="785"/>
      <c r="F1381" s="785"/>
      <c r="G1381" s="785"/>
    </row>
    <row r="1382" spans="1:7">
      <c r="A1382" s="785"/>
      <c r="B1382" s="785"/>
      <c r="C1382" s="785"/>
      <c r="D1382" s="785"/>
      <c r="E1382" s="785"/>
      <c r="F1382" s="785"/>
      <c r="G1382" s="785"/>
    </row>
    <row r="1383" spans="1:7">
      <c r="A1383" s="785"/>
      <c r="B1383" s="785"/>
      <c r="C1383" s="785"/>
      <c r="D1383" s="785"/>
      <c r="E1383" s="785"/>
      <c r="F1383" s="785"/>
      <c r="G1383" s="785"/>
    </row>
    <row r="1384" spans="1:7">
      <c r="A1384" s="785"/>
      <c r="B1384" s="785"/>
      <c r="C1384" s="785"/>
      <c r="D1384" s="785"/>
      <c r="E1384" s="785"/>
      <c r="F1384" s="785"/>
      <c r="G1384" s="785"/>
    </row>
    <row r="1385" spans="1:7">
      <c r="A1385" s="785"/>
      <c r="B1385" s="785"/>
      <c r="C1385" s="785"/>
      <c r="D1385" s="785"/>
      <c r="E1385" s="785"/>
      <c r="F1385" s="785"/>
      <c r="G1385" s="785"/>
    </row>
    <row r="1386" spans="1:7">
      <c r="A1386" s="785"/>
      <c r="B1386" s="785"/>
      <c r="C1386" s="785"/>
      <c r="D1386" s="785"/>
      <c r="E1386" s="785"/>
      <c r="F1386" s="785"/>
      <c r="G1386" s="785"/>
    </row>
    <row r="1387" spans="1:7">
      <c r="A1387" s="785"/>
      <c r="B1387" s="785"/>
      <c r="C1387" s="785"/>
      <c r="D1387" s="785"/>
      <c r="E1387" s="785"/>
      <c r="F1387" s="785"/>
      <c r="G1387" s="785"/>
    </row>
    <row r="1388" spans="1:7">
      <c r="A1388" s="785"/>
      <c r="B1388" s="785"/>
      <c r="C1388" s="785"/>
      <c r="D1388" s="785"/>
      <c r="E1388" s="785"/>
      <c r="F1388" s="785"/>
      <c r="G1388" s="785"/>
    </row>
    <row r="1389" spans="1:7">
      <c r="A1389" s="785"/>
      <c r="B1389" s="785"/>
      <c r="C1389" s="785"/>
      <c r="D1389" s="785"/>
      <c r="E1389" s="785"/>
      <c r="F1389" s="785"/>
      <c r="G1389" s="785"/>
    </row>
    <row r="1390" spans="1:7">
      <c r="A1390" s="785"/>
      <c r="B1390" s="785"/>
      <c r="C1390" s="785"/>
      <c r="D1390" s="785"/>
      <c r="E1390" s="785"/>
      <c r="F1390" s="785"/>
      <c r="G1390" s="785"/>
    </row>
    <row r="1391" spans="1:7">
      <c r="A1391" s="785"/>
      <c r="B1391" s="785"/>
      <c r="C1391" s="785"/>
      <c r="D1391" s="785"/>
      <c r="E1391" s="785"/>
      <c r="F1391" s="785"/>
      <c r="G1391" s="785"/>
    </row>
    <row r="1392" spans="1:7">
      <c r="A1392" s="785"/>
      <c r="B1392" s="785"/>
      <c r="C1392" s="785"/>
      <c r="D1392" s="785"/>
      <c r="E1392" s="785"/>
      <c r="F1392" s="785"/>
      <c r="G1392" s="785"/>
    </row>
    <row r="1393" spans="1:7">
      <c r="A1393" s="785"/>
      <c r="B1393" s="785"/>
      <c r="C1393" s="785"/>
      <c r="D1393" s="785"/>
      <c r="E1393" s="785"/>
      <c r="F1393" s="785"/>
      <c r="G1393" s="785"/>
    </row>
    <row r="1394" spans="1:7">
      <c r="A1394" s="785"/>
      <c r="B1394" s="785"/>
      <c r="C1394" s="785"/>
      <c r="D1394" s="785"/>
      <c r="E1394" s="785"/>
      <c r="F1394" s="785"/>
      <c r="G1394" s="785"/>
    </row>
    <row r="1395" spans="1:7">
      <c r="A1395" s="785"/>
      <c r="B1395" s="785"/>
      <c r="C1395" s="785"/>
      <c r="D1395" s="785"/>
      <c r="E1395" s="785"/>
      <c r="F1395" s="785"/>
      <c r="G1395" s="785"/>
    </row>
    <row r="1396" spans="1:7">
      <c r="A1396" s="785"/>
      <c r="B1396" s="785"/>
      <c r="C1396" s="785"/>
      <c r="D1396" s="785"/>
      <c r="E1396" s="785"/>
      <c r="F1396" s="785"/>
      <c r="G1396" s="785"/>
    </row>
    <row r="1397" spans="1:7">
      <c r="A1397" s="785"/>
      <c r="B1397" s="785"/>
      <c r="C1397" s="785"/>
      <c r="D1397" s="785"/>
      <c r="E1397" s="785"/>
      <c r="F1397" s="785"/>
      <c r="G1397" s="785"/>
    </row>
    <row r="1398" spans="1:7">
      <c r="A1398" s="785"/>
      <c r="B1398" s="785"/>
      <c r="C1398" s="785"/>
      <c r="D1398" s="785"/>
      <c r="E1398" s="785"/>
      <c r="F1398" s="785"/>
      <c r="G1398" s="785"/>
    </row>
    <row r="1399" spans="1:7">
      <c r="A1399" s="785"/>
      <c r="B1399" s="785"/>
      <c r="C1399" s="785"/>
      <c r="D1399" s="785"/>
      <c r="E1399" s="785"/>
      <c r="F1399" s="785"/>
      <c r="G1399" s="785"/>
    </row>
    <row r="1400" spans="1:7">
      <c r="A1400" s="785"/>
      <c r="B1400" s="785"/>
      <c r="C1400" s="785"/>
      <c r="D1400" s="785"/>
      <c r="E1400" s="785"/>
      <c r="F1400" s="785"/>
      <c r="G1400" s="785"/>
    </row>
    <row r="1401" spans="1:7">
      <c r="A1401" s="785"/>
      <c r="B1401" s="785"/>
      <c r="C1401" s="785"/>
      <c r="D1401" s="785"/>
      <c r="E1401" s="785"/>
      <c r="F1401" s="785"/>
      <c r="G1401" s="785"/>
    </row>
    <row r="1402" spans="1:7">
      <c r="A1402" s="785"/>
      <c r="B1402" s="785"/>
      <c r="C1402" s="785"/>
      <c r="D1402" s="785"/>
      <c r="E1402" s="785"/>
      <c r="F1402" s="785"/>
      <c r="G1402" s="785"/>
    </row>
    <row r="1403" spans="1:7">
      <c r="A1403" s="785"/>
      <c r="B1403" s="785"/>
      <c r="C1403" s="785"/>
      <c r="D1403" s="785"/>
      <c r="E1403" s="785"/>
      <c r="F1403" s="785"/>
      <c r="G1403" s="785"/>
    </row>
    <row r="1404" spans="1:7">
      <c r="A1404" s="785"/>
      <c r="B1404" s="785"/>
      <c r="C1404" s="785"/>
      <c r="D1404" s="785"/>
      <c r="E1404" s="785"/>
      <c r="F1404" s="785"/>
      <c r="G1404" s="785"/>
    </row>
    <row r="1405" spans="1:7">
      <c r="A1405" s="785"/>
      <c r="B1405" s="785"/>
      <c r="C1405" s="785"/>
      <c r="D1405" s="785"/>
      <c r="E1405" s="785"/>
      <c r="F1405" s="785"/>
      <c r="G1405" s="785"/>
    </row>
    <row r="1406" spans="1:7">
      <c r="A1406" s="785"/>
      <c r="B1406" s="785"/>
      <c r="C1406" s="785"/>
      <c r="D1406" s="785"/>
      <c r="E1406" s="785"/>
      <c r="F1406" s="785"/>
      <c r="G1406" s="785"/>
    </row>
    <row r="1407" spans="1:7">
      <c r="A1407" s="785"/>
      <c r="B1407" s="785"/>
      <c r="C1407" s="785"/>
      <c r="D1407" s="785"/>
      <c r="E1407" s="785"/>
      <c r="F1407" s="785"/>
      <c r="G1407" s="785"/>
    </row>
    <row r="1408" spans="1:7">
      <c r="A1408" s="785"/>
      <c r="B1408" s="785"/>
      <c r="C1408" s="785"/>
      <c r="D1408" s="785"/>
      <c r="E1408" s="785"/>
      <c r="F1408" s="785"/>
      <c r="G1408" s="785"/>
    </row>
    <row r="1409" spans="1:7">
      <c r="A1409" s="785"/>
      <c r="B1409" s="785"/>
      <c r="C1409" s="785"/>
      <c r="D1409" s="785"/>
      <c r="E1409" s="785"/>
      <c r="F1409" s="785"/>
      <c r="G1409" s="785"/>
    </row>
    <row r="1410" spans="1:7">
      <c r="A1410" s="785"/>
      <c r="B1410" s="785"/>
      <c r="C1410" s="785"/>
      <c r="D1410" s="785"/>
      <c r="E1410" s="785"/>
      <c r="F1410" s="785"/>
      <c r="G1410" s="785"/>
    </row>
    <row r="1411" spans="1:7">
      <c r="A1411" s="785"/>
      <c r="B1411" s="785"/>
      <c r="C1411" s="785"/>
      <c r="D1411" s="785"/>
      <c r="E1411" s="785"/>
      <c r="F1411" s="785"/>
      <c r="G1411" s="785"/>
    </row>
    <row r="1412" spans="1:7">
      <c r="A1412" s="785"/>
      <c r="B1412" s="785"/>
      <c r="C1412" s="785"/>
      <c r="D1412" s="785"/>
      <c r="E1412" s="785"/>
      <c r="F1412" s="785"/>
      <c r="G1412" s="785"/>
    </row>
    <row r="1413" spans="1:7">
      <c r="A1413" s="785"/>
      <c r="B1413" s="785"/>
      <c r="C1413" s="785"/>
      <c r="D1413" s="785"/>
      <c r="E1413" s="785"/>
      <c r="F1413" s="785"/>
      <c r="G1413" s="785"/>
    </row>
    <row r="1414" spans="1:7">
      <c r="A1414" s="785"/>
      <c r="B1414" s="785"/>
      <c r="C1414" s="785"/>
      <c r="D1414" s="785"/>
      <c r="E1414" s="785"/>
      <c r="F1414" s="785"/>
      <c r="G1414" s="785"/>
    </row>
    <row r="1415" spans="1:7">
      <c r="A1415" s="785"/>
      <c r="B1415" s="785"/>
      <c r="C1415" s="785"/>
      <c r="D1415" s="785"/>
      <c r="E1415" s="785"/>
      <c r="F1415" s="785"/>
      <c r="G1415" s="785"/>
    </row>
    <row r="1416" spans="1:7">
      <c r="A1416" s="785"/>
      <c r="B1416" s="785"/>
      <c r="C1416" s="785"/>
      <c r="D1416" s="785"/>
      <c r="E1416" s="785"/>
      <c r="F1416" s="785"/>
      <c r="G1416" s="785"/>
    </row>
    <row r="1417" spans="1:7">
      <c r="A1417" s="785"/>
      <c r="B1417" s="785"/>
      <c r="C1417" s="785"/>
      <c r="D1417" s="785"/>
      <c r="E1417" s="785"/>
      <c r="F1417" s="785"/>
      <c r="G1417" s="785"/>
    </row>
    <row r="1418" spans="1:7">
      <c r="A1418" s="785"/>
      <c r="B1418" s="785"/>
      <c r="C1418" s="785"/>
      <c r="D1418" s="785"/>
      <c r="E1418" s="785"/>
      <c r="F1418" s="785"/>
      <c r="G1418" s="785"/>
    </row>
    <row r="1419" spans="1:7">
      <c r="A1419" s="785"/>
      <c r="B1419" s="785"/>
      <c r="C1419" s="785"/>
      <c r="D1419" s="785"/>
      <c r="E1419" s="785"/>
      <c r="F1419" s="785"/>
      <c r="G1419" s="785"/>
    </row>
    <row r="1420" spans="1:7">
      <c r="A1420" s="785"/>
      <c r="B1420" s="785"/>
      <c r="C1420" s="785"/>
      <c r="D1420" s="785"/>
      <c r="E1420" s="785"/>
      <c r="F1420" s="785"/>
      <c r="G1420" s="785"/>
    </row>
    <row r="1421" spans="1:7">
      <c r="A1421" s="785"/>
      <c r="B1421" s="785"/>
      <c r="C1421" s="785"/>
      <c r="D1421" s="785"/>
      <c r="E1421" s="785"/>
      <c r="F1421" s="785"/>
      <c r="G1421" s="785"/>
    </row>
    <row r="1422" spans="1:7">
      <c r="A1422" s="785"/>
      <c r="B1422" s="785"/>
      <c r="C1422" s="785"/>
      <c r="D1422" s="785"/>
      <c r="E1422" s="785"/>
      <c r="F1422" s="785"/>
      <c r="G1422" s="785"/>
    </row>
    <row r="1423" spans="1:7">
      <c r="A1423" s="785"/>
      <c r="B1423" s="785"/>
      <c r="C1423" s="785"/>
      <c r="D1423" s="785"/>
      <c r="E1423" s="785"/>
      <c r="F1423" s="785"/>
      <c r="G1423" s="785"/>
    </row>
    <row r="1424" spans="1:7">
      <c r="A1424" s="785"/>
      <c r="B1424" s="785"/>
      <c r="C1424" s="785"/>
      <c r="D1424" s="785"/>
      <c r="E1424" s="785"/>
      <c r="F1424" s="785"/>
      <c r="G1424" s="785"/>
    </row>
    <row r="1425" spans="1:7">
      <c r="A1425" s="785"/>
      <c r="B1425" s="785"/>
      <c r="C1425" s="785"/>
      <c r="D1425" s="785"/>
      <c r="E1425" s="785"/>
      <c r="F1425" s="785"/>
      <c r="G1425" s="785"/>
    </row>
    <row r="1426" spans="1:7">
      <c r="A1426" s="785"/>
      <c r="B1426" s="785"/>
      <c r="C1426" s="785"/>
      <c r="D1426" s="785"/>
      <c r="E1426" s="785"/>
      <c r="F1426" s="785"/>
      <c r="G1426" s="785"/>
    </row>
    <row r="1427" spans="1:7">
      <c r="A1427" s="785"/>
      <c r="B1427" s="785"/>
      <c r="C1427" s="785"/>
      <c r="D1427" s="785"/>
      <c r="E1427" s="785"/>
      <c r="F1427" s="785"/>
      <c r="G1427" s="785"/>
    </row>
    <row r="1428" spans="1:7">
      <c r="A1428" s="785"/>
      <c r="B1428" s="785"/>
      <c r="C1428" s="785"/>
      <c r="D1428" s="785"/>
      <c r="E1428" s="785"/>
      <c r="F1428" s="785"/>
      <c r="G1428" s="785"/>
    </row>
    <row r="1429" spans="1:7">
      <c r="A1429" s="785"/>
      <c r="B1429" s="785"/>
      <c r="C1429" s="785"/>
      <c r="D1429" s="785"/>
      <c r="E1429" s="785"/>
      <c r="F1429" s="785"/>
      <c r="G1429" s="785"/>
    </row>
    <row r="1430" spans="1:7">
      <c r="A1430" s="785"/>
      <c r="B1430" s="785"/>
      <c r="C1430" s="785"/>
      <c r="D1430" s="785"/>
      <c r="E1430" s="785"/>
      <c r="F1430" s="785"/>
      <c r="G1430" s="785"/>
    </row>
    <row r="1431" spans="1:7">
      <c r="A1431" s="785"/>
      <c r="B1431" s="785"/>
      <c r="C1431" s="785"/>
      <c r="D1431" s="785"/>
      <c r="E1431" s="785"/>
      <c r="F1431" s="785"/>
      <c r="G1431" s="785"/>
    </row>
    <row r="1432" spans="1:7">
      <c r="A1432" s="785"/>
      <c r="B1432" s="785"/>
      <c r="C1432" s="785"/>
      <c r="D1432" s="785"/>
      <c r="E1432" s="785"/>
      <c r="F1432" s="785"/>
      <c r="G1432" s="785"/>
    </row>
    <row r="1433" spans="1:7">
      <c r="A1433" s="785"/>
      <c r="B1433" s="785"/>
      <c r="C1433" s="785"/>
      <c r="D1433" s="785"/>
      <c r="E1433" s="785"/>
      <c r="F1433" s="785"/>
      <c r="G1433" s="785"/>
    </row>
    <row r="1434" spans="1:7">
      <c r="A1434" s="785"/>
      <c r="B1434" s="785"/>
      <c r="C1434" s="785"/>
      <c r="D1434" s="785"/>
      <c r="E1434" s="785"/>
      <c r="F1434" s="785"/>
      <c r="G1434" s="785"/>
    </row>
    <row r="1435" spans="1:7">
      <c r="A1435" s="785"/>
      <c r="B1435" s="785"/>
      <c r="C1435" s="785"/>
      <c r="D1435" s="785"/>
      <c r="E1435" s="785"/>
      <c r="F1435" s="785"/>
      <c r="G1435" s="785"/>
    </row>
    <row r="1436" spans="1:7">
      <c r="A1436" s="785"/>
      <c r="B1436" s="785"/>
      <c r="C1436" s="785"/>
      <c r="D1436" s="785"/>
      <c r="E1436" s="785"/>
      <c r="F1436" s="785"/>
      <c r="G1436" s="785"/>
    </row>
    <row r="1437" spans="1:7">
      <c r="A1437" s="785"/>
      <c r="B1437" s="785"/>
      <c r="C1437" s="785"/>
      <c r="D1437" s="785"/>
      <c r="E1437" s="785"/>
      <c r="F1437" s="785"/>
      <c r="G1437" s="785"/>
    </row>
    <row r="1438" spans="1:7">
      <c r="A1438" s="785"/>
      <c r="B1438" s="785"/>
      <c r="C1438" s="785"/>
      <c r="D1438" s="785"/>
      <c r="E1438" s="785"/>
      <c r="F1438" s="785"/>
      <c r="G1438" s="785"/>
    </row>
    <row r="1439" spans="1:7">
      <c r="A1439" s="785"/>
      <c r="B1439" s="785"/>
      <c r="C1439" s="785"/>
      <c r="D1439" s="785"/>
      <c r="E1439" s="785"/>
      <c r="F1439" s="785"/>
      <c r="G1439" s="785"/>
    </row>
    <row r="1440" spans="1:7">
      <c r="A1440" s="785"/>
      <c r="B1440" s="785"/>
      <c r="C1440" s="785"/>
      <c r="D1440" s="785"/>
      <c r="E1440" s="785"/>
      <c r="F1440" s="785"/>
      <c r="G1440" s="785"/>
    </row>
    <row r="1441" spans="1:7">
      <c r="A1441" s="785"/>
      <c r="B1441" s="785"/>
      <c r="C1441" s="785"/>
      <c r="D1441" s="785"/>
      <c r="E1441" s="785"/>
      <c r="F1441" s="785"/>
      <c r="G1441" s="785"/>
    </row>
    <row r="1442" spans="1:7">
      <c r="A1442" s="785"/>
      <c r="B1442" s="785"/>
      <c r="C1442" s="785"/>
      <c r="D1442" s="785"/>
      <c r="E1442" s="785"/>
      <c r="F1442" s="785"/>
      <c r="G1442" s="785"/>
    </row>
    <row r="1443" spans="1:7">
      <c r="A1443" s="785"/>
      <c r="B1443" s="785"/>
      <c r="C1443" s="785"/>
      <c r="D1443" s="785"/>
      <c r="E1443" s="785"/>
      <c r="F1443" s="785"/>
      <c r="G1443" s="785"/>
    </row>
    <row r="1444" spans="1:7">
      <c r="A1444" s="785"/>
      <c r="B1444" s="785"/>
      <c r="C1444" s="785"/>
      <c r="D1444" s="785"/>
      <c r="E1444" s="785"/>
      <c r="F1444" s="785"/>
      <c r="G1444" s="785"/>
    </row>
    <row r="1445" spans="1:7">
      <c r="A1445" s="785"/>
      <c r="B1445" s="785"/>
      <c r="C1445" s="785"/>
      <c r="D1445" s="785"/>
      <c r="E1445" s="785"/>
      <c r="F1445" s="785"/>
      <c r="G1445" s="785"/>
    </row>
    <row r="1446" spans="1:7">
      <c r="A1446" s="785"/>
      <c r="B1446" s="785"/>
      <c r="C1446" s="785"/>
      <c r="D1446" s="785"/>
      <c r="E1446" s="785"/>
      <c r="F1446" s="785"/>
      <c r="G1446" s="785"/>
    </row>
    <row r="1447" spans="1:7">
      <c r="A1447" s="785"/>
      <c r="B1447" s="785"/>
      <c r="C1447" s="785"/>
      <c r="D1447" s="785"/>
      <c r="E1447" s="785"/>
      <c r="F1447" s="785"/>
      <c r="G1447" s="785"/>
    </row>
    <row r="1448" spans="1:7">
      <c r="A1448" s="785"/>
      <c r="B1448" s="785"/>
      <c r="C1448" s="785"/>
      <c r="D1448" s="785"/>
      <c r="E1448" s="785"/>
      <c r="F1448" s="785"/>
      <c r="G1448" s="785"/>
    </row>
    <row r="1449" spans="1:7">
      <c r="A1449" s="785"/>
      <c r="B1449" s="785"/>
      <c r="C1449" s="785"/>
      <c r="D1449" s="785"/>
      <c r="E1449" s="785"/>
      <c r="F1449" s="785"/>
      <c r="G1449" s="785"/>
    </row>
    <row r="1450" spans="1:7">
      <c r="A1450" s="785"/>
      <c r="B1450" s="785"/>
      <c r="C1450" s="785"/>
      <c r="D1450" s="785"/>
      <c r="E1450" s="785"/>
      <c r="F1450" s="785"/>
      <c r="G1450" s="785"/>
    </row>
    <row r="1451" spans="1:7">
      <c r="A1451" s="785"/>
      <c r="B1451" s="785"/>
      <c r="C1451" s="785"/>
      <c r="D1451" s="785"/>
      <c r="E1451" s="785"/>
      <c r="F1451" s="785"/>
      <c r="G1451" s="785"/>
    </row>
    <row r="1452" spans="1:7">
      <c r="A1452" s="785"/>
      <c r="B1452" s="785"/>
      <c r="C1452" s="785"/>
      <c r="D1452" s="785"/>
      <c r="E1452" s="785"/>
      <c r="F1452" s="785"/>
      <c r="G1452" s="785"/>
    </row>
    <row r="1453" spans="1:7">
      <c r="A1453" s="785"/>
      <c r="B1453" s="785"/>
      <c r="C1453" s="785"/>
      <c r="D1453" s="785"/>
      <c r="E1453" s="785"/>
      <c r="F1453" s="785"/>
      <c r="G1453" s="785"/>
    </row>
    <row r="1454" spans="1:7">
      <c r="A1454" s="785"/>
      <c r="B1454" s="785"/>
      <c r="C1454" s="785"/>
      <c r="D1454" s="785"/>
      <c r="E1454" s="785"/>
      <c r="F1454" s="785"/>
      <c r="G1454" s="785"/>
    </row>
    <row r="1455" spans="1:7">
      <c r="A1455" s="785"/>
      <c r="B1455" s="785"/>
      <c r="C1455" s="785"/>
      <c r="D1455" s="785"/>
      <c r="E1455" s="785"/>
      <c r="F1455" s="785"/>
      <c r="G1455" s="785"/>
    </row>
    <row r="1456" spans="1:7">
      <c r="A1456" s="785"/>
      <c r="B1456" s="785"/>
      <c r="C1456" s="785"/>
      <c r="D1456" s="785"/>
      <c r="E1456" s="785"/>
      <c r="F1456" s="785"/>
      <c r="G1456" s="785"/>
    </row>
    <row r="1457" spans="1:7">
      <c r="A1457" s="785"/>
      <c r="B1457" s="785"/>
      <c r="C1457" s="785"/>
      <c r="D1457" s="785"/>
      <c r="E1457" s="785"/>
      <c r="F1457" s="785"/>
      <c r="G1457" s="785"/>
    </row>
    <row r="1458" spans="1:7">
      <c r="A1458" s="785"/>
      <c r="B1458" s="785"/>
      <c r="C1458" s="785"/>
      <c r="D1458" s="785"/>
      <c r="E1458" s="785"/>
      <c r="F1458" s="785"/>
      <c r="G1458" s="785"/>
    </row>
    <row r="1459" spans="1:7">
      <c r="A1459" s="785"/>
      <c r="B1459" s="785"/>
      <c r="C1459" s="785"/>
      <c r="D1459" s="785"/>
      <c r="E1459" s="785"/>
      <c r="F1459" s="785"/>
      <c r="G1459" s="785"/>
    </row>
    <row r="1460" spans="1:7">
      <c r="A1460" s="785"/>
      <c r="B1460" s="785"/>
      <c r="C1460" s="785"/>
      <c r="D1460" s="785"/>
      <c r="E1460" s="785"/>
      <c r="F1460" s="785"/>
      <c r="G1460" s="785"/>
    </row>
    <row r="1461" spans="1:7">
      <c r="A1461" s="785"/>
      <c r="B1461" s="785"/>
      <c r="C1461" s="785"/>
      <c r="D1461" s="785"/>
      <c r="E1461" s="785"/>
      <c r="F1461" s="785"/>
      <c r="G1461" s="785"/>
    </row>
    <row r="1462" spans="1:7">
      <c r="A1462" s="785"/>
      <c r="B1462" s="785"/>
      <c r="C1462" s="785"/>
      <c r="D1462" s="785"/>
      <c r="E1462" s="785"/>
      <c r="F1462" s="785"/>
      <c r="G1462" s="785"/>
    </row>
    <row r="1463" spans="1:7">
      <c r="A1463" s="785"/>
      <c r="B1463" s="785"/>
      <c r="C1463" s="785"/>
      <c r="D1463" s="785"/>
      <c r="E1463" s="785"/>
      <c r="F1463" s="785"/>
      <c r="G1463" s="785"/>
    </row>
    <row r="1464" spans="1:7">
      <c r="A1464" s="785"/>
      <c r="B1464" s="785"/>
      <c r="C1464" s="785"/>
      <c r="D1464" s="785"/>
      <c r="E1464" s="785"/>
      <c r="F1464" s="785"/>
      <c r="G1464" s="785"/>
    </row>
    <row r="1465" spans="1:7">
      <c r="A1465" s="785"/>
      <c r="B1465" s="785"/>
      <c r="C1465" s="785"/>
      <c r="D1465" s="785"/>
      <c r="E1465" s="785"/>
      <c r="F1465" s="785"/>
      <c r="G1465" s="785"/>
    </row>
    <row r="1466" spans="1:7">
      <c r="A1466" s="785"/>
      <c r="B1466" s="785"/>
      <c r="C1466" s="785"/>
      <c r="D1466" s="785"/>
      <c r="E1466" s="785"/>
      <c r="F1466" s="785"/>
      <c r="G1466" s="785"/>
    </row>
    <row r="1467" spans="1:7">
      <c r="A1467" s="785"/>
      <c r="B1467" s="785"/>
      <c r="C1467" s="785"/>
      <c r="D1467" s="785"/>
      <c r="E1467" s="785"/>
      <c r="F1467" s="785"/>
      <c r="G1467" s="785"/>
    </row>
    <row r="1468" spans="1:7">
      <c r="A1468" s="785"/>
      <c r="B1468" s="785"/>
      <c r="C1468" s="785"/>
      <c r="D1468" s="785"/>
      <c r="E1468" s="785"/>
      <c r="F1468" s="785"/>
      <c r="G1468" s="785"/>
    </row>
    <row r="1469" spans="1:7">
      <c r="A1469" s="785"/>
      <c r="B1469" s="785"/>
      <c r="C1469" s="785"/>
      <c r="D1469" s="785"/>
      <c r="E1469" s="785"/>
      <c r="F1469" s="785"/>
      <c r="G1469" s="785"/>
    </row>
    <row r="1470" spans="1:7">
      <c r="A1470" s="785"/>
      <c r="B1470" s="785"/>
      <c r="C1470" s="785"/>
      <c r="D1470" s="785"/>
      <c r="E1470" s="785"/>
      <c r="F1470" s="785"/>
      <c r="G1470" s="785"/>
    </row>
    <row r="1471" spans="1:7">
      <c r="A1471" s="785"/>
      <c r="B1471" s="785"/>
      <c r="C1471" s="785"/>
      <c r="D1471" s="785"/>
      <c r="E1471" s="785"/>
      <c r="F1471" s="785"/>
      <c r="G1471" s="785"/>
    </row>
    <row r="1472" spans="1:7">
      <c r="A1472" s="785"/>
      <c r="B1472" s="785"/>
      <c r="C1472" s="785"/>
      <c r="D1472" s="785"/>
      <c r="E1472" s="785"/>
      <c r="F1472" s="785"/>
      <c r="G1472" s="785"/>
    </row>
    <row r="1473" spans="1:7">
      <c r="A1473" s="785"/>
      <c r="B1473" s="785"/>
      <c r="C1473" s="785"/>
      <c r="D1473" s="785"/>
      <c r="E1473" s="785"/>
      <c r="F1473" s="785"/>
      <c r="G1473" s="785"/>
    </row>
    <row r="1474" spans="1:7">
      <c r="A1474" s="785"/>
      <c r="B1474" s="785"/>
      <c r="C1474" s="785"/>
      <c r="D1474" s="785"/>
      <c r="E1474" s="785"/>
      <c r="F1474" s="785"/>
      <c r="G1474" s="785"/>
    </row>
    <row r="1475" spans="1:7">
      <c r="A1475" s="785"/>
      <c r="B1475" s="785"/>
      <c r="C1475" s="785"/>
      <c r="D1475" s="785"/>
      <c r="E1475" s="785"/>
      <c r="F1475" s="785"/>
      <c r="G1475" s="785"/>
    </row>
    <row r="1476" spans="1:7">
      <c r="A1476" s="785"/>
      <c r="B1476" s="785"/>
      <c r="C1476" s="785"/>
      <c r="D1476" s="785"/>
      <c r="E1476" s="785"/>
      <c r="F1476" s="785"/>
      <c r="G1476" s="785"/>
    </row>
    <row r="1477" spans="1:7">
      <c r="A1477" s="785"/>
      <c r="B1477" s="785"/>
      <c r="C1477" s="785"/>
      <c r="D1477" s="785"/>
      <c r="E1477" s="785"/>
      <c r="F1477" s="785"/>
      <c r="G1477" s="785"/>
    </row>
    <row r="1478" spans="1:7">
      <c r="A1478" s="785"/>
      <c r="B1478" s="785"/>
      <c r="C1478" s="785"/>
      <c r="D1478" s="785"/>
      <c r="E1478" s="785"/>
      <c r="F1478" s="785"/>
      <c r="G1478" s="785"/>
    </row>
    <row r="1479" spans="1:7">
      <c r="A1479" s="785"/>
      <c r="B1479" s="785"/>
      <c r="C1479" s="785"/>
      <c r="D1479" s="785"/>
      <c r="E1479" s="785"/>
      <c r="F1479" s="785"/>
      <c r="G1479" s="785"/>
    </row>
    <row r="1480" spans="1:7">
      <c r="A1480" s="785"/>
      <c r="B1480" s="785"/>
      <c r="C1480" s="785"/>
      <c r="D1480" s="785"/>
      <c r="E1480" s="785"/>
      <c r="F1480" s="785"/>
      <c r="G1480" s="785"/>
    </row>
    <row r="1481" spans="1:7">
      <c r="A1481" s="785"/>
      <c r="B1481" s="785"/>
      <c r="C1481" s="785"/>
      <c r="D1481" s="785"/>
      <c r="E1481" s="785"/>
      <c r="F1481" s="785"/>
      <c r="G1481" s="785"/>
    </row>
    <row r="1482" spans="1:7">
      <c r="A1482" s="785"/>
      <c r="B1482" s="785"/>
      <c r="C1482" s="785"/>
      <c r="D1482" s="785"/>
      <c r="E1482" s="785"/>
      <c r="F1482" s="785"/>
      <c r="G1482" s="785"/>
    </row>
    <row r="1483" spans="1:7">
      <c r="A1483" s="785"/>
      <c r="B1483" s="785"/>
      <c r="C1483" s="785"/>
      <c r="D1483" s="785"/>
      <c r="E1483" s="785"/>
      <c r="F1483" s="785"/>
      <c r="G1483" s="785"/>
    </row>
    <row r="1484" spans="1:7">
      <c r="A1484" s="785"/>
      <c r="B1484" s="785"/>
      <c r="C1484" s="785"/>
      <c r="D1484" s="785"/>
      <c r="E1484" s="785"/>
      <c r="F1484" s="785"/>
      <c r="G1484" s="785"/>
    </row>
    <row r="1485" spans="1:7">
      <c r="A1485" s="785"/>
      <c r="B1485" s="785"/>
      <c r="C1485" s="785"/>
      <c r="D1485" s="785"/>
      <c r="E1485" s="785"/>
      <c r="F1485" s="785"/>
      <c r="G1485" s="785"/>
    </row>
    <row r="1486" spans="1:7">
      <c r="A1486" s="785"/>
      <c r="B1486" s="785"/>
      <c r="C1486" s="785"/>
      <c r="D1486" s="785"/>
      <c r="E1486" s="785"/>
      <c r="F1486" s="785"/>
      <c r="G1486" s="785"/>
    </row>
    <row r="1487" spans="1:7">
      <c r="A1487" s="785"/>
      <c r="B1487" s="785"/>
      <c r="C1487" s="785"/>
      <c r="D1487" s="785"/>
      <c r="E1487" s="785"/>
      <c r="F1487" s="785"/>
      <c r="G1487" s="785"/>
    </row>
    <row r="1488" spans="1:7">
      <c r="A1488" s="785"/>
      <c r="B1488" s="785"/>
      <c r="C1488" s="785"/>
      <c r="D1488" s="785"/>
      <c r="E1488" s="785"/>
      <c r="F1488" s="785"/>
      <c r="G1488" s="785"/>
    </row>
    <row r="1489" spans="1:7">
      <c r="A1489" s="785"/>
      <c r="B1489" s="785"/>
      <c r="C1489" s="785"/>
      <c r="D1489" s="785"/>
      <c r="E1489" s="785"/>
      <c r="F1489" s="785"/>
      <c r="G1489" s="785"/>
    </row>
    <row r="1490" spans="1:7">
      <c r="A1490" s="785"/>
      <c r="B1490" s="785"/>
      <c r="C1490" s="785"/>
      <c r="D1490" s="785"/>
      <c r="E1490" s="785"/>
      <c r="F1490" s="785"/>
      <c r="G1490" s="785"/>
    </row>
    <row r="1491" spans="1:7">
      <c r="A1491" s="785"/>
      <c r="B1491" s="785"/>
      <c r="C1491" s="785"/>
      <c r="D1491" s="785"/>
      <c r="E1491" s="785"/>
      <c r="F1491" s="785"/>
      <c r="G1491" s="785"/>
    </row>
    <row r="1492" spans="1:7">
      <c r="A1492" s="785"/>
      <c r="B1492" s="785"/>
      <c r="C1492" s="785"/>
      <c r="D1492" s="785"/>
      <c r="E1492" s="785"/>
      <c r="F1492" s="785"/>
      <c r="G1492" s="785"/>
    </row>
    <row r="1493" spans="1:7">
      <c r="A1493" s="785"/>
      <c r="B1493" s="785"/>
      <c r="C1493" s="785"/>
      <c r="D1493" s="785"/>
      <c r="E1493" s="785"/>
      <c r="F1493" s="785"/>
      <c r="G1493" s="785"/>
    </row>
    <row r="1494" spans="1:7">
      <c r="A1494" s="785"/>
      <c r="B1494" s="785"/>
      <c r="C1494" s="785"/>
      <c r="D1494" s="785"/>
      <c r="E1494" s="785"/>
      <c r="F1494" s="785"/>
      <c r="G1494" s="785"/>
    </row>
    <row r="1495" spans="1:7">
      <c r="A1495" s="785"/>
      <c r="B1495" s="785"/>
      <c r="C1495" s="785"/>
      <c r="D1495" s="785"/>
      <c r="E1495" s="785"/>
      <c r="F1495" s="785"/>
      <c r="G1495" s="785"/>
    </row>
    <row r="1496" spans="1:7">
      <c r="A1496" s="785"/>
      <c r="B1496" s="785"/>
      <c r="C1496" s="785"/>
      <c r="D1496" s="785"/>
      <c r="E1496" s="785"/>
      <c r="F1496" s="785"/>
      <c r="G1496" s="785"/>
    </row>
    <row r="1497" spans="1:7">
      <c r="A1497" s="785"/>
      <c r="B1497" s="785"/>
      <c r="C1497" s="785"/>
      <c r="D1497" s="785"/>
      <c r="E1497" s="785"/>
      <c r="F1497" s="785"/>
      <c r="G1497" s="785"/>
    </row>
    <row r="1498" spans="1:7">
      <c r="A1498" s="785"/>
      <c r="B1498" s="785"/>
      <c r="C1498" s="785"/>
      <c r="D1498" s="785"/>
      <c r="E1498" s="785"/>
      <c r="F1498" s="785"/>
      <c r="G1498" s="785"/>
    </row>
    <row r="1499" spans="1:7">
      <c r="A1499" s="785"/>
      <c r="B1499" s="785"/>
      <c r="C1499" s="785"/>
      <c r="D1499" s="785"/>
      <c r="E1499" s="785"/>
      <c r="F1499" s="785"/>
      <c r="G1499" s="785"/>
    </row>
    <row r="1500" spans="1:7">
      <c r="A1500" s="785"/>
      <c r="B1500" s="785"/>
      <c r="C1500" s="785"/>
      <c r="D1500" s="785"/>
      <c r="E1500" s="785"/>
      <c r="F1500" s="785"/>
      <c r="G1500" s="785"/>
    </row>
    <row r="1501" spans="1:7">
      <c r="A1501" s="785"/>
      <c r="B1501" s="785"/>
      <c r="C1501" s="785"/>
      <c r="D1501" s="785"/>
      <c r="E1501" s="785"/>
      <c r="F1501" s="785"/>
      <c r="G1501" s="785"/>
    </row>
    <row r="1502" spans="1:7">
      <c r="A1502" s="785"/>
      <c r="B1502" s="785"/>
      <c r="C1502" s="785"/>
      <c r="D1502" s="785"/>
      <c r="E1502" s="785"/>
      <c r="F1502" s="785"/>
      <c r="G1502" s="785"/>
    </row>
    <row r="1503" spans="1:7">
      <c r="A1503" s="785"/>
      <c r="B1503" s="785"/>
      <c r="C1503" s="785"/>
      <c r="D1503" s="785"/>
      <c r="E1503" s="785"/>
      <c r="F1503" s="785"/>
      <c r="G1503" s="785"/>
    </row>
    <row r="1504" spans="1:7">
      <c r="A1504" s="785"/>
      <c r="B1504" s="785"/>
      <c r="C1504" s="785"/>
      <c r="D1504" s="785"/>
      <c r="E1504" s="785"/>
      <c r="F1504" s="785"/>
      <c r="G1504" s="785"/>
    </row>
    <row r="1505" spans="1:9">
      <c r="A1505" s="785"/>
      <c r="B1505" s="785"/>
      <c r="C1505" s="785"/>
      <c r="D1505" s="785"/>
      <c r="E1505" s="785"/>
      <c r="F1505" s="785"/>
      <c r="G1505" s="785"/>
    </row>
    <row r="1506" spans="1:9">
      <c r="A1506" s="785"/>
      <c r="B1506" s="785"/>
      <c r="C1506" s="785"/>
      <c r="D1506" s="785"/>
      <c r="E1506" s="785"/>
      <c r="F1506" s="785"/>
      <c r="G1506" s="785"/>
    </row>
    <row r="1507" spans="1:9">
      <c r="A1507" s="785"/>
      <c r="B1507" s="785"/>
      <c r="C1507" s="785"/>
      <c r="D1507" s="785"/>
      <c r="E1507" s="785"/>
      <c r="F1507" s="785"/>
      <c r="G1507" s="785"/>
    </row>
    <row r="1508" spans="1:9">
      <c r="A1508" s="785"/>
      <c r="B1508" s="785"/>
      <c r="C1508" s="785"/>
      <c r="D1508" s="785"/>
      <c r="E1508" s="785"/>
      <c r="F1508" s="785"/>
      <c r="G1508" s="785"/>
    </row>
    <row r="1509" spans="1:9">
      <c r="A1509" s="785"/>
      <c r="B1509" s="785"/>
      <c r="C1509" s="785"/>
      <c r="D1509" s="785"/>
      <c r="E1509" s="785"/>
      <c r="F1509" s="785"/>
      <c r="G1509" s="785"/>
    </row>
    <row r="1510" spans="1:9">
      <c r="A1510" s="785"/>
      <c r="B1510" s="785"/>
      <c r="C1510" s="785"/>
      <c r="D1510" s="785"/>
      <c r="E1510" s="785"/>
      <c r="F1510" s="785"/>
      <c r="G1510" s="785"/>
    </row>
    <row r="1511" spans="1:9">
      <c r="A1511" s="785"/>
      <c r="B1511" s="785"/>
      <c r="C1511" s="785"/>
      <c r="D1511" s="785"/>
      <c r="E1511" s="785"/>
      <c r="F1511" s="785"/>
      <c r="G1511" s="785"/>
    </row>
    <row r="1512" spans="1:9">
      <c r="A1512" s="785"/>
      <c r="B1512" s="785"/>
      <c r="C1512" s="785"/>
      <c r="D1512" s="785"/>
      <c r="E1512" s="785"/>
      <c r="F1512" s="785"/>
      <c r="G1512" s="785"/>
    </row>
    <row r="1513" spans="1:9"/>
    <row r="1514" spans="1:9"/>
    <row r="1515" spans="1:9"/>
    <row r="1516" spans="1:9">
      <c r="G1516" s="1872"/>
      <c r="H1516" s="1872"/>
      <c r="I1516" s="1872"/>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165" zoomScale="90" zoomScaleNormal="90" zoomScaleSheetLayoutView="80" workbookViewId="0">
      <selection activeCell="X176" sqref="X176:Y176"/>
    </sheetView>
  </sheetViews>
  <sheetFormatPr defaultColWidth="0" defaultRowHeight="0" customHeight="1" zeroHeight="1"/>
  <cols>
    <col min="1" max="36" width="2.44140625" style="12" customWidth="1"/>
    <col min="37" max="37" width="2.77734375" style="12" customWidth="1"/>
    <col min="38" max="38" width="2.44140625" style="12" customWidth="1"/>
    <col min="39" max="45" width="2.44140625" style="39" customWidth="1"/>
    <col min="46" max="46" width="3.77734375" style="39" hidden="1" customWidth="1"/>
    <col min="47" max="51" width="0" style="39" hidden="1"/>
    <col min="52" max="95" width="0" style="12" hidden="1"/>
    <col min="96" max="96" width="0" style="25" hidden="1"/>
    <col min="97" max="16383" width="0" style="12" hidden="1"/>
    <col min="16384" max="16384" width="3.7773437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6"/>
      <c r="AN1" s="676"/>
      <c r="AO1" s="676"/>
      <c r="AP1" s="676"/>
      <c r="AQ1" s="676"/>
      <c r="AR1" s="676"/>
      <c r="AS1" s="676"/>
      <c r="AT1" s="676"/>
      <c r="AU1" s="676"/>
      <c r="AV1" s="676"/>
      <c r="AW1" s="676"/>
      <c r="AX1" s="676"/>
      <c r="AY1" s="676"/>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6"/>
      <c r="AN2" s="676"/>
      <c r="AO2" s="676"/>
      <c r="AP2" s="676"/>
      <c r="AQ2" s="676"/>
      <c r="AR2" s="676"/>
      <c r="AS2" s="676"/>
      <c r="AT2" s="676"/>
      <c r="AU2" s="676"/>
      <c r="AV2" s="676"/>
      <c r="AW2" s="676"/>
      <c r="AX2" s="676"/>
      <c r="AY2" s="676"/>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6"/>
      <c r="AN3" s="676"/>
      <c r="AO3" s="676"/>
      <c r="AP3" s="676"/>
      <c r="AQ3" s="676"/>
      <c r="AR3" s="676"/>
      <c r="AS3" s="676"/>
      <c r="AT3" s="676"/>
      <c r="AU3" s="676"/>
      <c r="AV3" s="676"/>
      <c r="AW3" s="676"/>
      <c r="AX3" s="676"/>
      <c r="AY3" s="676"/>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6"/>
      <c r="AN6" s="676"/>
      <c r="AO6" s="676"/>
      <c r="AP6" s="676"/>
      <c r="AQ6" s="676"/>
      <c r="AR6" s="676"/>
      <c r="AS6" s="676"/>
      <c r="AT6" s="676"/>
      <c r="AU6" s="676"/>
      <c r="AV6" s="676"/>
      <c r="AW6" s="676"/>
      <c r="AX6" s="676"/>
      <c r="AY6" s="676"/>
    </row>
    <row r="7" spans="1:96" ht="13.2"/>
    <row r="8" spans="1:96" ht="17.399999999999999">
      <c r="A8" s="2395" t="s">
        <v>105</v>
      </c>
      <c r="B8" s="2395"/>
      <c r="C8" s="2395"/>
      <c r="D8" s="2395"/>
      <c r="E8" s="2395"/>
      <c r="F8" s="2395"/>
      <c r="G8" s="2395"/>
      <c r="H8" s="2395"/>
      <c r="I8" s="2395"/>
      <c r="J8" s="2395"/>
      <c r="K8" s="2395"/>
      <c r="L8" s="2395"/>
      <c r="M8" s="2395"/>
      <c r="N8" s="2395"/>
      <c r="O8" s="2395"/>
      <c r="P8" s="2395"/>
      <c r="Q8" s="2395"/>
      <c r="R8" s="2395"/>
      <c r="S8" s="2395"/>
      <c r="T8" s="2395"/>
      <c r="U8" s="2395"/>
      <c r="V8" s="2395"/>
      <c r="W8" s="2395"/>
      <c r="X8" s="2395"/>
      <c r="Y8" s="2395"/>
      <c r="Z8" s="2395"/>
      <c r="AA8" s="2395"/>
      <c r="AB8" s="2395"/>
      <c r="AC8" s="2395"/>
      <c r="AD8" s="2395"/>
      <c r="AE8" s="2395"/>
      <c r="AF8" s="2395"/>
      <c r="AG8" s="2395"/>
      <c r="AH8" s="2395"/>
      <c r="AI8" s="2395"/>
      <c r="AJ8" s="2395"/>
      <c r="AK8" s="2395"/>
      <c r="AL8" s="2395"/>
      <c r="AM8" s="1565"/>
      <c r="AN8" s="1565"/>
      <c r="AO8" s="1565"/>
      <c r="AP8" s="1565"/>
      <c r="AQ8" s="1565"/>
      <c r="AR8" s="1565"/>
      <c r="AS8" s="1565"/>
      <c r="AT8" s="1565"/>
      <c r="AU8" s="1565"/>
      <c r="AV8" s="1565"/>
      <c r="AW8" s="1565"/>
      <c r="AX8" s="1565"/>
      <c r="AY8" s="1565"/>
    </row>
    <row r="9" spans="1:96" s="714" customFormat="1" ht="13.2">
      <c r="A9" s="2085" t="s">
        <v>1989</v>
      </c>
      <c r="B9" s="2085"/>
      <c r="C9" s="2085"/>
      <c r="D9" s="2085"/>
      <c r="E9" s="2085"/>
      <c r="F9" s="2085"/>
      <c r="G9" s="2085"/>
      <c r="H9" s="2085"/>
      <c r="I9" s="2085"/>
      <c r="J9" s="2085"/>
      <c r="K9" s="2085"/>
      <c r="L9" s="2085"/>
      <c r="M9" s="2085"/>
      <c r="N9" s="2085"/>
      <c r="O9" s="2085"/>
      <c r="P9" s="2085"/>
      <c r="Q9" s="2085"/>
      <c r="R9" s="2085"/>
      <c r="S9" s="2085"/>
      <c r="T9" s="2085"/>
      <c r="U9" s="2085"/>
      <c r="V9" s="2085"/>
      <c r="W9" s="2085"/>
      <c r="X9" s="2085"/>
      <c r="Y9" s="2085"/>
      <c r="Z9" s="2085"/>
      <c r="AA9" s="2085"/>
      <c r="AB9" s="2085"/>
      <c r="AC9" s="2085"/>
      <c r="AD9" s="2085"/>
      <c r="AE9" s="2085"/>
      <c r="AF9" s="2085"/>
      <c r="AG9" s="2085"/>
      <c r="AH9" s="2085"/>
      <c r="AI9" s="2085"/>
      <c r="AJ9" s="2085"/>
      <c r="AK9" s="2085"/>
      <c r="AL9" s="2085"/>
      <c r="AM9" s="1504"/>
      <c r="AN9" s="1504"/>
      <c r="AO9" s="1504"/>
      <c r="AP9" s="1504"/>
      <c r="AQ9" s="1504"/>
      <c r="AR9" s="1504"/>
      <c r="AS9" s="1504"/>
      <c r="AT9" s="1504"/>
      <c r="AU9" s="1504"/>
      <c r="AV9" s="1504"/>
      <c r="AW9" s="1504"/>
      <c r="AX9" s="1504"/>
      <c r="AY9" s="1504"/>
      <c r="CR9" s="25"/>
    </row>
    <row r="10" spans="1:96" ht="15" customHeight="1">
      <c r="A10" s="2221" t="s">
        <v>1990</v>
      </c>
      <c r="B10" s="2221"/>
      <c r="C10" s="2221"/>
      <c r="D10" s="2221"/>
      <c r="E10" s="2221"/>
      <c r="F10" s="2221"/>
      <c r="G10" s="2221"/>
      <c r="H10" s="2221"/>
      <c r="I10" s="2221"/>
      <c r="J10" s="2221"/>
      <c r="K10" s="2221"/>
      <c r="L10" s="2221"/>
      <c r="M10" s="2221"/>
      <c r="N10" s="2221"/>
      <c r="O10" s="2221"/>
      <c r="P10" s="2221"/>
      <c r="Q10" s="2221"/>
      <c r="R10" s="2221"/>
      <c r="S10" s="2221"/>
      <c r="T10" s="2221"/>
      <c r="U10" s="2221"/>
      <c r="V10" s="2221"/>
      <c r="W10" s="2221"/>
      <c r="X10" s="2221"/>
      <c r="Y10" s="2221"/>
      <c r="Z10" s="2221"/>
      <c r="AA10" s="2221"/>
      <c r="AB10" s="2221"/>
      <c r="AC10" s="2221"/>
      <c r="AD10" s="2221"/>
      <c r="AE10" s="2221"/>
      <c r="AF10" s="2221"/>
      <c r="AG10" s="2221"/>
      <c r="AH10" s="2221"/>
      <c r="AI10" s="2221"/>
      <c r="AJ10" s="2221"/>
      <c r="AK10" s="2221"/>
      <c r="AL10" s="2221"/>
      <c r="AM10" s="20"/>
      <c r="AN10" s="20"/>
      <c r="AO10" s="20"/>
      <c r="AP10" s="20"/>
      <c r="AQ10" s="20"/>
      <c r="AR10" s="20"/>
      <c r="AS10" s="20"/>
      <c r="AT10" s="20"/>
      <c r="AU10" s="20"/>
      <c r="AV10" s="20"/>
      <c r="AW10" s="20"/>
      <c r="AX10" s="20"/>
      <c r="AY10" s="20"/>
    </row>
    <row r="11" spans="1:96" ht="15" customHeight="1">
      <c r="A11" s="2085" t="s">
        <v>2010</v>
      </c>
      <c r="B11" s="2085"/>
      <c r="C11" s="2085"/>
      <c r="D11" s="2085"/>
      <c r="E11" s="2085"/>
      <c r="F11" s="2085"/>
      <c r="G11" s="2085"/>
      <c r="H11" s="2085"/>
      <c r="I11" s="2085"/>
      <c r="J11" s="2085"/>
      <c r="K11" s="2085"/>
      <c r="L11" s="2085"/>
      <c r="M11" s="2085"/>
      <c r="N11" s="2085"/>
      <c r="O11" s="2085"/>
      <c r="P11" s="2085"/>
      <c r="Q11" s="2085"/>
      <c r="R11" s="2085"/>
      <c r="S11" s="2085"/>
      <c r="T11" s="2085"/>
      <c r="U11" s="2085"/>
      <c r="V11" s="2085"/>
      <c r="W11" s="2085"/>
      <c r="X11" s="2085"/>
      <c r="Y11" s="2085"/>
      <c r="Z11" s="2085"/>
      <c r="AA11" s="2085"/>
      <c r="AB11" s="2085"/>
      <c r="AC11" s="2085"/>
      <c r="AD11" s="2085"/>
      <c r="AE11" s="2085"/>
      <c r="AF11" s="2085"/>
      <c r="AG11" s="2085"/>
      <c r="AH11" s="2085"/>
      <c r="AI11" s="2085"/>
      <c r="AJ11" s="2085"/>
      <c r="AK11" s="2085"/>
      <c r="AL11" s="2085"/>
      <c r="AM11" s="1504"/>
      <c r="AN11" s="1504"/>
      <c r="AO11" s="1504"/>
      <c r="AP11" s="1504"/>
      <c r="AQ11" s="1504"/>
      <c r="AR11" s="1504"/>
      <c r="AS11" s="1504"/>
      <c r="AT11" s="1504"/>
      <c r="AU11" s="1504"/>
      <c r="AV11" s="1504"/>
      <c r="AW11" s="1504"/>
      <c r="AX11" s="1504"/>
      <c r="AY11" s="1504"/>
    </row>
    <row r="12" spans="1:96" ht="13.2">
      <c r="A12" s="2229" t="s">
        <v>2515</v>
      </c>
      <c r="B12" s="2230"/>
      <c r="C12" s="2230"/>
      <c r="D12" s="2230"/>
      <c r="E12" s="2230"/>
      <c r="F12" s="2230"/>
      <c r="G12" s="2230"/>
      <c r="H12" s="2230"/>
      <c r="I12" s="2230"/>
      <c r="J12" s="2230"/>
      <c r="K12" s="2230"/>
      <c r="L12" s="2230"/>
      <c r="M12" s="2230"/>
      <c r="N12" s="2230"/>
      <c r="O12" s="2230"/>
      <c r="P12" s="2230"/>
      <c r="Q12" s="2230"/>
      <c r="R12" s="2230"/>
      <c r="S12" s="2230"/>
      <c r="T12" s="2230"/>
      <c r="U12" s="2230"/>
      <c r="V12" s="2230"/>
      <c r="W12" s="2230"/>
      <c r="X12" s="2230"/>
      <c r="Y12" s="2230"/>
      <c r="Z12" s="2230"/>
      <c r="AA12" s="2230"/>
      <c r="AB12" s="2230"/>
      <c r="AC12" s="2230"/>
      <c r="AD12" s="2230"/>
      <c r="AE12" s="2230"/>
      <c r="AF12" s="2230"/>
      <c r="AG12" s="2230"/>
      <c r="AH12" s="2230"/>
      <c r="AI12" s="2230"/>
      <c r="AJ12" s="2230"/>
      <c r="AK12" s="2230"/>
      <c r="AL12" s="2230"/>
      <c r="AM12" s="1510"/>
      <c r="AN12" s="1510"/>
      <c r="AO12" s="1510"/>
      <c r="AP12" s="1510"/>
      <c r="AQ12" s="1510"/>
      <c r="AR12" s="1510"/>
      <c r="AS12" s="1510"/>
      <c r="AT12" s="1510"/>
      <c r="AU12" s="1510"/>
      <c r="AV12" s="1510"/>
      <c r="AW12" s="1510"/>
      <c r="AX12" s="1510"/>
      <c r="AY12" s="1510"/>
    </row>
    <row r="13" spans="1:96" ht="13.2">
      <c r="A13" s="1868" t="s">
        <v>1384</v>
      </c>
      <c r="B13" s="1868"/>
      <c r="C13" s="1868"/>
      <c r="D13" s="1868"/>
      <c r="E13" s="1868"/>
      <c r="F13" s="1868"/>
      <c r="G13" s="1868"/>
      <c r="H13" s="1868"/>
      <c r="I13" s="1868"/>
      <c r="J13" s="1868"/>
      <c r="K13" s="1868"/>
      <c r="L13" s="1868"/>
      <c r="M13" s="1868"/>
      <c r="N13" s="1868"/>
      <c r="O13" s="1868"/>
      <c r="P13" s="1868"/>
      <c r="Q13" s="1868"/>
      <c r="R13" s="1868"/>
      <c r="S13" s="1868"/>
      <c r="T13" s="1868"/>
      <c r="U13" s="1868"/>
      <c r="V13" s="1868"/>
      <c r="W13" s="1868"/>
      <c r="X13" s="1868"/>
      <c r="Y13" s="1868"/>
      <c r="Z13" s="1868"/>
      <c r="AA13" s="1868"/>
      <c r="AB13" s="1868"/>
      <c r="AC13" s="1868"/>
      <c r="AD13" s="1868"/>
      <c r="AE13" s="1868"/>
      <c r="AF13" s="1868"/>
      <c r="AG13" s="1868"/>
      <c r="AH13" s="1868"/>
      <c r="AI13" s="1868"/>
      <c r="AJ13" s="1868"/>
      <c r="AK13" s="1868"/>
      <c r="AL13" s="1868"/>
      <c r="AM13" s="1566"/>
      <c r="AN13" s="1566"/>
      <c r="AO13" s="1566"/>
      <c r="AP13" s="1566"/>
      <c r="AQ13" s="1566"/>
      <c r="AR13" s="1566"/>
      <c r="AS13" s="1566"/>
      <c r="AT13" s="1566"/>
      <c r="AU13" s="1566"/>
      <c r="AV13" s="1566"/>
      <c r="AW13" s="1566"/>
      <c r="AX13" s="1566"/>
      <c r="AY13" s="1566"/>
    </row>
    <row r="14" spans="1:96" ht="12.75" customHeight="1" thickBot="1">
      <c r="A14" s="1869"/>
      <c r="B14" s="1869"/>
      <c r="C14" s="1869"/>
      <c r="D14" s="1869"/>
      <c r="E14" s="1869"/>
      <c r="F14" s="1869"/>
      <c r="G14" s="1869"/>
      <c r="H14" s="1869"/>
      <c r="I14" s="1869"/>
      <c r="J14" s="1869"/>
      <c r="K14" s="1869"/>
      <c r="L14" s="1869"/>
      <c r="M14" s="1869"/>
      <c r="N14" s="1869"/>
      <c r="O14" s="1869"/>
      <c r="P14" s="1869"/>
      <c r="Q14" s="1869"/>
      <c r="R14" s="1869"/>
      <c r="S14" s="1869"/>
      <c r="T14" s="1869"/>
      <c r="U14" s="1869"/>
      <c r="V14" s="1869"/>
      <c r="W14" s="1869"/>
      <c r="X14" s="1869"/>
      <c r="Y14" s="1869"/>
      <c r="Z14" s="1869"/>
      <c r="AA14" s="1869"/>
      <c r="AB14" s="1869"/>
      <c r="AC14" s="1869"/>
      <c r="AD14" s="1869"/>
      <c r="AE14" s="1869"/>
      <c r="AF14" s="1869"/>
      <c r="AG14" s="1869"/>
      <c r="AH14" s="1869"/>
      <c r="AI14" s="1869"/>
      <c r="AJ14" s="1869"/>
      <c r="AK14" s="1869"/>
      <c r="AL14" s="1869"/>
      <c r="AM14" s="1566"/>
      <c r="AN14" s="1566"/>
      <c r="AO14" s="1566"/>
      <c r="AP14" s="1566"/>
      <c r="AQ14" s="1566"/>
      <c r="AR14" s="1566"/>
      <c r="AS14" s="1566"/>
      <c r="AT14" s="1566"/>
      <c r="AU14" s="1566"/>
      <c r="AV14" s="1566"/>
      <c r="AW14" s="1566"/>
      <c r="AX14" s="1566"/>
      <c r="AY14" s="1566"/>
    </row>
    <row r="15" spans="1:96" ht="12.75" customHeight="1" thickTop="1">
      <c r="A15" s="145"/>
      <c r="B15" s="145"/>
      <c r="C15" s="145"/>
      <c r="D15" s="145"/>
      <c r="E15" s="145"/>
      <c r="F15" s="145"/>
      <c r="G15" s="145"/>
      <c r="AC15" s="145"/>
      <c r="AD15" s="145"/>
      <c r="AE15" s="145"/>
      <c r="AF15" s="145"/>
      <c r="AG15" s="145"/>
      <c r="AH15" s="145"/>
      <c r="AI15" s="145"/>
      <c r="AJ15" s="145"/>
      <c r="AK15" s="145"/>
      <c r="AL15" s="145"/>
      <c r="AM15" s="1567"/>
      <c r="AN15" s="1567"/>
      <c r="AO15" s="1567"/>
      <c r="AP15" s="1567"/>
      <c r="AQ15" s="1567"/>
      <c r="AR15" s="1567"/>
      <c r="AS15" s="1567"/>
      <c r="AT15" s="1567"/>
      <c r="AU15" s="1567"/>
      <c r="AV15" s="1567"/>
      <c r="AW15" s="1567"/>
      <c r="AX15" s="1567"/>
      <c r="AY15" s="1567"/>
    </row>
    <row r="16" spans="1:96" ht="12.75" customHeight="1">
      <c r="A16" s="134" t="s">
        <v>1372</v>
      </c>
      <c r="C16" s="7"/>
      <c r="D16" s="7"/>
      <c r="E16" s="7"/>
      <c r="F16" s="7"/>
      <c r="G16" s="7"/>
      <c r="H16" s="2209" t="s">
        <v>2517</v>
      </c>
      <c r="I16" s="2210"/>
      <c r="J16" s="2210"/>
      <c r="K16" s="2210"/>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c r="AH16" s="2210"/>
      <c r="AI16" s="2210"/>
      <c r="AJ16" s="2210"/>
    </row>
    <row r="17" spans="1:96" ht="12.75" customHeight="1"/>
    <row r="18" spans="1:96" ht="12.75" customHeight="1">
      <c r="A18" s="134" t="s">
        <v>106</v>
      </c>
      <c r="C18" s="7"/>
      <c r="D18" s="7"/>
      <c r="E18" s="7"/>
      <c r="F18" s="7"/>
      <c r="G18" s="7"/>
      <c r="H18" s="2198" t="s">
        <v>2518</v>
      </c>
      <c r="I18" s="2197"/>
      <c r="J18" s="2197"/>
      <c r="K18" s="2197"/>
      <c r="L18" s="2197"/>
      <c r="M18" s="2197"/>
      <c r="N18" s="2197"/>
      <c r="O18" s="2197"/>
      <c r="P18" s="2197"/>
      <c r="Q18" s="2197"/>
      <c r="R18" s="2197"/>
      <c r="S18" s="2197"/>
      <c r="T18" s="2197"/>
      <c r="U18" s="2197"/>
      <c r="V18" s="2197"/>
      <c r="W18" s="2197"/>
      <c r="X18" s="2197"/>
      <c r="Y18" s="2197"/>
      <c r="Z18" s="2197"/>
      <c r="AA18" s="2197"/>
      <c r="AB18" s="2197"/>
      <c r="AC18" s="2197"/>
      <c r="AD18" s="2197"/>
      <c r="AE18" s="2197"/>
      <c r="AF18" s="2197"/>
      <c r="AG18" s="2197"/>
      <c r="AH18" s="2197"/>
      <c r="AI18" s="2197"/>
      <c r="AJ18" s="2197"/>
    </row>
    <row r="19" spans="1:96" ht="12.75" customHeight="1"/>
    <row r="20" spans="1:96" ht="14.25" customHeight="1">
      <c r="A20" s="2223" t="s">
        <v>934</v>
      </c>
      <c r="B20" s="2223"/>
      <c r="C20" s="2223"/>
      <c r="D20" s="2223"/>
      <c r="E20" s="2223"/>
      <c r="F20" s="2223"/>
      <c r="G20" s="2223"/>
      <c r="H20" s="2223"/>
      <c r="I20" s="2223"/>
      <c r="J20" s="2223"/>
      <c r="K20" s="2223"/>
      <c r="L20" s="2223"/>
      <c r="M20" s="2223"/>
      <c r="N20" s="2223"/>
      <c r="O20" s="2223"/>
      <c r="P20" s="2223"/>
      <c r="Q20" s="2223"/>
      <c r="R20" s="2223"/>
      <c r="S20" s="2223"/>
      <c r="T20" s="2223"/>
      <c r="U20" s="2223"/>
      <c r="V20" s="2223"/>
      <c r="W20" s="2223"/>
      <c r="X20" s="2223"/>
      <c r="Y20" s="2223"/>
      <c r="Z20" s="2223"/>
      <c r="AA20" s="2223"/>
      <c r="AB20" s="2223"/>
      <c r="AC20" s="2223"/>
      <c r="AD20" s="2223"/>
      <c r="AE20" s="2223"/>
      <c r="AF20" s="2223"/>
      <c r="AG20" s="2223"/>
      <c r="AH20" s="2223"/>
      <c r="AI20" s="2223"/>
      <c r="AJ20" s="2223"/>
      <c r="AK20" s="2223"/>
      <c r="AL20" s="2223"/>
      <c r="AM20" s="1568"/>
      <c r="AN20" s="1568"/>
      <c r="AO20" s="1568"/>
      <c r="AP20" s="1568"/>
      <c r="AQ20" s="1568"/>
      <c r="AR20" s="1568"/>
      <c r="AS20" s="1568"/>
      <c r="AT20" s="1568"/>
      <c r="AU20" s="1568"/>
      <c r="AV20" s="1568"/>
      <c r="AW20" s="1568"/>
      <c r="AX20" s="1568"/>
      <c r="AY20" s="1568"/>
    </row>
    <row r="21" spans="1:96" ht="12.75" customHeight="1">
      <c r="A21" s="2233" t="s">
        <v>1114</v>
      </c>
      <c r="B21" s="2233"/>
      <c r="C21" s="2233"/>
      <c r="D21" s="2233"/>
      <c r="E21" s="2233"/>
      <c r="F21" s="2233"/>
      <c r="G21" s="2233"/>
      <c r="H21" s="2233"/>
      <c r="I21" s="2233"/>
      <c r="J21" s="2233"/>
      <c r="K21" s="2233"/>
      <c r="L21" s="2233"/>
      <c r="M21" s="2233"/>
      <c r="N21" s="2233"/>
      <c r="O21" s="2233"/>
      <c r="P21" s="2233"/>
      <c r="Q21" s="2233"/>
      <c r="R21" s="2233"/>
      <c r="S21" s="2233"/>
      <c r="T21" s="2233"/>
      <c r="U21" s="2233"/>
      <c r="V21" s="2233"/>
      <c r="W21" s="2233"/>
      <c r="X21" s="2233"/>
      <c r="Y21" s="2233"/>
      <c r="Z21" s="2233"/>
      <c r="AA21" s="2233"/>
      <c r="AB21" s="2233"/>
      <c r="AC21" s="2233"/>
      <c r="AD21" s="2233"/>
      <c r="AE21" s="2233"/>
      <c r="AF21" s="2233"/>
      <c r="AG21" s="2233"/>
      <c r="AH21" s="2233"/>
      <c r="AI21" s="2233"/>
      <c r="AJ21" s="2233"/>
      <c r="AK21" s="2233"/>
      <c r="AL21" s="2233"/>
      <c r="AM21" s="1569"/>
      <c r="AN21" s="1569"/>
      <c r="AO21" s="1569"/>
      <c r="AP21" s="1569"/>
      <c r="AQ21" s="1569"/>
      <c r="AR21" s="1569"/>
      <c r="AS21" s="1569"/>
      <c r="AT21" s="1569"/>
      <c r="AU21" s="1569"/>
      <c r="AV21" s="1569"/>
      <c r="AW21" s="1569"/>
      <c r="AX21" s="1569"/>
      <c r="AY21" s="156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0"/>
      <c r="AN23" s="1570"/>
      <c r="AO23" s="1570"/>
      <c r="AP23" s="1570"/>
      <c r="AQ23" s="1570"/>
      <c r="AR23" s="1570"/>
      <c r="AS23" s="1570"/>
      <c r="AT23" s="1570"/>
      <c r="AU23" s="1570"/>
      <c r="AV23" s="1570"/>
      <c r="AW23" s="1570"/>
      <c r="AX23" s="1570"/>
      <c r="AY23" s="1570"/>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0"/>
      <c r="AN24" s="1570"/>
      <c r="AO24" s="1570"/>
      <c r="AP24" s="1570"/>
      <c r="AQ24" s="1570"/>
      <c r="AR24" s="1570"/>
      <c r="AS24" s="1570"/>
      <c r="AT24" s="1570"/>
      <c r="AU24" s="1570"/>
      <c r="AV24" s="1570"/>
      <c r="AW24" s="1570"/>
      <c r="AX24" s="1570"/>
      <c r="AY24" s="157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2">
        <f>'Basis &amp; Credits'!AB56</f>
        <v>4691762</v>
      </c>
      <c r="N26" s="2232"/>
      <c r="O26" s="2232"/>
      <c r="P26" s="2232"/>
      <c r="Q26" s="2232"/>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0">
        <f>'Basis &amp; Credits'!AB77</f>
        <v>24999582</v>
      </c>
      <c r="N27" s="2140"/>
      <c r="O27" s="2140"/>
      <c r="P27" s="2140"/>
      <c r="Q27" s="2140"/>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6"/>
    </row>
    <row r="33" spans="1:96" s="39" customFormat="1" ht="12.75" customHeight="1">
      <c r="A33" s="893" t="s">
        <v>1512</v>
      </c>
      <c r="C33" s="893"/>
      <c r="D33" s="893"/>
      <c r="E33" s="893"/>
      <c r="F33" s="893"/>
      <c r="G33" s="893"/>
      <c r="H33" s="893"/>
      <c r="I33" s="893"/>
      <c r="J33" s="893"/>
      <c r="K33" s="893"/>
      <c r="L33" s="893"/>
      <c r="M33" s="893"/>
      <c r="N33" s="893"/>
      <c r="O33" s="2035" t="s">
        <v>578</v>
      </c>
      <c r="P33" s="2035"/>
      <c r="Q33" s="893" t="s">
        <v>1513</v>
      </c>
      <c r="S33" s="893"/>
      <c r="T33" s="893"/>
      <c r="U33" s="893"/>
      <c r="V33" s="893"/>
      <c r="W33" s="893"/>
      <c r="X33" s="893"/>
      <c r="Y33" s="893"/>
      <c r="Z33" s="893"/>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6"/>
    </row>
    <row r="34" spans="1:96" s="39" customFormat="1" ht="12.75" customHeight="1">
      <c r="A34" s="239" t="s">
        <v>1515</v>
      </c>
      <c r="C34" s="893"/>
      <c r="D34" s="893"/>
      <c r="E34" s="893"/>
      <c r="F34" s="893"/>
      <c r="G34" s="893"/>
      <c r="H34" s="893"/>
      <c r="I34" s="893"/>
      <c r="J34" s="893"/>
      <c r="K34" s="893"/>
      <c r="L34" s="893"/>
      <c r="M34" s="893"/>
      <c r="N34" s="893"/>
      <c r="O34" s="893"/>
      <c r="P34" s="893"/>
      <c r="Q34" s="893"/>
      <c r="R34" s="893"/>
      <c r="S34" s="893"/>
      <c r="T34" s="893"/>
      <c r="U34" s="893"/>
      <c r="V34" s="893"/>
      <c r="W34" s="893"/>
      <c r="X34" s="893"/>
      <c r="Y34" s="893"/>
      <c r="Z34" s="893"/>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6"/>
    </row>
    <row r="35" spans="1:96" s="39" customFormat="1" ht="12.75" customHeight="1">
      <c r="A35" s="239" t="s">
        <v>1514</v>
      </c>
      <c r="C35" s="893"/>
      <c r="D35" s="893"/>
      <c r="E35" s="893"/>
      <c r="F35" s="893"/>
      <c r="G35" s="893"/>
      <c r="H35" s="893"/>
      <c r="I35" s="893"/>
      <c r="J35" s="893"/>
      <c r="K35" s="893"/>
      <c r="L35" s="893"/>
      <c r="M35" s="893"/>
      <c r="N35" s="893"/>
      <c r="O35" s="893"/>
      <c r="P35" s="893"/>
      <c r="Q35" s="893"/>
      <c r="R35" s="893"/>
      <c r="S35" s="893"/>
      <c r="T35" s="893"/>
      <c r="U35" s="893"/>
      <c r="V35" s="893"/>
      <c r="W35" s="893"/>
      <c r="X35" s="893"/>
      <c r="Y35" s="893"/>
      <c r="Z35" s="893"/>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6"/>
    </row>
    <row r="36" spans="1:96" ht="12.75" customHeight="1">
      <c r="A36" s="894" t="s">
        <v>1516</v>
      </c>
      <c r="B36" s="39"/>
      <c r="C36" s="893"/>
      <c r="D36" s="893"/>
      <c r="E36" s="893"/>
      <c r="F36" s="893"/>
      <c r="G36" s="893"/>
      <c r="H36" s="893"/>
      <c r="I36" s="893"/>
      <c r="J36" s="893"/>
      <c r="K36" s="893"/>
      <c r="L36" s="893"/>
      <c r="M36" s="893"/>
      <c r="N36" s="893"/>
      <c r="O36" s="893"/>
      <c r="P36" s="893"/>
      <c r="Q36" s="893"/>
      <c r="R36" s="893"/>
      <c r="S36" s="893"/>
      <c r="T36" s="893"/>
      <c r="U36" s="893"/>
      <c r="V36" s="893"/>
      <c r="W36" s="893"/>
      <c r="X36" s="893"/>
      <c r="Y36" s="893"/>
      <c r="Z36" s="893"/>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3"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3"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3"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5"/>
      <c r="AN42" s="1505"/>
      <c r="AO42" s="1505"/>
      <c r="AP42" s="1505"/>
      <c r="AQ42" s="1505"/>
      <c r="AR42" s="1505"/>
      <c r="AS42" s="1505"/>
      <c r="AT42" s="1505"/>
      <c r="AU42" s="1505"/>
      <c r="AV42" s="1505"/>
      <c r="AW42" s="1505"/>
      <c r="AX42" s="1505"/>
      <c r="AY42" s="1505"/>
      <c r="AZ42" s="31"/>
    </row>
    <row r="43" spans="1:96" ht="12.75" customHeight="1">
      <c r="A43" s="903"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4"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4"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4"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5"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2"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2"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2"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2"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6"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5"/>
      <c r="AN55" s="1505"/>
      <c r="AO55" s="1505"/>
      <c r="AP55" s="1505"/>
      <c r="AQ55" s="1505"/>
      <c r="AR55" s="1505"/>
      <c r="AS55" s="1505"/>
      <c r="AT55" s="1505"/>
      <c r="AU55" s="1505"/>
      <c r="AV55" s="1505"/>
      <c r="AW55" s="1505"/>
      <c r="AX55" s="1505"/>
      <c r="AY55" s="1505"/>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5"/>
      <c r="AN56" s="1505"/>
      <c r="AO56" s="1505"/>
      <c r="AP56" s="1505"/>
      <c r="AQ56" s="1505"/>
      <c r="AR56" s="1505"/>
      <c r="AS56" s="1505"/>
      <c r="AT56" s="1505"/>
      <c r="AU56" s="1505"/>
      <c r="AV56" s="1505"/>
      <c r="AW56" s="1505"/>
      <c r="AX56" s="1505"/>
      <c r="AY56" s="1505"/>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5"/>
      <c r="AN57" s="1505"/>
      <c r="AO57" s="1505"/>
      <c r="AP57" s="1505"/>
      <c r="AQ57" s="1505"/>
      <c r="AR57" s="1505"/>
      <c r="AS57" s="1505"/>
      <c r="AT57" s="1505"/>
      <c r="AU57" s="1505"/>
      <c r="AV57" s="1505"/>
      <c r="AW57" s="1505"/>
      <c r="AX57" s="1505"/>
      <c r="AY57" s="1505"/>
      <c r="AZ57" s="32"/>
    </row>
    <row r="58" spans="1:52" ht="13.2">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5"/>
      <c r="AN58" s="1505"/>
      <c r="AO58" s="1505"/>
      <c r="AP58" s="1505"/>
      <c r="AQ58" s="1505"/>
      <c r="AR58" s="1505"/>
      <c r="AS58" s="1505"/>
      <c r="AT58" s="1505"/>
      <c r="AU58" s="1505"/>
      <c r="AV58" s="1505"/>
      <c r="AW58" s="1505"/>
      <c r="AX58" s="1505"/>
      <c r="AY58" s="1505"/>
      <c r="AZ58" s="32"/>
    </row>
    <row r="59" spans="1:52" ht="13.2">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1"/>
      <c r="AN65" s="1571"/>
      <c r="AO65" s="1571"/>
      <c r="AP65" s="1571"/>
      <c r="AQ65" s="1571"/>
      <c r="AR65" s="1571"/>
      <c r="AS65" s="1571"/>
      <c r="AT65" s="1571"/>
      <c r="AU65" s="1571"/>
      <c r="AV65" s="1571"/>
      <c r="AW65" s="1571"/>
      <c r="AX65" s="1571"/>
      <c r="AY65" s="1571"/>
      <c r="AZ65" s="31"/>
    </row>
    <row r="66" spans="1:52" ht="13.2">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1"/>
      <c r="AN66" s="1571"/>
      <c r="AO66" s="1571"/>
      <c r="AP66" s="1571"/>
      <c r="AQ66" s="1571"/>
      <c r="AR66" s="1571"/>
      <c r="AS66" s="1571"/>
      <c r="AT66" s="1571"/>
      <c r="AU66" s="1571"/>
      <c r="AV66" s="1571"/>
      <c r="AW66" s="1571"/>
      <c r="AX66" s="1571"/>
      <c r="AY66" s="157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5"/>
      <c r="AN67" s="1505"/>
      <c r="AO67" s="1505"/>
      <c r="AP67" s="1505"/>
      <c r="AQ67" s="1505"/>
      <c r="AR67" s="1505"/>
      <c r="AS67" s="1505"/>
      <c r="AT67" s="1505"/>
      <c r="AU67" s="1505"/>
      <c r="AV67" s="1505"/>
      <c r="AW67" s="1505"/>
      <c r="AX67" s="1505"/>
      <c r="AY67" s="1505"/>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5"/>
      <c r="AN68" s="1505"/>
      <c r="AO68" s="1505"/>
      <c r="AP68" s="1505"/>
      <c r="AQ68" s="1505"/>
      <c r="AR68" s="1505"/>
      <c r="AS68" s="1505"/>
      <c r="AT68" s="1505"/>
      <c r="AU68" s="1505"/>
      <c r="AV68" s="1505"/>
      <c r="AW68" s="1505"/>
      <c r="AX68" s="1505"/>
      <c r="AY68" s="1505"/>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5"/>
      <c r="AN69" s="1505"/>
      <c r="AO69" s="1505"/>
      <c r="AP69" s="1505"/>
      <c r="AQ69" s="1505"/>
      <c r="AR69" s="1505"/>
      <c r="AS69" s="1505"/>
      <c r="AT69" s="1505"/>
      <c r="AU69" s="1505"/>
      <c r="AV69" s="1505"/>
      <c r="AW69" s="1505"/>
      <c r="AX69" s="1505"/>
      <c r="AY69" s="1505"/>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8"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8"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2"/>
      <c r="AN89" s="1572"/>
      <c r="AO89" s="1572"/>
      <c r="AP89" s="1572"/>
      <c r="AQ89" s="1572"/>
      <c r="AR89" s="1572"/>
      <c r="AS89" s="1572"/>
      <c r="AT89" s="1572"/>
      <c r="AU89" s="1572"/>
      <c r="AV89" s="1572"/>
      <c r="AW89" s="1572"/>
      <c r="AX89" s="1572"/>
      <c r="AY89" s="1572"/>
      <c r="AZ89" s="279"/>
      <c r="CR89" s="676"/>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2"/>
      <c r="AN90" s="1572"/>
      <c r="AO90" s="1572"/>
      <c r="AP90" s="1572"/>
      <c r="AQ90" s="1572"/>
      <c r="AR90" s="1572"/>
      <c r="AS90" s="1572"/>
      <c r="AT90" s="1572"/>
      <c r="AU90" s="1572"/>
      <c r="AV90" s="1572"/>
      <c r="AW90" s="1572"/>
      <c r="AX90" s="1572"/>
      <c r="AY90" s="1572"/>
      <c r="AZ90" s="279"/>
      <c r="CR90" s="676"/>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2"/>
      <c r="AN91" s="1572"/>
      <c r="AO91" s="1572"/>
      <c r="AP91" s="1572"/>
      <c r="AQ91" s="1572"/>
      <c r="AR91" s="1572"/>
      <c r="AS91" s="1572"/>
      <c r="AT91" s="1572"/>
      <c r="AU91" s="1572"/>
      <c r="AV91" s="1572"/>
      <c r="AW91" s="1572"/>
      <c r="AX91" s="1572"/>
      <c r="AY91" s="1572"/>
      <c r="AZ91" s="279"/>
      <c r="CR91" s="676"/>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6"/>
    </row>
    <row r="93" spans="1:96" s="39" customFormat="1" ht="13.2">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6"/>
    </row>
    <row r="94" spans="1:96" s="39" customFormat="1" ht="13.2">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6"/>
    </row>
    <row r="95" spans="1:96" s="39" customFormat="1" ht="13.2">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6"/>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6"/>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6"/>
    </row>
    <row r="98" spans="1:96" s="39" customFormat="1" ht="13.2">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6"/>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6"/>
    </row>
    <row r="100" spans="1:96" s="39" customFormat="1" ht="13.2">
      <c r="A100" s="875"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6"/>
    </row>
    <row r="101" spans="1:96" s="39" customFormat="1" ht="13.2">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6"/>
    </row>
    <row r="102" spans="1:96" s="39" customFormat="1" ht="13.2">
      <c r="A102" s="676"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6"/>
    </row>
    <row r="103" spans="1:96" ht="13.2">
      <c r="A103" s="876"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76"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76"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76"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76"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77"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47"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6"/>
    </row>
    <row r="112" spans="1:96" ht="13.2">
      <c r="A112" s="446"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46"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225" t="s">
        <v>2671</v>
      </c>
      <c r="H122" s="2225"/>
      <c r="I122" s="239" t="s">
        <v>187</v>
      </c>
      <c r="L122" s="2225" t="s">
        <v>2672</v>
      </c>
      <c r="M122" s="2225"/>
      <c r="N122" s="2225"/>
      <c r="O122" s="906"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6"/>
    </row>
    <row r="124" spans="1:96" ht="13.2">
      <c r="A124" s="58"/>
      <c r="B124" s="58"/>
      <c r="C124" s="2199" t="s">
        <v>71</v>
      </c>
      <c r="D124" s="2199"/>
      <c r="E124" s="2199"/>
      <c r="F124" s="2199"/>
      <c r="G124" s="2199"/>
      <c r="H124" s="2199"/>
      <c r="I124" s="2199"/>
      <c r="J124" s="2199"/>
      <c r="K124" s="2199"/>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225"/>
      <c r="Z126" s="2225"/>
      <c r="AA126" s="2225"/>
      <c r="AB126" s="2225"/>
      <c r="AC126" s="2225"/>
      <c r="AD126" s="2225"/>
      <c r="AE126" s="2225"/>
      <c r="AF126" s="2225"/>
      <c r="AG126" s="2225"/>
      <c r="AH126" s="2225"/>
      <c r="AI126" s="2225"/>
      <c r="AJ126" s="2225"/>
      <c r="AK126" s="2225"/>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2"/>
      <c r="B128" s="25"/>
      <c r="R128" s="25"/>
      <c r="S128" s="25"/>
      <c r="T128" s="25"/>
      <c r="U128" s="25"/>
      <c r="V128" s="25"/>
      <c r="W128" s="25"/>
      <c r="X128" s="58"/>
      <c r="AL128" s="692"/>
      <c r="AM128" s="1573"/>
      <c r="AN128" s="1573"/>
      <c r="AO128" s="1573"/>
      <c r="AP128" s="1573"/>
      <c r="AQ128" s="1573"/>
      <c r="AR128" s="1573"/>
      <c r="AS128" s="1573"/>
      <c r="AT128" s="1573"/>
      <c r="AU128" s="1573"/>
      <c r="AV128" s="1573"/>
      <c r="AW128" s="1573"/>
      <c r="AX128" s="1573"/>
      <c r="AY128" s="1573"/>
    </row>
    <row r="129" spans="1:96" ht="13.2">
      <c r="A129" s="692"/>
      <c r="B129" s="150"/>
      <c r="R129" s="265"/>
      <c r="S129" s="265"/>
      <c r="T129" s="265"/>
      <c r="U129" s="265"/>
      <c r="V129" s="265"/>
      <c r="W129" s="265"/>
      <c r="X129" s="58"/>
      <c r="Y129" s="2231" t="s">
        <v>2638</v>
      </c>
      <c r="Z129" s="2231"/>
      <c r="AA129" s="2231"/>
      <c r="AB129" s="2231"/>
      <c r="AC129" s="2231"/>
      <c r="AD129" s="2231"/>
      <c r="AE129" s="2231"/>
      <c r="AF129" s="2231"/>
      <c r="AG129" s="2231"/>
      <c r="AH129" s="2231"/>
      <c r="AI129" s="2231"/>
      <c r="AJ129" s="2231"/>
      <c r="AK129" s="2231"/>
      <c r="AL129" s="692"/>
      <c r="AM129" s="1573"/>
      <c r="AN129" s="1573"/>
      <c r="AO129" s="1573"/>
      <c r="AP129" s="1573"/>
      <c r="AQ129" s="1573"/>
      <c r="AR129" s="1573"/>
      <c r="AS129" s="1573"/>
      <c r="AT129" s="1573"/>
      <c r="AU129" s="1573"/>
      <c r="AV129" s="1573"/>
      <c r="AW129" s="1573"/>
      <c r="AX129" s="1573"/>
      <c r="AY129" s="1573"/>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2"/>
      <c r="G132" s="892"/>
      <c r="H132" s="892"/>
      <c r="I132" s="892"/>
      <c r="J132" s="892"/>
      <c r="K132" s="892"/>
      <c r="L132" s="892"/>
      <c r="M132" s="892"/>
      <c r="N132" s="177"/>
      <c r="O132" s="25"/>
      <c r="P132" s="177"/>
      <c r="Q132" s="177"/>
      <c r="R132" s="25"/>
      <c r="S132" s="25"/>
      <c r="T132" s="25"/>
      <c r="U132" s="177"/>
      <c r="V132" s="177"/>
      <c r="W132" s="177"/>
      <c r="X132" s="177"/>
      <c r="Y132" s="2231" t="s">
        <v>2673</v>
      </c>
      <c r="Z132" s="2231"/>
      <c r="AA132" s="2231"/>
      <c r="AB132" s="2231"/>
      <c r="AC132" s="2231"/>
      <c r="AD132" s="2231"/>
      <c r="AE132" s="2231"/>
      <c r="AF132" s="2231"/>
      <c r="AG132" s="2231"/>
      <c r="AH132" s="2231"/>
      <c r="AI132" s="2231"/>
      <c r="AJ132" s="2231"/>
      <c r="AK132" s="223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4"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4"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4"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4"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4"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4"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2"/>
      <c r="U139" s="882"/>
      <c r="V139" s="882"/>
      <c r="W139" s="882"/>
      <c r="X139" s="882"/>
      <c r="Y139" s="882"/>
      <c r="Z139" s="882"/>
      <c r="AA139" s="882"/>
      <c r="AB139" s="882"/>
      <c r="AC139" s="882"/>
      <c r="AD139" s="882"/>
      <c r="AE139" s="882"/>
      <c r="AF139" s="882"/>
      <c r="AG139" s="882"/>
      <c r="AH139" s="882"/>
      <c r="AI139" s="882"/>
      <c r="AJ139" s="882"/>
      <c r="AK139" s="177"/>
      <c r="AL139" s="177"/>
      <c r="AM139" s="240"/>
      <c r="AN139" s="240"/>
      <c r="AO139" s="240"/>
      <c r="AP139" s="240"/>
      <c r="AQ139" s="240"/>
      <c r="AR139" s="240"/>
      <c r="AS139" s="240"/>
      <c r="AT139" s="240"/>
      <c r="AU139" s="240"/>
      <c r="AV139" s="240"/>
      <c r="AW139" s="240"/>
      <c r="AX139" s="240"/>
      <c r="AY139" s="240"/>
      <c r="CR139" s="25"/>
    </row>
    <row r="140" spans="1:96" s="714" customFormat="1" ht="12.75" customHeight="1">
      <c r="A140" s="177"/>
      <c r="B140" s="883"/>
      <c r="C140" s="882"/>
      <c r="D140" s="882"/>
      <c r="E140" s="882"/>
      <c r="F140" s="882"/>
      <c r="G140" s="882"/>
      <c r="H140" s="882"/>
      <c r="I140" s="882"/>
      <c r="J140" s="882"/>
      <c r="K140" s="882"/>
      <c r="L140" s="882"/>
      <c r="M140" s="882"/>
      <c r="N140" s="882"/>
      <c r="O140" s="882"/>
      <c r="P140" s="882"/>
      <c r="Q140" s="882"/>
      <c r="R140" s="882"/>
      <c r="S140" s="882"/>
      <c r="T140" s="882"/>
      <c r="U140" s="882"/>
      <c r="V140" s="882"/>
      <c r="W140" s="882"/>
      <c r="X140" s="882"/>
      <c r="Y140" s="882"/>
      <c r="Z140" s="882"/>
      <c r="AA140" s="882"/>
      <c r="AB140" s="882"/>
      <c r="AC140" s="882"/>
      <c r="AD140" s="882"/>
      <c r="AE140" s="882"/>
      <c r="AF140" s="882"/>
      <c r="AG140" s="882"/>
      <c r="AH140" s="882"/>
      <c r="AI140" s="882"/>
      <c r="AJ140" s="882"/>
      <c r="AK140" s="177"/>
      <c r="AL140" s="177"/>
      <c r="AM140" s="240"/>
      <c r="AN140" s="240"/>
      <c r="AO140" s="240"/>
      <c r="AP140" s="240"/>
      <c r="AQ140" s="240"/>
      <c r="AR140" s="240"/>
      <c r="AS140" s="240"/>
      <c r="AT140" s="240"/>
      <c r="AU140" s="240"/>
      <c r="AV140" s="240"/>
      <c r="AW140" s="240"/>
      <c r="AX140" s="240"/>
      <c r="AY140" s="240"/>
      <c r="CR140" s="25"/>
    </row>
    <row r="141" spans="1:96" s="714" customFormat="1" ht="12.75" customHeight="1">
      <c r="A141" s="177"/>
      <c r="B141" s="883"/>
      <c r="C141" s="882"/>
      <c r="D141" s="882"/>
      <c r="E141" s="882"/>
      <c r="F141" s="882"/>
      <c r="G141" s="882"/>
      <c r="H141" s="882"/>
      <c r="I141" s="882"/>
      <c r="J141" s="882"/>
      <c r="K141" s="882"/>
      <c r="L141" s="882"/>
      <c r="M141" s="882"/>
      <c r="N141" s="882"/>
      <c r="O141" s="882"/>
      <c r="P141" s="882"/>
      <c r="Q141" s="882"/>
      <c r="R141" s="882"/>
      <c r="S141" s="882"/>
      <c r="T141" s="882"/>
      <c r="U141" s="882"/>
      <c r="V141" s="882"/>
      <c r="W141" s="882"/>
      <c r="X141" s="882"/>
      <c r="Y141" s="882"/>
      <c r="Z141" s="882"/>
      <c r="AA141" s="882"/>
      <c r="AB141" s="882"/>
      <c r="AC141" s="882"/>
      <c r="AD141" s="882"/>
      <c r="AE141" s="882"/>
      <c r="AF141" s="882"/>
      <c r="AG141" s="882"/>
      <c r="AH141" s="882"/>
      <c r="AI141" s="882"/>
      <c r="AJ141" s="882"/>
      <c r="AK141" s="177"/>
      <c r="AL141" s="177"/>
      <c r="AM141" s="240"/>
      <c r="AN141" s="240"/>
      <c r="AO141" s="240"/>
      <c r="AP141" s="240"/>
      <c r="AQ141" s="240"/>
      <c r="AR141" s="240"/>
      <c r="AS141" s="240"/>
      <c r="AT141" s="240"/>
      <c r="AU141" s="240"/>
      <c r="AV141" s="240"/>
      <c r="AW141" s="240"/>
      <c r="AX141" s="240"/>
      <c r="AY141" s="240"/>
      <c r="CR141" s="25"/>
    </row>
    <row r="142" spans="1:96" s="714" customFormat="1" ht="12.75" customHeight="1">
      <c r="A142" s="177"/>
      <c r="B142" s="883"/>
      <c r="C142" s="884"/>
      <c r="D142" s="884"/>
      <c r="E142" s="884"/>
      <c r="F142" s="884"/>
      <c r="G142" s="884"/>
      <c r="H142" s="884"/>
      <c r="I142" s="884"/>
      <c r="J142" s="884"/>
      <c r="K142" s="884"/>
      <c r="L142" s="884"/>
      <c r="M142" s="884"/>
      <c r="N142" s="884"/>
      <c r="O142" s="884"/>
      <c r="P142" s="884"/>
      <c r="Q142" s="884"/>
      <c r="R142" s="884"/>
      <c r="S142" s="884"/>
      <c r="T142" s="884"/>
      <c r="U142" s="884"/>
      <c r="V142" s="884"/>
      <c r="W142" s="884"/>
      <c r="X142" s="884"/>
      <c r="Y142" s="884"/>
      <c r="Z142" s="884"/>
      <c r="AA142" s="884"/>
      <c r="AB142" s="884"/>
      <c r="AC142" s="884"/>
      <c r="AD142" s="884"/>
      <c r="AE142" s="884"/>
      <c r="AF142" s="884"/>
      <c r="AG142" s="884"/>
      <c r="AH142" s="884"/>
      <c r="AI142" s="884"/>
      <c r="AJ142" s="884"/>
      <c r="AK142" s="177"/>
      <c r="AL142" s="177"/>
      <c r="AM142" s="240"/>
      <c r="AN142" s="240"/>
      <c r="AO142" s="240"/>
      <c r="AP142" s="240"/>
      <c r="AQ142" s="240"/>
      <c r="AR142" s="240"/>
      <c r="AS142" s="240"/>
      <c r="AT142" s="240"/>
      <c r="AU142" s="240"/>
      <c r="AV142" s="240"/>
      <c r="AW142" s="240"/>
      <c r="AX142" s="240"/>
      <c r="AY142" s="240"/>
      <c r="CR142" s="25"/>
    </row>
    <row r="143" spans="1:96" s="714" customFormat="1" ht="12.75" customHeight="1">
      <c r="A143" s="177"/>
      <c r="B143" s="25"/>
      <c r="C143" s="25"/>
      <c r="D143" s="884"/>
      <c r="E143" s="884"/>
      <c r="F143" s="884"/>
      <c r="G143" s="884"/>
      <c r="H143" s="884"/>
      <c r="I143" s="884"/>
      <c r="J143" s="884"/>
      <c r="K143" s="884"/>
      <c r="L143" s="884"/>
      <c r="M143" s="884"/>
      <c r="N143" s="884"/>
      <c r="O143" s="884"/>
      <c r="P143" s="884"/>
      <c r="Q143" s="884"/>
      <c r="R143" s="884"/>
      <c r="S143" s="884"/>
      <c r="T143" s="884"/>
      <c r="U143" s="884"/>
      <c r="V143" s="884"/>
      <c r="W143" s="884"/>
      <c r="X143" s="884"/>
      <c r="Y143" s="884"/>
      <c r="Z143" s="884"/>
      <c r="AA143" s="884"/>
      <c r="AB143" s="884"/>
      <c r="AC143" s="884"/>
      <c r="AD143" s="884"/>
      <c r="AE143" s="884"/>
      <c r="AF143" s="884"/>
      <c r="AG143" s="884"/>
      <c r="AH143" s="884"/>
      <c r="AI143" s="884"/>
      <c r="AJ143" s="884"/>
      <c r="AK143" s="177"/>
      <c r="AL143" s="177"/>
      <c r="AM143" s="240"/>
      <c r="AN143" s="240"/>
      <c r="AO143" s="240"/>
      <c r="AP143" s="240"/>
      <c r="AQ143" s="240"/>
      <c r="AR143" s="240"/>
      <c r="AS143" s="240"/>
      <c r="AT143" s="240"/>
      <c r="AU143" s="240"/>
      <c r="AV143" s="240"/>
      <c r="AW143" s="240"/>
      <c r="AX143" s="240"/>
      <c r="AY143" s="240"/>
      <c r="CR143" s="25"/>
    </row>
    <row r="144" spans="1:96" s="714" customFormat="1" ht="12.75" customHeight="1">
      <c r="A144" s="177"/>
      <c r="B144" s="885"/>
      <c r="C144" s="884"/>
      <c r="D144" s="884"/>
      <c r="E144" s="884"/>
      <c r="F144" s="884"/>
      <c r="G144" s="884"/>
      <c r="H144" s="884"/>
      <c r="I144" s="884"/>
      <c r="J144" s="884"/>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4"/>
      <c r="AJ144" s="884"/>
      <c r="AK144" s="177"/>
      <c r="AL144" s="177"/>
      <c r="AM144" s="240"/>
      <c r="AN144" s="240"/>
      <c r="AO144" s="240"/>
      <c r="AP144" s="240"/>
      <c r="AQ144" s="240"/>
      <c r="AR144" s="240"/>
      <c r="AS144" s="240"/>
      <c r="AT144" s="240"/>
      <c r="AU144" s="240"/>
      <c r="AV144" s="240"/>
      <c r="AW144" s="240"/>
      <c r="AX144" s="240"/>
      <c r="AY144" s="240"/>
      <c r="CR144" s="25"/>
    </row>
    <row r="145" spans="1:96" s="714" customFormat="1" ht="12.75" customHeight="1">
      <c r="A145" s="177"/>
      <c r="B145" s="178"/>
      <c r="C145" s="884"/>
      <c r="D145" s="884"/>
      <c r="E145" s="884"/>
      <c r="F145" s="884"/>
      <c r="G145" s="884"/>
      <c r="H145" s="884"/>
      <c r="I145" s="884"/>
      <c r="J145" s="884"/>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4"/>
      <c r="AJ145" s="884"/>
      <c r="AK145" s="177"/>
      <c r="AL145" s="177"/>
      <c r="AM145" s="240"/>
      <c r="AN145" s="240"/>
      <c r="AO145" s="240"/>
      <c r="AP145" s="240"/>
      <c r="AQ145" s="240"/>
      <c r="AR145" s="240"/>
      <c r="AS145" s="240"/>
      <c r="AT145" s="240"/>
      <c r="AU145" s="240"/>
      <c r="AV145" s="240"/>
      <c r="AW145" s="240"/>
      <c r="AX145" s="240"/>
      <c r="AY145" s="240"/>
      <c r="CR145" s="25"/>
    </row>
    <row r="146" spans="1:96" s="714" customFormat="1" ht="12.75" customHeight="1">
      <c r="A146" s="177"/>
      <c r="B146" s="25"/>
      <c r="C146" s="25"/>
      <c r="D146" s="884"/>
      <c r="E146" s="884"/>
      <c r="F146" s="884"/>
      <c r="G146" s="884"/>
      <c r="H146" s="884"/>
      <c r="I146" s="884"/>
      <c r="J146" s="884"/>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4"/>
      <c r="AJ146" s="884"/>
      <c r="AK146" s="177"/>
      <c r="AL146" s="177"/>
      <c r="AM146" s="240"/>
      <c r="AN146" s="240"/>
      <c r="AO146" s="240"/>
      <c r="AP146" s="240"/>
      <c r="AQ146" s="240"/>
      <c r="AR146" s="240"/>
      <c r="AS146" s="240"/>
      <c r="AT146" s="240"/>
      <c r="AU146" s="240"/>
      <c r="AV146" s="240"/>
      <c r="AW146" s="240"/>
      <c r="AX146" s="240"/>
      <c r="AY146" s="240"/>
      <c r="CR146" s="25"/>
    </row>
    <row r="147" spans="1:96" s="714" customFormat="1" ht="12.75" customHeight="1">
      <c r="A147" s="177"/>
      <c r="B147" s="885"/>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4"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4"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4" customFormat="1" ht="12.75" customHeight="1">
      <c r="A150" s="177"/>
      <c r="B150" s="177"/>
      <c r="C150" s="25"/>
      <c r="D150" s="177"/>
      <c r="E150" s="177"/>
      <c r="F150" s="2123"/>
      <c r="G150" s="2123"/>
      <c r="H150" s="2123"/>
      <c r="I150" s="2123"/>
      <c r="J150" s="2123"/>
      <c r="K150" s="2123"/>
      <c r="L150" s="2123"/>
      <c r="M150" s="2123"/>
      <c r="N150" s="2123"/>
      <c r="O150" s="2123"/>
      <c r="P150" s="2123"/>
      <c r="Q150" s="2123"/>
      <c r="R150" s="2123"/>
      <c r="S150" s="2123"/>
      <c r="T150" s="212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2198" t="s">
        <v>2519</v>
      </c>
      <c r="P153" s="2197"/>
      <c r="Q153" s="2197"/>
      <c r="R153" s="2197"/>
      <c r="S153" s="2197"/>
      <c r="T153" s="2197"/>
      <c r="U153" s="2197"/>
      <c r="V153" s="2197"/>
      <c r="W153" s="2197"/>
      <c r="X153" s="2197"/>
      <c r="Y153" s="2197"/>
      <c r="Z153" s="2197"/>
      <c r="AA153" s="2197"/>
      <c r="AB153" s="2197"/>
      <c r="AC153" s="2197"/>
      <c r="AD153" s="2197"/>
      <c r="AE153" s="2197"/>
      <c r="AF153" s="2197"/>
      <c r="AG153" s="2197"/>
      <c r="AH153" s="2197"/>
    </row>
    <row r="154" spans="1:96" ht="12.75" customHeight="1">
      <c r="D154" s="461" t="s">
        <v>462</v>
      </c>
      <c r="F154" s="32"/>
      <c r="G154" s="32"/>
      <c r="H154" s="32"/>
      <c r="I154" s="32"/>
      <c r="J154" s="32"/>
      <c r="K154" s="32"/>
      <c r="L154" s="32"/>
      <c r="M154" s="32"/>
      <c r="N154" s="32"/>
      <c r="O154" s="2160" t="s">
        <v>2520</v>
      </c>
      <c r="P154" s="2026"/>
      <c r="Q154" s="2026"/>
      <c r="R154" s="2026"/>
      <c r="S154" s="2026"/>
      <c r="T154" s="2026"/>
      <c r="U154" s="2026"/>
      <c r="V154" s="2026"/>
      <c r="W154" s="2026"/>
      <c r="X154" s="2026"/>
      <c r="Y154" s="2026"/>
      <c r="Z154" s="2026"/>
      <c r="AA154" s="2026"/>
      <c r="AB154" s="2026"/>
      <c r="AC154" s="2026"/>
      <c r="AD154" s="2026"/>
      <c r="AE154" s="2026"/>
      <c r="AF154" s="2026"/>
      <c r="AG154" s="2026"/>
      <c r="AH154" s="2026"/>
      <c r="AZ154" s="25"/>
    </row>
    <row r="155" spans="1:96" ht="13.2">
      <c r="D155" s="13" t="s">
        <v>464</v>
      </c>
      <c r="F155" s="13"/>
      <c r="G155" s="13"/>
      <c r="H155" s="13"/>
      <c r="I155" s="13"/>
      <c r="J155" s="13"/>
      <c r="K155" s="13"/>
      <c r="L155" s="13"/>
      <c r="M155" s="13"/>
      <c r="N155" s="13"/>
      <c r="O155" s="2235" t="s">
        <v>463</v>
      </c>
      <c r="P155" s="2235"/>
      <c r="Q155" s="2235"/>
      <c r="R155" s="2235"/>
      <c r="S155" s="2235"/>
      <c r="T155" s="2235"/>
      <c r="U155" s="2235"/>
      <c r="V155" s="2235"/>
      <c r="W155" s="2235"/>
      <c r="X155" s="2235"/>
      <c r="Y155" s="2235"/>
      <c r="Z155" s="2235"/>
      <c r="AA155" s="2235"/>
      <c r="AB155" s="2235"/>
      <c r="AC155" s="2235"/>
      <c r="AD155" s="2235"/>
      <c r="AE155" s="2235"/>
      <c r="AF155" s="2235"/>
      <c r="AG155" s="2235"/>
      <c r="AH155" s="2235"/>
      <c r="AZ155" s="25"/>
    </row>
    <row r="156" spans="1:96" ht="13.2">
      <c r="D156" s="32" t="s">
        <v>322</v>
      </c>
      <c r="F156" s="32"/>
      <c r="G156" s="32"/>
      <c r="H156" s="32"/>
      <c r="I156" s="32"/>
      <c r="J156" s="32"/>
      <c r="K156" s="32"/>
      <c r="L156" s="32"/>
      <c r="M156" s="32"/>
      <c r="N156" s="32"/>
      <c r="O156" s="2036" t="s">
        <v>2668</v>
      </c>
      <c r="P156" s="2036"/>
      <c r="Q156" s="2036"/>
      <c r="R156" s="2036"/>
      <c r="S156" s="2036"/>
      <c r="T156" s="2036"/>
      <c r="U156" s="2036"/>
      <c r="V156" s="2036"/>
      <c r="W156" s="2036"/>
      <c r="X156" s="2036"/>
      <c r="Y156" s="2036"/>
      <c r="Z156" s="2036"/>
      <c r="AA156" s="2036"/>
      <c r="AB156" s="2036"/>
      <c r="AC156" s="2036"/>
      <c r="AD156" s="2036"/>
      <c r="AE156" s="2036"/>
      <c r="AF156" s="2036"/>
      <c r="AG156" s="2036"/>
      <c r="AH156" s="2036"/>
      <c r="BT156" s="12" t="s">
        <v>316</v>
      </c>
    </row>
    <row r="157" spans="1:96" ht="13.2">
      <c r="D157" s="32" t="s">
        <v>323</v>
      </c>
      <c r="F157" s="32"/>
      <c r="G157" s="32"/>
      <c r="H157" s="32"/>
      <c r="I157" s="32"/>
      <c r="J157" s="32"/>
      <c r="K157" s="32"/>
      <c r="L157" s="32"/>
      <c r="M157" s="32"/>
      <c r="N157" s="32"/>
      <c r="O157" s="2198" t="s">
        <v>2519</v>
      </c>
      <c r="P157" s="2197"/>
      <c r="Q157" s="2197"/>
      <c r="R157" s="2197"/>
      <c r="S157" s="2197"/>
      <c r="T157" s="2197"/>
      <c r="U157" s="2197"/>
      <c r="V157" s="2197"/>
      <c r="W157" s="2197"/>
      <c r="X157" s="2197"/>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236">
        <v>95814</v>
      </c>
      <c r="P158" s="2236"/>
      <c r="Q158" s="2236"/>
      <c r="R158" s="2236"/>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200" t="s">
        <v>2521</v>
      </c>
      <c r="P159" s="2200"/>
      <c r="Q159" s="2200"/>
      <c r="R159" s="2200"/>
      <c r="S159" s="2200"/>
      <c r="T159" s="2200"/>
      <c r="V159" s="146" t="s">
        <v>277</v>
      </c>
      <c r="W159" s="2237"/>
      <c r="X159" s="2237"/>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200"/>
      <c r="P160" s="2200"/>
      <c r="Q160" s="2200"/>
      <c r="R160" s="2200"/>
      <c r="S160" s="2200"/>
      <c r="T160" s="2200"/>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201" t="s">
        <v>2522</v>
      </c>
      <c r="P161" s="2201"/>
      <c r="Q161" s="2201"/>
      <c r="R161" s="2201"/>
      <c r="S161" s="2201"/>
      <c r="T161" s="2201"/>
      <c r="U161" s="2201"/>
      <c r="V161" s="2201"/>
      <c r="W161" s="2201"/>
      <c r="X161" s="2201"/>
      <c r="Y161" s="2201"/>
      <c r="Z161" s="2201"/>
      <c r="AA161" s="2201"/>
      <c r="AB161" s="2201"/>
      <c r="AC161" s="2201"/>
      <c r="AD161" s="2201"/>
      <c r="AE161" s="2201"/>
      <c r="AF161" s="2201"/>
      <c r="AG161" s="2201"/>
      <c r="AH161" s="2201"/>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202" t="s">
        <v>1454</v>
      </c>
      <c r="E164" s="2202"/>
      <c r="F164" s="2202"/>
      <c r="G164" s="2202"/>
      <c r="H164" s="2202"/>
      <c r="I164" s="2202"/>
      <c r="J164" s="2202"/>
      <c r="K164" s="2202"/>
      <c r="L164" s="2202"/>
      <c r="M164" s="2202"/>
      <c r="N164" s="2202"/>
      <c r="O164" s="2202"/>
      <c r="P164" s="2202"/>
      <c r="Q164" s="2202"/>
      <c r="R164" s="2202"/>
      <c r="S164" s="2202"/>
      <c r="T164" s="2202"/>
      <c r="U164" s="2202"/>
      <c r="V164" s="2202"/>
      <c r="W164" s="2202"/>
      <c r="X164" s="2202"/>
      <c r="Y164" s="2202"/>
      <c r="Z164" s="2202"/>
      <c r="AA164" s="2202"/>
      <c r="AB164" s="2202"/>
      <c r="AC164" s="2202"/>
      <c r="AD164" s="2202"/>
      <c r="AE164" s="2202"/>
      <c r="AF164" s="2202"/>
      <c r="AG164" s="2202"/>
      <c r="AH164" s="2202"/>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080" t="s">
        <v>572</v>
      </c>
      <c r="B169" s="2080"/>
      <c r="C169" s="2080"/>
      <c r="D169" s="2080"/>
      <c r="E169" s="2080"/>
      <c r="F169" s="2080"/>
      <c r="G169" s="2080"/>
      <c r="H169" s="2080"/>
      <c r="I169" s="2080"/>
      <c r="J169" s="2080"/>
      <c r="K169" s="2080"/>
      <c r="L169" s="2080"/>
      <c r="M169" s="2080"/>
      <c r="N169" s="2080"/>
      <c r="O169" s="2080"/>
      <c r="P169" s="2080"/>
      <c r="Q169" s="2080"/>
      <c r="R169" s="2080"/>
      <c r="S169" s="2080"/>
      <c r="T169" s="2080"/>
      <c r="U169" s="2080"/>
      <c r="V169" s="2080"/>
      <c r="W169" s="2080"/>
      <c r="X169" s="2080"/>
      <c r="Y169" s="2080"/>
      <c r="Z169" s="2080"/>
      <c r="AA169" s="2080"/>
      <c r="AB169" s="2080"/>
      <c r="AC169" s="2080"/>
      <c r="AD169" s="2080"/>
      <c r="AE169" s="2080"/>
      <c r="AF169" s="2080"/>
      <c r="AG169" s="2080"/>
      <c r="AH169" s="2080"/>
      <c r="AI169" s="2080"/>
      <c r="AJ169" s="2080"/>
      <c r="AK169" s="2080"/>
      <c r="AL169" s="2080"/>
      <c r="AM169" s="144"/>
      <c r="AN169" s="144"/>
      <c r="AO169" s="144"/>
      <c r="AP169" s="144"/>
      <c r="AQ169" s="144"/>
      <c r="AR169" s="144"/>
      <c r="AS169" s="144"/>
      <c r="AT169" s="144"/>
      <c r="AU169" s="144"/>
      <c r="AV169" s="144"/>
      <c r="AW169" s="144"/>
      <c r="AX169" s="144"/>
      <c r="AY169" s="144"/>
      <c r="BN169" s="36" t="s">
        <v>710</v>
      </c>
      <c r="BT169" s="12" t="s">
        <v>521</v>
      </c>
    </row>
    <row r="170" spans="1:72" ht="13.8" thickBot="1">
      <c r="A170" s="2081"/>
      <c r="B170" s="2081"/>
      <c r="C170" s="2081"/>
      <c r="D170" s="2081"/>
      <c r="E170" s="2081"/>
      <c r="F170" s="2081"/>
      <c r="G170" s="2081"/>
      <c r="H170" s="2081"/>
      <c r="I170" s="2081"/>
      <c r="J170" s="2081"/>
      <c r="K170" s="2081"/>
      <c r="L170" s="2081"/>
      <c r="M170" s="2081"/>
      <c r="N170" s="2081"/>
      <c r="O170" s="2081"/>
      <c r="P170" s="2081"/>
      <c r="Q170" s="2081"/>
      <c r="R170" s="2081"/>
      <c r="S170" s="2081"/>
      <c r="T170" s="2081"/>
      <c r="U170" s="2081"/>
      <c r="V170" s="2081"/>
      <c r="W170" s="2081"/>
      <c r="X170" s="2081"/>
      <c r="Y170" s="2081"/>
      <c r="Z170" s="2081"/>
      <c r="AA170" s="2081"/>
      <c r="AB170" s="2081"/>
      <c r="AC170" s="2081"/>
      <c r="AD170" s="2081"/>
      <c r="AE170" s="2081"/>
      <c r="AF170" s="2081"/>
      <c r="AG170" s="2081"/>
      <c r="AH170" s="2081"/>
      <c r="AI170" s="2081"/>
      <c r="AJ170" s="2081"/>
      <c r="AK170" s="2081"/>
      <c r="AL170" s="2081"/>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6"/>
      <c r="AN171" s="676"/>
      <c r="AO171" s="676"/>
      <c r="AP171" s="676"/>
      <c r="AQ171" s="676"/>
      <c r="AR171" s="676"/>
      <c r="AS171" s="676"/>
      <c r="AT171" s="676"/>
      <c r="AU171" s="676"/>
      <c r="AV171" s="676"/>
      <c r="AW171" s="676"/>
      <c r="AX171" s="676"/>
      <c r="AY171" s="676"/>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6"/>
      <c r="AN172" s="676"/>
      <c r="AO172" s="676"/>
      <c r="AP172" s="676"/>
      <c r="AQ172" s="676"/>
      <c r="AR172" s="676"/>
      <c r="AS172" s="676"/>
      <c r="AT172" s="676"/>
      <c r="AU172" s="676"/>
      <c r="AV172" s="676"/>
      <c r="AW172" s="676"/>
      <c r="AX172" s="676"/>
      <c r="AY172" s="676"/>
      <c r="BN172" s="36" t="s">
        <v>219</v>
      </c>
      <c r="BT172" s="12" t="s">
        <v>524</v>
      </c>
    </row>
    <row r="173" spans="1:72" ht="13.2">
      <c r="A173" s="25"/>
      <c r="C173" s="38"/>
      <c r="D173" s="39" t="s">
        <v>330</v>
      </c>
      <c r="J173" s="2234" t="s">
        <v>389</v>
      </c>
      <c r="K173" s="2234"/>
      <c r="L173" s="2234"/>
      <c r="M173" s="2234"/>
      <c r="N173" s="2234"/>
      <c r="O173" s="2234"/>
      <c r="P173" s="2234"/>
      <c r="Q173" s="2234"/>
      <c r="R173" s="2234"/>
      <c r="S173" s="2234"/>
      <c r="U173" s="40"/>
      <c r="X173" s="40"/>
      <c r="AF173" s="25"/>
      <c r="AH173" s="25"/>
      <c r="AJ173" s="3"/>
      <c r="AK173" s="3"/>
      <c r="AL173" s="3"/>
      <c r="AM173" s="676"/>
      <c r="AN173" s="676"/>
      <c r="AO173" s="676"/>
      <c r="AP173" s="676"/>
      <c r="AQ173" s="676"/>
      <c r="AR173" s="676"/>
      <c r="AS173" s="676"/>
      <c r="AT173" s="676"/>
      <c r="AU173" s="676"/>
      <c r="AV173" s="676"/>
      <c r="AW173" s="676"/>
      <c r="AX173" s="676"/>
      <c r="AY173" s="676"/>
      <c r="BN173" s="36" t="s">
        <v>220</v>
      </c>
      <c r="BT173" s="12" t="s">
        <v>525</v>
      </c>
    </row>
    <row r="174" spans="1:72" ht="13.2">
      <c r="A174" s="25"/>
      <c r="C174" s="38"/>
      <c r="D174" s="58" t="s">
        <v>1407</v>
      </c>
      <c r="E174" s="25"/>
      <c r="F174" s="25"/>
      <c r="G174" s="25"/>
      <c r="H174" s="25"/>
      <c r="I174" s="25"/>
      <c r="J174" s="2036" t="s">
        <v>2523</v>
      </c>
      <c r="K174" s="2036"/>
      <c r="L174" s="2036"/>
      <c r="M174" s="2036"/>
      <c r="N174" s="2036"/>
      <c r="O174" s="2036"/>
      <c r="P174" s="2036"/>
      <c r="Q174" s="2036"/>
      <c r="R174" s="2036"/>
      <c r="S174" s="2036"/>
      <c r="T174" s="2036"/>
      <c r="U174" s="2036"/>
      <c r="V174" s="2036"/>
      <c r="W174" s="2036"/>
      <c r="X174" s="2036"/>
      <c r="Y174" s="2036"/>
      <c r="Z174" s="2036"/>
      <c r="AA174" s="3"/>
      <c r="AH174" s="25"/>
      <c r="AJ174" s="3"/>
      <c r="AK174" s="3"/>
      <c r="AL174" s="3"/>
      <c r="AM174" s="676"/>
      <c r="AN174" s="676"/>
      <c r="AO174" s="676"/>
      <c r="AP174" s="676"/>
      <c r="AQ174" s="676"/>
      <c r="AR174" s="676"/>
      <c r="AS174" s="676"/>
      <c r="AT174" s="676"/>
      <c r="AU174" s="676"/>
      <c r="AV174" s="676"/>
      <c r="AW174" s="676"/>
      <c r="AX174" s="676"/>
      <c r="AY174" s="676"/>
      <c r="BN174" s="36" t="s">
        <v>222</v>
      </c>
      <c r="BT174" s="12" t="s">
        <v>526</v>
      </c>
    </row>
    <row r="175" spans="1:72" ht="13.2">
      <c r="A175" s="25"/>
      <c r="C175" s="13"/>
      <c r="D175" s="58" t="s">
        <v>331</v>
      </c>
      <c r="F175" s="714"/>
      <c r="G175" s="714"/>
      <c r="H175" s="714"/>
      <c r="I175" s="714"/>
      <c r="J175" s="714"/>
      <c r="K175" s="714"/>
      <c r="L175" s="714"/>
      <c r="M175" s="714"/>
      <c r="N175" s="714"/>
      <c r="O175" s="42"/>
      <c r="Q175" s="25"/>
      <c r="R175" s="25"/>
      <c r="T175" s="714"/>
      <c r="U175" s="2035" t="s">
        <v>578</v>
      </c>
      <c r="V175" s="2035"/>
      <c r="Z175" s="25"/>
      <c r="AC175" s="25"/>
      <c r="AD175" s="25"/>
      <c r="AE175" s="25"/>
      <c r="AF175" s="25"/>
      <c r="AH175" s="25"/>
      <c r="AJ175" s="3"/>
      <c r="AK175" s="3"/>
      <c r="AL175" s="3"/>
      <c r="AM175" s="676"/>
      <c r="AN175" s="676"/>
      <c r="AO175" s="676"/>
      <c r="AP175" s="676"/>
      <c r="AQ175" s="676"/>
      <c r="AR175" s="676"/>
      <c r="AS175" s="676"/>
      <c r="AT175" s="676"/>
      <c r="AU175" s="676"/>
      <c r="AV175" s="676"/>
      <c r="AW175" s="676"/>
      <c r="AX175" s="676"/>
      <c r="AY175" s="676"/>
      <c r="BN175" s="36" t="s">
        <v>223</v>
      </c>
      <c r="BT175" s="12" t="s">
        <v>527</v>
      </c>
    </row>
    <row r="176" spans="1:72" ht="13.2">
      <c r="A176" s="25"/>
      <c r="C176" s="13"/>
      <c r="D176" s="41"/>
      <c r="E176" s="714" t="s">
        <v>312</v>
      </c>
      <c r="F176" s="714"/>
      <c r="G176" s="714"/>
      <c r="H176" s="714"/>
      <c r="I176" s="714"/>
      <c r="J176" s="714"/>
      <c r="K176" s="714"/>
      <c r="L176" s="714"/>
      <c r="M176" s="714"/>
      <c r="N176" s="714"/>
      <c r="O176" s="42"/>
      <c r="P176" s="25" t="s">
        <v>313</v>
      </c>
      <c r="Q176" s="25"/>
      <c r="R176" s="25"/>
      <c r="S176" s="25" t="s">
        <v>314</v>
      </c>
      <c r="T176" s="714"/>
      <c r="U176" s="2224" t="s">
        <v>2674</v>
      </c>
      <c r="V176" s="2154"/>
      <c r="W176" s="4" t="s">
        <v>315</v>
      </c>
      <c r="X176" s="2217">
        <v>3092</v>
      </c>
      <c r="Y176" s="2217"/>
      <c r="AC176" s="25"/>
      <c r="AD176" s="25"/>
      <c r="AE176" s="25"/>
      <c r="AF176" s="25"/>
      <c r="AH176" s="25"/>
      <c r="AJ176" s="3"/>
      <c r="AK176" s="3"/>
      <c r="AL176" s="3"/>
      <c r="AM176" s="676"/>
      <c r="AN176" s="676"/>
      <c r="AO176" s="676"/>
      <c r="AP176" s="676"/>
      <c r="AQ176" s="676"/>
      <c r="AR176" s="676"/>
      <c r="AS176" s="676"/>
      <c r="AT176" s="676"/>
      <c r="AU176" s="676"/>
      <c r="AV176" s="676"/>
      <c r="AW176" s="676"/>
      <c r="AX176" s="676"/>
      <c r="AY176" s="676"/>
      <c r="BN176" s="36" t="s">
        <v>225</v>
      </c>
      <c r="BT176" s="12" t="s">
        <v>528</v>
      </c>
    </row>
    <row r="177" spans="1:96" s="714" customFormat="1" ht="13.2">
      <c r="A177" s="25"/>
      <c r="B177" s="12"/>
      <c r="C177" s="43"/>
      <c r="D177" s="25" t="s">
        <v>255</v>
      </c>
      <c r="E177" s="12"/>
      <c r="F177" s="12"/>
      <c r="G177" s="12"/>
      <c r="H177" s="12"/>
      <c r="I177" s="12"/>
      <c r="J177" s="12"/>
      <c r="K177" s="12"/>
      <c r="L177" s="12"/>
      <c r="M177" s="25"/>
      <c r="N177" s="12"/>
      <c r="O177" s="12"/>
      <c r="P177" s="12"/>
      <c r="Q177" s="12"/>
      <c r="R177" s="2035" t="s">
        <v>706</v>
      </c>
      <c r="S177" s="2035"/>
      <c r="T177" s="3"/>
      <c r="V177" s="12"/>
      <c r="W177" s="3"/>
      <c r="X177" s="3"/>
      <c r="Y177" s="3"/>
      <c r="AD177" s="25"/>
      <c r="AF177" s="25"/>
      <c r="AH177" s="25"/>
      <c r="AJ177" s="676"/>
      <c r="AK177" s="676"/>
      <c r="AL177" s="676"/>
      <c r="AM177" s="676"/>
      <c r="AN177" s="676"/>
      <c r="AO177" s="676"/>
      <c r="AP177" s="676"/>
      <c r="AQ177" s="676"/>
      <c r="AR177" s="676"/>
      <c r="AS177" s="676"/>
      <c r="AT177" s="676"/>
      <c r="AU177" s="676"/>
      <c r="AV177" s="676"/>
      <c r="AW177" s="676"/>
      <c r="AX177" s="676"/>
      <c r="AY177" s="676"/>
      <c r="BN177" s="36" t="s">
        <v>226</v>
      </c>
      <c r="BT177" s="714" t="s">
        <v>529</v>
      </c>
      <c r="CR177" s="25"/>
    </row>
    <row r="178" spans="1:96" s="714" customFormat="1" ht="13.2">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2"/>
      <c r="AG178" s="2402"/>
      <c r="AH178" s="4" t="s">
        <v>315</v>
      </c>
      <c r="AI178" s="2238"/>
      <c r="AJ178" s="2238"/>
      <c r="AK178" s="2238"/>
      <c r="AL178" s="676"/>
      <c r="AM178" s="676"/>
      <c r="AN178" s="676"/>
      <c r="AO178" s="676"/>
      <c r="AP178" s="676"/>
      <c r="AQ178" s="676"/>
      <c r="AR178" s="676"/>
      <c r="AS178" s="676"/>
      <c r="AT178" s="676"/>
      <c r="AU178" s="676"/>
      <c r="AV178" s="676"/>
      <c r="AW178" s="676"/>
      <c r="AX178" s="676"/>
      <c r="AY178" s="676"/>
      <c r="BN178" s="36" t="s">
        <v>227</v>
      </c>
      <c r="BT178" s="714" t="s">
        <v>56</v>
      </c>
      <c r="CR178" s="25"/>
    </row>
    <row r="179" spans="1:96" s="714" customFormat="1" ht="13.2">
      <c r="A179" s="25"/>
      <c r="B179" s="12"/>
      <c r="C179" s="43"/>
      <c r="AL179" s="676"/>
      <c r="AM179" s="676"/>
      <c r="AN179" s="676"/>
      <c r="AO179" s="676"/>
      <c r="AP179" s="676"/>
      <c r="AQ179" s="676"/>
      <c r="AR179" s="676"/>
      <c r="AS179" s="676"/>
      <c r="AT179" s="676"/>
      <c r="AU179" s="676"/>
      <c r="AV179" s="676"/>
      <c r="AW179" s="676"/>
      <c r="AX179" s="676"/>
      <c r="AY179" s="676"/>
      <c r="BN179" s="36" t="s">
        <v>228</v>
      </c>
      <c r="BT179" s="714" t="s">
        <v>57</v>
      </c>
      <c r="CR179" s="25"/>
    </row>
    <row r="180" spans="1:96" s="714" customFormat="1" ht="13.2">
      <c r="A180" s="25"/>
      <c r="B180" s="12"/>
      <c r="C180" s="43"/>
      <c r="D180" s="676" t="s">
        <v>465</v>
      </c>
      <c r="E180" s="25"/>
      <c r="X180" s="2035" t="s">
        <v>706</v>
      </c>
      <c r="Y180" s="2035"/>
      <c r="Z180" s="872"/>
      <c r="AK180" s="676"/>
      <c r="AL180" s="676"/>
      <c r="AM180" s="676"/>
      <c r="AN180" s="676"/>
      <c r="AO180" s="676"/>
      <c r="AP180" s="676"/>
      <c r="AQ180" s="676"/>
      <c r="AR180" s="676"/>
      <c r="AS180" s="676"/>
      <c r="AT180" s="676"/>
      <c r="AU180" s="676"/>
      <c r="AV180" s="676"/>
      <c r="AW180" s="676"/>
      <c r="AX180" s="676"/>
      <c r="AY180" s="676"/>
      <c r="BN180" s="36" t="s">
        <v>230</v>
      </c>
      <c r="BT180" s="714" t="s">
        <v>58</v>
      </c>
      <c r="CR180" s="25"/>
    </row>
    <row r="181" spans="1:96" s="714" customFormat="1" ht="13.05" customHeight="1">
      <c r="A181" s="25"/>
      <c r="B181" s="12"/>
      <c r="C181" s="44"/>
      <c r="E181" s="7" t="s">
        <v>1053</v>
      </c>
      <c r="Z181" s="25"/>
      <c r="AA181" s="25"/>
      <c r="AJ181" s="676"/>
      <c r="AK181" s="676"/>
      <c r="AL181" s="676"/>
      <c r="AM181" s="676"/>
      <c r="AN181" s="676"/>
      <c r="AO181" s="676"/>
      <c r="AP181" s="676"/>
      <c r="AQ181" s="676"/>
      <c r="AR181" s="676"/>
      <c r="AS181" s="676"/>
      <c r="AT181" s="676"/>
      <c r="AU181" s="676"/>
      <c r="AV181" s="676"/>
      <c r="AW181" s="676"/>
      <c r="AX181" s="676"/>
      <c r="AY181" s="676"/>
      <c r="BN181" s="36" t="s">
        <v>231</v>
      </c>
      <c r="BT181" s="714" t="s">
        <v>59</v>
      </c>
      <c r="CR181" s="25"/>
    </row>
    <row r="182" spans="1:96" ht="13.2">
      <c r="A182" s="3"/>
      <c r="C182" s="910"/>
      <c r="D182" s="25"/>
      <c r="E182" s="25"/>
      <c r="F182" s="25"/>
      <c r="G182" s="25"/>
      <c r="H182" s="25"/>
      <c r="I182" s="25"/>
      <c r="J182" s="25"/>
      <c r="S182" s="25"/>
      <c r="T182" s="25"/>
      <c r="Z182" s="25"/>
      <c r="AA182" s="25"/>
      <c r="AD182" s="25"/>
      <c r="AE182" s="25"/>
      <c r="AF182" s="25"/>
      <c r="AH182" s="25"/>
      <c r="AJ182" s="3"/>
      <c r="AK182" s="3"/>
      <c r="AL182" s="3"/>
      <c r="AM182" s="676"/>
      <c r="AN182" s="676"/>
      <c r="AO182" s="676"/>
      <c r="AP182" s="676"/>
      <c r="AQ182" s="676"/>
      <c r="AR182" s="676"/>
      <c r="AS182" s="676"/>
      <c r="AT182" s="676"/>
      <c r="AU182" s="676"/>
      <c r="AV182" s="676"/>
      <c r="AW182" s="676"/>
      <c r="AX182" s="676"/>
      <c r="AY182" s="676"/>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6"/>
      <c r="AN183" s="676"/>
      <c r="AO183" s="676"/>
      <c r="AP183" s="676"/>
      <c r="AQ183" s="676"/>
      <c r="AR183" s="676"/>
      <c r="AS183" s="676"/>
      <c r="AT183" s="676"/>
      <c r="AU183" s="676"/>
      <c r="AV183" s="676"/>
      <c r="AW183" s="676"/>
      <c r="AX183" s="676"/>
      <c r="AY183" s="676"/>
      <c r="BN183" s="36" t="s">
        <v>234</v>
      </c>
      <c r="BT183" s="12" t="s">
        <v>64</v>
      </c>
    </row>
    <row r="184" spans="1:96" ht="13.2">
      <c r="A184" s="25"/>
      <c r="C184" s="45"/>
      <c r="D184" s="25" t="s">
        <v>613</v>
      </c>
      <c r="E184" s="25"/>
      <c r="F184" s="25"/>
      <c r="G184" s="25"/>
      <c r="H184" s="25"/>
      <c r="I184" s="2037" t="str">
        <f>H18</f>
        <v xml:space="preserve">4995 Stockton Boulevard </v>
      </c>
      <c r="J184" s="2037"/>
      <c r="K184" s="2037"/>
      <c r="L184" s="2037"/>
      <c r="M184" s="2037"/>
      <c r="N184" s="2037"/>
      <c r="O184" s="2037"/>
      <c r="P184" s="2037"/>
      <c r="Q184" s="2037"/>
      <c r="R184" s="2037"/>
      <c r="S184" s="2037"/>
      <c r="T184" s="2037"/>
      <c r="U184" s="2037"/>
      <c r="V184" s="2037"/>
      <c r="W184" s="2037"/>
      <c r="X184" s="2037"/>
      <c r="Y184" s="2037"/>
      <c r="Z184" s="2037"/>
      <c r="AA184" s="2037"/>
      <c r="AB184" s="2037"/>
      <c r="AC184" s="2037"/>
      <c r="AD184" s="2037"/>
      <c r="AE184" s="2037"/>
      <c r="AF184" s="25"/>
      <c r="AH184" s="25"/>
      <c r="AJ184" s="3"/>
      <c r="AK184" s="3"/>
      <c r="AL184" s="3"/>
      <c r="AM184" s="676"/>
      <c r="AN184" s="676"/>
      <c r="AO184" s="676"/>
      <c r="AP184" s="676"/>
      <c r="AQ184" s="676"/>
      <c r="AR184" s="676"/>
      <c r="AS184" s="676"/>
      <c r="AT184" s="676"/>
      <c r="AU184" s="676"/>
      <c r="AV184" s="676"/>
      <c r="AW184" s="676"/>
      <c r="AX184" s="676"/>
      <c r="AY184" s="676"/>
      <c r="BC184" s="25" t="s">
        <v>622</v>
      </c>
      <c r="BN184" s="36" t="s">
        <v>236</v>
      </c>
      <c r="BT184" s="12" t="s">
        <v>65</v>
      </c>
    </row>
    <row r="185" spans="1:96" ht="13.2">
      <c r="A185" s="25"/>
      <c r="C185" s="45"/>
      <c r="D185" s="25" t="s">
        <v>614</v>
      </c>
      <c r="E185" s="25"/>
      <c r="F185" s="25"/>
      <c r="G185" s="25"/>
      <c r="H185" s="25"/>
      <c r="I185" s="2038" t="s">
        <v>2524</v>
      </c>
      <c r="J185" s="2038"/>
      <c r="K185" s="2038"/>
      <c r="L185" s="2038"/>
      <c r="M185" s="2038"/>
      <c r="N185" s="2038"/>
      <c r="O185" s="2038"/>
      <c r="P185" s="2038"/>
      <c r="Q185" s="2038"/>
      <c r="R185" s="2038"/>
      <c r="S185" s="2038"/>
      <c r="T185" s="2038"/>
      <c r="U185" s="2038"/>
      <c r="V185" s="2038"/>
      <c r="W185" s="2038"/>
      <c r="X185" s="2038"/>
      <c r="Y185" s="2038"/>
      <c r="Z185" s="2038"/>
      <c r="AA185" s="2038"/>
      <c r="AB185" s="2038"/>
      <c r="AC185" s="2038"/>
      <c r="AD185" s="2038"/>
      <c r="AE185" s="2038"/>
      <c r="AF185" s="25"/>
      <c r="AH185" s="25"/>
      <c r="AJ185" s="3"/>
      <c r="AK185" s="3"/>
      <c r="AL185" s="3"/>
      <c r="AM185" s="676"/>
      <c r="AN185" s="676"/>
      <c r="AO185" s="676"/>
      <c r="AP185" s="676"/>
      <c r="AQ185" s="676"/>
      <c r="AR185" s="676"/>
      <c r="AS185" s="676"/>
      <c r="AT185" s="676"/>
      <c r="AU185" s="676"/>
      <c r="AV185" s="676"/>
      <c r="AW185" s="676"/>
      <c r="AX185" s="676"/>
      <c r="AY185" s="676"/>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6"/>
      <c r="AN186" s="676"/>
      <c r="AO186" s="676"/>
      <c r="AP186" s="676"/>
      <c r="AQ186" s="676"/>
      <c r="AR186" s="676"/>
      <c r="AS186" s="676"/>
      <c r="AT186" s="676"/>
      <c r="AU186" s="676"/>
      <c r="AV186" s="676"/>
      <c r="AW186" s="676"/>
      <c r="AX186" s="676"/>
      <c r="AY186" s="676"/>
      <c r="BN186" s="36" t="s">
        <v>238</v>
      </c>
      <c r="BT186" s="12" t="s">
        <v>67</v>
      </c>
    </row>
    <row r="187" spans="1:96" ht="13.2">
      <c r="A187" s="25"/>
      <c r="C187" s="45"/>
      <c r="D187" s="25"/>
      <c r="E187" s="2083"/>
      <c r="F187" s="2083"/>
      <c r="G187" s="2083"/>
      <c r="H187" s="2083"/>
      <c r="I187" s="2083"/>
      <c r="J187" s="2083"/>
      <c r="K187" s="2083"/>
      <c r="L187" s="2083"/>
      <c r="M187" s="2083"/>
      <c r="N187" s="2083"/>
      <c r="O187" s="2083"/>
      <c r="P187" s="2083"/>
      <c r="Q187" s="2083"/>
      <c r="R187" s="2083"/>
      <c r="S187" s="2083"/>
      <c r="T187" s="2083"/>
      <c r="U187" s="2083"/>
      <c r="V187" s="2083"/>
      <c r="W187" s="2083"/>
      <c r="X187" s="2083"/>
      <c r="Y187" s="2083"/>
      <c r="Z187" s="2083"/>
      <c r="AA187" s="2083"/>
      <c r="AB187" s="2083"/>
      <c r="AC187" s="2083"/>
      <c r="AD187" s="2083"/>
      <c r="AE187" s="2083"/>
      <c r="AF187" s="25"/>
      <c r="AH187" s="25"/>
      <c r="AJ187" s="3"/>
      <c r="AK187" s="3"/>
      <c r="AL187" s="3"/>
      <c r="AM187" s="676"/>
      <c r="AN187" s="676"/>
      <c r="AO187" s="676"/>
      <c r="AP187" s="676"/>
      <c r="AQ187" s="676"/>
      <c r="AR187" s="676"/>
      <c r="AS187" s="676"/>
      <c r="AT187" s="676"/>
      <c r="AU187" s="676"/>
      <c r="AV187" s="676"/>
      <c r="AW187" s="676"/>
      <c r="AX187" s="676"/>
      <c r="AY187" s="676"/>
      <c r="BN187" s="36" t="s">
        <v>239</v>
      </c>
      <c r="BT187" s="12" t="s">
        <v>68</v>
      </c>
    </row>
    <row r="188" spans="1:96" ht="13.2">
      <c r="A188" s="25"/>
      <c r="C188" s="45"/>
      <c r="D188" s="25"/>
      <c r="E188" s="2084"/>
      <c r="F188" s="2084"/>
      <c r="G188" s="2084"/>
      <c r="H188" s="2084"/>
      <c r="I188" s="2084"/>
      <c r="J188" s="2084"/>
      <c r="K188" s="2084"/>
      <c r="L188" s="2084"/>
      <c r="M188" s="2084"/>
      <c r="N188" s="2084"/>
      <c r="O188" s="2084"/>
      <c r="P188" s="2084"/>
      <c r="Q188" s="2084"/>
      <c r="R188" s="2084"/>
      <c r="S188" s="2084"/>
      <c r="T188" s="2084"/>
      <c r="U188" s="2084"/>
      <c r="V188" s="2084"/>
      <c r="W188" s="2084"/>
      <c r="X188" s="2084"/>
      <c r="Y188" s="2084"/>
      <c r="Z188" s="2084"/>
      <c r="AA188" s="2084"/>
      <c r="AB188" s="2084"/>
      <c r="AC188" s="2084"/>
      <c r="AD188" s="2084"/>
      <c r="AE188" s="2084"/>
      <c r="AF188" s="25"/>
      <c r="AH188" s="25"/>
      <c r="AJ188" s="3"/>
      <c r="AK188" s="3"/>
      <c r="AL188" s="3"/>
      <c r="AM188" s="676"/>
      <c r="AN188" s="676"/>
      <c r="AO188" s="676"/>
      <c r="AP188" s="676"/>
      <c r="AQ188" s="676"/>
      <c r="AR188" s="676"/>
      <c r="AS188" s="676"/>
      <c r="AT188" s="676"/>
      <c r="AU188" s="676"/>
      <c r="AV188" s="676"/>
      <c r="AW188" s="676"/>
      <c r="AX188" s="676"/>
      <c r="AY188" s="676"/>
      <c r="BN188" s="36" t="s">
        <v>241</v>
      </c>
      <c r="BT188" s="12" t="s">
        <v>69</v>
      </c>
    </row>
    <row r="189" spans="1:96" ht="13.2">
      <c r="A189" s="25"/>
      <c r="C189" s="45"/>
      <c r="D189" s="25" t="s">
        <v>615</v>
      </c>
      <c r="E189" s="25"/>
      <c r="I189" s="2036" t="s">
        <v>2519</v>
      </c>
      <c r="J189" s="2036"/>
      <c r="K189" s="2036"/>
      <c r="L189" s="2036"/>
      <c r="M189" s="2036"/>
      <c r="N189" s="2036"/>
      <c r="O189" s="2036"/>
      <c r="P189" s="2036"/>
      <c r="Q189" s="25" t="s">
        <v>617</v>
      </c>
      <c r="T189" s="2036" t="s">
        <v>71</v>
      </c>
      <c r="U189" s="2036"/>
      <c r="V189" s="2036"/>
      <c r="W189" s="2036"/>
      <c r="X189" s="2036"/>
      <c r="Y189" s="2036"/>
      <c r="Z189" s="2036"/>
      <c r="AA189" s="2036"/>
      <c r="AB189" s="2036"/>
      <c r="AC189" s="2036"/>
      <c r="AD189" s="2036"/>
      <c r="AE189" s="2036"/>
      <c r="AH189" s="25"/>
      <c r="AJ189" s="3"/>
      <c r="AK189" s="3"/>
      <c r="AL189" s="3"/>
      <c r="AM189" s="676"/>
      <c r="AN189" s="676"/>
      <c r="AO189" s="676"/>
      <c r="AP189" s="676"/>
      <c r="AQ189" s="676"/>
      <c r="AR189" s="676"/>
      <c r="AS189" s="676"/>
      <c r="AT189" s="676"/>
      <c r="AU189" s="676"/>
      <c r="AV189" s="676"/>
      <c r="AW189" s="676"/>
      <c r="AX189" s="676"/>
      <c r="AY189" s="676"/>
      <c r="BC189" s="714" t="s">
        <v>316</v>
      </c>
      <c r="BH189" s="58" t="s">
        <v>626</v>
      </c>
      <c r="BN189" s="36" t="s">
        <v>242</v>
      </c>
      <c r="BT189" s="12" t="s">
        <v>70</v>
      </c>
    </row>
    <row r="190" spans="1:96" ht="13.2">
      <c r="A190" s="25"/>
      <c r="C190" s="46"/>
      <c r="D190" s="25" t="s">
        <v>618</v>
      </c>
      <c r="E190" s="25"/>
      <c r="F190" s="25"/>
      <c r="G190" s="25"/>
      <c r="I190" s="2038">
        <v>95820</v>
      </c>
      <c r="J190" s="2038"/>
      <c r="K190" s="2038"/>
      <c r="L190" s="2038"/>
      <c r="M190" s="2038"/>
      <c r="N190" s="2038"/>
      <c r="O190" s="25" t="s">
        <v>620</v>
      </c>
      <c r="P190" s="25"/>
      <c r="Q190" s="25"/>
      <c r="R190" s="25"/>
      <c r="S190" s="25"/>
      <c r="T190" s="2227">
        <v>31.02</v>
      </c>
      <c r="U190" s="2227"/>
      <c r="V190" s="2227"/>
      <c r="W190" s="2227"/>
      <c r="X190" s="2227"/>
      <c r="Y190" s="2227"/>
      <c r="Z190" s="2227"/>
      <c r="AA190" s="2227"/>
      <c r="AB190" s="2227"/>
      <c r="AC190" s="2227"/>
      <c r="AD190" s="2227"/>
      <c r="AE190" s="2227"/>
      <c r="AF190" s="25"/>
      <c r="AH190" s="25"/>
      <c r="AJ190" s="3"/>
      <c r="AK190" s="3"/>
      <c r="AL190" s="3"/>
      <c r="AM190" s="676"/>
      <c r="AN190" s="676"/>
      <c r="AO190" s="676"/>
      <c r="AP190" s="676"/>
      <c r="AQ190" s="676"/>
      <c r="AR190" s="676"/>
      <c r="AS190" s="676"/>
      <c r="AT190" s="676"/>
      <c r="AU190" s="676"/>
      <c r="AV190" s="676"/>
      <c r="AW190" s="676"/>
      <c r="AX190" s="676"/>
      <c r="AY190" s="676"/>
      <c r="BC190" s="714" t="s">
        <v>1153</v>
      </c>
      <c r="BH190" s="714" t="s">
        <v>1153</v>
      </c>
      <c r="BN190" s="36" t="s">
        <v>670</v>
      </c>
      <c r="BT190" s="12" t="s">
        <v>71</v>
      </c>
    </row>
    <row r="191" spans="1:96" ht="13.2">
      <c r="A191" s="25"/>
      <c r="C191" s="46"/>
      <c r="D191" s="25" t="s">
        <v>495</v>
      </c>
      <c r="E191" s="25"/>
      <c r="F191" s="25"/>
      <c r="G191" s="25"/>
      <c r="H191" s="25"/>
      <c r="I191" s="25"/>
      <c r="J191" s="25"/>
      <c r="K191" s="25"/>
      <c r="L191" s="25"/>
      <c r="M191" s="25"/>
      <c r="N191" s="2083" t="s">
        <v>2525</v>
      </c>
      <c r="O191" s="2083"/>
      <c r="P191" s="2083"/>
      <c r="Q191" s="2083"/>
      <c r="R191" s="2083"/>
      <c r="S191" s="2083"/>
      <c r="T191" s="2083"/>
      <c r="U191" s="2083"/>
      <c r="V191" s="2083"/>
      <c r="W191" s="2083"/>
      <c r="X191" s="2083"/>
      <c r="Y191" s="2083"/>
      <c r="Z191" s="2083"/>
      <c r="AA191" s="2083"/>
      <c r="AB191" s="2083"/>
      <c r="AC191" s="2083"/>
      <c r="AD191" s="2083"/>
      <c r="AE191" s="2083"/>
      <c r="AF191" s="25"/>
      <c r="AH191" s="25"/>
      <c r="AJ191" s="3"/>
      <c r="AK191" s="3"/>
      <c r="AL191" s="3"/>
      <c r="AM191" s="676"/>
      <c r="AN191" s="676"/>
      <c r="AO191" s="676"/>
      <c r="AP191" s="676"/>
      <c r="AQ191" s="676"/>
      <c r="AR191" s="676"/>
      <c r="AS191" s="676"/>
      <c r="AT191" s="676"/>
      <c r="AU191" s="676"/>
      <c r="AV191" s="676"/>
      <c r="AW191" s="676"/>
      <c r="AX191" s="676"/>
      <c r="AY191" s="676"/>
      <c r="BC191" s="714" t="s">
        <v>1152</v>
      </c>
      <c r="BH191" s="714" t="s">
        <v>1152</v>
      </c>
      <c r="BN191" s="36" t="s">
        <v>726</v>
      </c>
      <c r="BT191" s="12" t="s">
        <v>768</v>
      </c>
    </row>
    <row r="192" spans="1:96" ht="13.2">
      <c r="A192" s="25"/>
      <c r="C192" s="46"/>
      <c r="D192" s="25"/>
      <c r="E192" s="25"/>
      <c r="F192" s="25"/>
      <c r="G192" s="25"/>
      <c r="H192" s="25"/>
      <c r="I192" s="25"/>
      <c r="J192" s="25"/>
      <c r="K192" s="25"/>
      <c r="L192" s="25"/>
      <c r="M192" s="170"/>
      <c r="N192" s="2084"/>
      <c r="O192" s="2084"/>
      <c r="P192" s="2084"/>
      <c r="Q192" s="2084"/>
      <c r="R192" s="2084"/>
      <c r="S192" s="2084"/>
      <c r="T192" s="2084"/>
      <c r="U192" s="2084"/>
      <c r="V192" s="2084"/>
      <c r="W192" s="2084"/>
      <c r="X192" s="2084"/>
      <c r="Y192" s="2084"/>
      <c r="Z192" s="2084"/>
      <c r="AA192" s="2084"/>
      <c r="AB192" s="2084"/>
      <c r="AC192" s="2084"/>
      <c r="AD192" s="2084"/>
      <c r="AE192" s="2084"/>
      <c r="AF192" s="25"/>
      <c r="AH192" s="25"/>
      <c r="AJ192" s="3"/>
      <c r="AK192" s="3"/>
      <c r="AL192" s="3"/>
      <c r="AM192" s="676"/>
      <c r="AN192" s="676"/>
      <c r="AO192" s="676"/>
      <c r="AP192" s="676"/>
      <c r="AQ192" s="676"/>
      <c r="AR192" s="676"/>
      <c r="AS192" s="676"/>
      <c r="AT192" s="676"/>
      <c r="AU192" s="676"/>
      <c r="AV192" s="676"/>
      <c r="AW192" s="676"/>
      <c r="AX192" s="676"/>
      <c r="AY192" s="676"/>
      <c r="BC192" s="714" t="s">
        <v>1155</v>
      </c>
      <c r="BH192" s="58" t="s">
        <v>1975</v>
      </c>
      <c r="BN192" s="36" t="s">
        <v>727</v>
      </c>
      <c r="BT192" s="12" t="s">
        <v>769</v>
      </c>
    </row>
    <row r="193" spans="1:96" ht="13.2">
      <c r="A193" s="25"/>
      <c r="B193" s="714"/>
      <c r="C193" s="46"/>
      <c r="D193" s="682" t="s">
        <v>2012</v>
      </c>
      <c r="E193" s="25"/>
      <c r="F193" s="25"/>
      <c r="G193" s="25"/>
      <c r="H193" s="25"/>
      <c r="I193" s="25"/>
      <c r="J193" s="25"/>
      <c r="K193" s="25"/>
      <c r="L193" s="25"/>
      <c r="M193" s="170"/>
      <c r="N193" s="1512"/>
      <c r="O193" s="1512"/>
      <c r="P193" s="1512"/>
      <c r="Q193" s="1512"/>
      <c r="R193" s="1512"/>
      <c r="S193" s="1512"/>
      <c r="T193" s="2219" t="s">
        <v>2526</v>
      </c>
      <c r="U193" s="2219"/>
      <c r="V193" s="2219"/>
      <c r="W193" s="2219"/>
      <c r="X193" s="2219"/>
      <c r="Y193" s="2219"/>
      <c r="Z193" s="2219"/>
      <c r="AA193" s="2219"/>
      <c r="AB193" s="2219"/>
      <c r="AC193" s="2219"/>
      <c r="AD193" s="2219"/>
      <c r="AE193" s="2219"/>
      <c r="AF193" s="2219"/>
      <c r="AG193" s="2219"/>
      <c r="AH193" s="2219"/>
      <c r="AI193" s="2219"/>
      <c r="AJ193" s="676"/>
      <c r="AK193" s="676"/>
      <c r="AL193" s="676"/>
      <c r="AM193" s="676"/>
      <c r="AN193" s="676"/>
      <c r="AO193" s="676"/>
      <c r="AP193" s="676"/>
      <c r="AQ193" s="676"/>
      <c r="AR193" s="676"/>
      <c r="AS193" s="676"/>
      <c r="AT193" s="676"/>
      <c r="AU193" s="676"/>
      <c r="AV193" s="676"/>
      <c r="AW193" s="676"/>
      <c r="AX193" s="676"/>
      <c r="AY193" s="676"/>
      <c r="BC193" s="714" t="s">
        <v>1154</v>
      </c>
      <c r="BH193" s="58" t="s">
        <v>1976</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2035" t="s">
        <v>706</v>
      </c>
      <c r="U194" s="2035"/>
      <c r="W194" s="25" t="s">
        <v>722</v>
      </c>
      <c r="X194" s="25"/>
      <c r="Y194" s="25"/>
      <c r="Z194" s="25"/>
      <c r="AA194" s="25"/>
      <c r="AB194" s="25"/>
      <c r="AC194" s="25"/>
      <c r="AD194" s="25"/>
      <c r="AE194" s="25"/>
      <c r="AF194" s="25"/>
      <c r="AG194" s="25"/>
      <c r="AH194" s="2035">
        <v>6</v>
      </c>
      <c r="AI194" s="2035"/>
      <c r="AJ194" s="3"/>
      <c r="AK194" s="3"/>
      <c r="AL194" s="3"/>
      <c r="AM194" s="676"/>
      <c r="AN194" s="676"/>
      <c r="AO194" s="676"/>
      <c r="AP194" s="676"/>
      <c r="AQ194" s="676"/>
      <c r="AR194" s="676"/>
      <c r="AS194" s="676"/>
      <c r="AT194" s="676"/>
      <c r="AU194" s="676"/>
      <c r="AV194" s="676"/>
      <c r="AW194" s="676"/>
      <c r="AX194" s="676"/>
      <c r="AY194" s="676"/>
      <c r="BC194" s="714" t="s">
        <v>1633</v>
      </c>
      <c r="BN194" s="36" t="s">
        <v>729</v>
      </c>
      <c r="BT194" s="12" t="s">
        <v>771</v>
      </c>
    </row>
    <row r="195" spans="1:96" s="714" customFormat="1" ht="13.2">
      <c r="A195" s="25"/>
      <c r="B195" s="12"/>
      <c r="C195" s="46"/>
      <c r="D195" s="25" t="s">
        <v>404</v>
      </c>
      <c r="E195" s="25"/>
      <c r="F195" s="25"/>
      <c r="G195" s="25"/>
      <c r="H195" s="25"/>
      <c r="I195" s="25"/>
      <c r="J195" s="25"/>
      <c r="K195" s="25"/>
      <c r="L195" s="25"/>
      <c r="M195" s="25"/>
      <c r="N195" s="25"/>
      <c r="O195" s="25"/>
      <c r="P195" s="25"/>
      <c r="Q195" s="25"/>
      <c r="R195" s="25"/>
      <c r="S195" s="12"/>
      <c r="T195" s="2055" t="s">
        <v>578</v>
      </c>
      <c r="U195" s="2055"/>
      <c r="V195" s="12"/>
      <c r="W195" s="25" t="s">
        <v>723</v>
      </c>
      <c r="X195" s="25"/>
      <c r="Y195" s="25"/>
      <c r="Z195" s="25"/>
      <c r="AA195" s="25"/>
      <c r="AB195" s="25"/>
      <c r="AC195" s="25"/>
      <c r="AD195" s="25"/>
      <c r="AE195" s="25"/>
      <c r="AF195" s="25"/>
      <c r="AG195" s="25"/>
      <c r="AH195" s="2035">
        <v>7</v>
      </c>
      <c r="AI195" s="2035"/>
      <c r="AJ195" s="3"/>
      <c r="AK195" s="3"/>
      <c r="AL195" s="3"/>
      <c r="AM195" s="676"/>
      <c r="AN195" s="676"/>
      <c r="AO195" s="676"/>
      <c r="AP195" s="676"/>
      <c r="AQ195" s="676"/>
      <c r="AR195" s="676"/>
      <c r="AS195" s="676"/>
      <c r="AT195" s="676"/>
      <c r="AU195" s="676"/>
      <c r="AV195" s="676"/>
      <c r="AW195" s="676"/>
      <c r="AX195" s="676"/>
      <c r="AY195" s="676"/>
      <c r="BC195" s="714" t="s">
        <v>2380</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055" t="s">
        <v>706</v>
      </c>
      <c r="U196" s="2055"/>
      <c r="W196" s="25" t="s">
        <v>724</v>
      </c>
      <c r="X196" s="25"/>
      <c r="Y196" s="25"/>
      <c r="Z196" s="25"/>
      <c r="AA196" s="25"/>
      <c r="AB196" s="25"/>
      <c r="AC196" s="25"/>
      <c r="AD196" s="25"/>
      <c r="AE196" s="25"/>
      <c r="AF196" s="25"/>
      <c r="AG196" s="25"/>
      <c r="AH196" s="2035">
        <v>6</v>
      </c>
      <c r="AI196" s="2035"/>
      <c r="AJ196" s="3"/>
      <c r="AK196" s="3"/>
      <c r="AL196" s="3"/>
      <c r="AM196" s="676"/>
      <c r="AN196" s="676"/>
      <c r="AO196" s="676"/>
      <c r="AP196" s="676"/>
      <c r="AQ196" s="676"/>
      <c r="AR196" s="676"/>
      <c r="AS196" s="676"/>
      <c r="AT196" s="676"/>
      <c r="AU196" s="676"/>
      <c r="AV196" s="676"/>
      <c r="AW196" s="676"/>
      <c r="AX196" s="676"/>
      <c r="AY196" s="676"/>
      <c r="BN196" s="36" t="s">
        <v>249</v>
      </c>
      <c r="BT196" s="12" t="s">
        <v>72</v>
      </c>
    </row>
    <row r="197" spans="1:96" ht="12.75" customHeight="1">
      <c r="A197" s="25"/>
      <c r="B197" s="714"/>
      <c r="C197" s="46"/>
      <c r="D197" s="240" t="s">
        <v>2004</v>
      </c>
      <c r="E197" s="25"/>
      <c r="F197" s="25"/>
      <c r="G197" s="25"/>
      <c r="H197" s="25"/>
      <c r="I197" s="25"/>
      <c r="J197" s="25"/>
      <c r="K197" s="25"/>
      <c r="L197" s="25"/>
      <c r="M197" s="25"/>
      <c r="N197" s="25"/>
      <c r="O197" s="25"/>
      <c r="P197" s="25"/>
      <c r="Q197" s="25"/>
      <c r="R197" s="25"/>
      <c r="S197" s="714"/>
      <c r="T197" s="2055"/>
      <c r="U197" s="2055"/>
      <c r="V197" s="714"/>
      <c r="W197" s="25"/>
      <c r="X197" s="25"/>
      <c r="Y197" s="25"/>
      <c r="Z197" s="25"/>
      <c r="AA197" s="25"/>
      <c r="AB197" s="25"/>
      <c r="AC197" s="25"/>
      <c r="AD197" s="25"/>
      <c r="AE197" s="25"/>
      <c r="AF197" s="25"/>
      <c r="AG197" s="25"/>
      <c r="AH197" s="51"/>
      <c r="AI197" s="51"/>
      <c r="AJ197" s="676"/>
      <c r="AK197" s="676"/>
      <c r="AL197" s="676"/>
      <c r="AM197" s="676"/>
      <c r="AN197" s="676"/>
      <c r="AO197" s="676"/>
      <c r="AP197" s="676"/>
      <c r="AQ197" s="676"/>
      <c r="AR197" s="676"/>
      <c r="AS197" s="676"/>
      <c r="AT197" s="676"/>
      <c r="AU197" s="676"/>
      <c r="AV197" s="676"/>
      <c r="AW197" s="676"/>
      <c r="AX197" s="676"/>
      <c r="AY197" s="676"/>
      <c r="BC197" s="677" t="s">
        <v>316</v>
      </c>
      <c r="BD197" s="675"/>
      <c r="BN197" s="36" t="s">
        <v>250</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5" t="s">
        <v>706</v>
      </c>
      <c r="Z198" s="2035"/>
      <c r="AA198" s="25"/>
      <c r="AB198" s="25"/>
      <c r="AC198" s="25"/>
      <c r="AD198" s="25"/>
      <c r="AE198" s="25"/>
      <c r="AF198" s="25"/>
      <c r="AG198" s="25"/>
      <c r="AJ198" s="676"/>
      <c r="AK198" s="676"/>
      <c r="AL198" s="676"/>
      <c r="AM198" s="676"/>
      <c r="AN198" s="676"/>
      <c r="AO198" s="676"/>
      <c r="AP198" s="676"/>
      <c r="AQ198" s="676"/>
      <c r="AR198" s="676"/>
      <c r="AS198" s="676"/>
      <c r="AT198" s="676"/>
      <c r="AU198" s="676"/>
      <c r="AV198" s="676"/>
      <c r="AW198" s="676"/>
      <c r="AX198" s="676"/>
      <c r="AY198" s="676"/>
      <c r="AZ198" s="52"/>
      <c r="BA198" s="52"/>
      <c r="BB198" s="21"/>
      <c r="BC198" s="682" t="s">
        <v>938</v>
      </c>
      <c r="BD198" s="675"/>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6"/>
      <c r="AH199" s="1768"/>
      <c r="AI199" s="1768"/>
      <c r="AJ199" s="676"/>
      <c r="AK199" s="676"/>
      <c r="AL199" s="676"/>
      <c r="AM199" s="676"/>
      <c r="AN199" s="676"/>
      <c r="AO199" s="676"/>
      <c r="AP199" s="676"/>
      <c r="AQ199" s="676"/>
      <c r="AR199" s="676"/>
      <c r="AS199" s="676"/>
      <c r="AT199" s="676"/>
      <c r="AU199" s="676"/>
      <c r="AV199" s="676"/>
      <c r="AW199" s="676"/>
      <c r="AX199" s="676"/>
      <c r="AY199" s="676"/>
      <c r="AZ199" s="52"/>
      <c r="BA199" s="52"/>
      <c r="BB199" s="21"/>
      <c r="BC199" s="681" t="s">
        <v>937</v>
      </c>
      <c r="BD199" s="712"/>
      <c r="BE199" s="21"/>
      <c r="BF199" s="21"/>
      <c r="BN199" s="36" t="s">
        <v>737</v>
      </c>
      <c r="BO199" s="714"/>
      <c r="BP199" s="714"/>
      <c r="BQ199" s="714"/>
      <c r="BR199" s="714"/>
      <c r="BS199" s="714"/>
      <c r="BT199" s="54" t="s">
        <v>198</v>
      </c>
      <c r="BU199" s="714"/>
      <c r="BV199" s="53"/>
      <c r="CR199" s="112"/>
    </row>
    <row r="200" spans="1:96" s="51" customFormat="1" ht="12.75" customHeight="1">
      <c r="A200" s="25"/>
      <c r="B200" s="12"/>
      <c r="C200" s="46"/>
      <c r="D200" s="332" t="s">
        <v>993</v>
      </c>
      <c r="E200" s="25"/>
      <c r="F200" s="25"/>
      <c r="G200" s="25"/>
      <c r="H200" s="25"/>
      <c r="I200" s="25"/>
      <c r="J200" s="25"/>
      <c r="K200" s="25"/>
      <c r="L200" s="25"/>
      <c r="M200" s="25"/>
      <c r="N200" s="25"/>
      <c r="O200" s="25"/>
      <c r="P200" s="25"/>
      <c r="Q200" s="25"/>
      <c r="R200" s="25"/>
      <c r="S200" s="39"/>
      <c r="T200" s="235"/>
      <c r="U200" s="235"/>
      <c r="V200" s="39"/>
      <c r="W200" s="332" t="s">
        <v>992</v>
      </c>
      <c r="X200" s="25"/>
      <c r="Y200" s="25"/>
      <c r="Z200" s="25"/>
      <c r="AA200" s="25"/>
      <c r="AB200" s="25"/>
      <c r="AC200" s="25"/>
      <c r="AD200" s="25"/>
      <c r="AE200" s="25"/>
      <c r="AF200" s="25"/>
      <c r="AG200" s="3"/>
      <c r="AH200" s="235"/>
      <c r="AI200" s="235"/>
      <c r="AJ200" s="3"/>
      <c r="AK200" s="3"/>
      <c r="AL200" s="3"/>
      <c r="AM200" s="676"/>
      <c r="AN200" s="676"/>
      <c r="AO200" s="676"/>
      <c r="AP200" s="676"/>
      <c r="AQ200" s="676"/>
      <c r="AR200" s="676"/>
      <c r="AS200" s="676"/>
      <c r="AT200" s="676"/>
      <c r="AU200" s="676"/>
      <c r="AV200" s="676"/>
      <c r="AW200" s="676"/>
      <c r="AX200" s="676"/>
      <c r="AY200" s="676"/>
      <c r="AZ200" s="52"/>
      <c r="BA200" s="52"/>
      <c r="BB200" s="21"/>
      <c r="BC200" s="681" t="s">
        <v>1178</v>
      </c>
      <c r="BD200" s="678"/>
      <c r="BE200" s="21"/>
      <c r="BF200" s="21"/>
      <c r="BN200" s="36" t="s">
        <v>738</v>
      </c>
      <c r="BO200" s="12"/>
      <c r="BP200" s="12"/>
      <c r="BQ200" s="12"/>
      <c r="BR200" s="12"/>
      <c r="BS200" s="12"/>
      <c r="BT200" s="54" t="s">
        <v>199</v>
      </c>
      <c r="BU200" s="12"/>
      <c r="CR200" s="112"/>
    </row>
    <row r="201" spans="1:96" s="51" customFormat="1" ht="13.2">
      <c r="A201" s="25"/>
      <c r="B201" s="12"/>
      <c r="C201" s="46"/>
      <c r="D201" s="909"/>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6"/>
      <c r="AN201" s="676"/>
      <c r="AO201" s="676"/>
      <c r="AP201" s="676"/>
      <c r="AQ201" s="676"/>
      <c r="AR201" s="676"/>
      <c r="AS201" s="676"/>
      <c r="AT201" s="676"/>
      <c r="AU201" s="676"/>
      <c r="AV201" s="676"/>
      <c r="AW201" s="676"/>
      <c r="AX201" s="676"/>
      <c r="AY201" s="676"/>
      <c r="AZ201" s="52"/>
      <c r="BA201" s="52"/>
      <c r="BB201" s="21"/>
      <c r="BC201" s="679" t="s">
        <v>646</v>
      </c>
      <c r="BD201" s="678"/>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6"/>
      <c r="AN202" s="676"/>
      <c r="AO202" s="676"/>
      <c r="AP202" s="676"/>
      <c r="AQ202" s="676"/>
      <c r="AR202" s="676"/>
      <c r="AS202" s="676"/>
      <c r="AT202" s="676"/>
      <c r="AU202" s="676"/>
      <c r="AV202" s="676"/>
      <c r="AW202" s="676"/>
      <c r="AX202" s="676"/>
      <c r="AY202" s="676"/>
      <c r="BC202" s="679" t="s">
        <v>1179</v>
      </c>
      <c r="BD202" s="678"/>
      <c r="BN202" s="36" t="s">
        <v>740</v>
      </c>
      <c r="BO202" s="51"/>
      <c r="BP202" s="54"/>
      <c r="BQ202" s="54"/>
      <c r="BR202" s="54"/>
      <c r="BS202" s="54"/>
      <c r="BT202" s="55" t="s">
        <v>201</v>
      </c>
    </row>
    <row r="203" spans="1:96" ht="12.75" customHeight="1">
      <c r="A203" s="25"/>
      <c r="C203" s="25"/>
      <c r="D203" s="2037" t="s">
        <v>403</v>
      </c>
      <c r="E203" s="2037"/>
      <c r="F203" s="2037"/>
      <c r="G203" s="2037"/>
      <c r="H203" s="2037"/>
      <c r="I203" s="2037"/>
      <c r="J203" s="2037"/>
      <c r="K203" s="2037"/>
      <c r="L203" s="2037"/>
      <c r="M203" s="2037"/>
      <c r="P203" s="2222">
        <f>M26</f>
        <v>4691762</v>
      </c>
      <c r="Q203" s="2216"/>
      <c r="R203" s="2216"/>
      <c r="S203" s="2216"/>
      <c r="T203" s="2216"/>
      <c r="U203" s="2216"/>
      <c r="V203" s="25"/>
      <c r="W203" s="25"/>
      <c r="X203" s="25"/>
      <c r="Y203" s="25"/>
      <c r="Z203" s="2214" t="s">
        <v>2527</v>
      </c>
      <c r="AA203" s="2214"/>
      <c r="AB203" s="2214"/>
      <c r="AC203" s="2214"/>
      <c r="AD203" s="2214"/>
      <c r="AE203" s="2214"/>
      <c r="AF203" s="2214"/>
      <c r="AG203" s="25"/>
      <c r="AH203" s="25"/>
      <c r="AI203" s="25"/>
      <c r="AJ203" s="3"/>
      <c r="AK203" s="3"/>
      <c r="AL203" s="3"/>
      <c r="AM203" s="676"/>
      <c r="AN203" s="676"/>
      <c r="AO203" s="676"/>
      <c r="AP203" s="676"/>
      <c r="AQ203" s="676"/>
      <c r="AR203" s="676"/>
      <c r="AS203" s="676"/>
      <c r="AT203" s="676"/>
      <c r="AU203" s="676"/>
      <c r="AV203" s="676"/>
      <c r="AW203" s="676"/>
      <c r="AX203" s="676"/>
      <c r="AY203" s="676"/>
      <c r="BC203" s="676" t="s">
        <v>1180</v>
      </c>
      <c r="BD203" s="675"/>
      <c r="BN203" s="36" t="s">
        <v>741</v>
      </c>
      <c r="BO203" s="51"/>
      <c r="BP203" s="54"/>
      <c r="BQ203" s="54"/>
      <c r="BR203" s="54"/>
      <c r="BS203" s="55"/>
      <c r="BT203" s="55" t="s">
        <v>202</v>
      </c>
    </row>
    <row r="204" spans="1:96" ht="12.75" customHeight="1">
      <c r="A204" s="25"/>
      <c r="C204" s="45"/>
      <c r="D204" s="2220" t="s">
        <v>1475</v>
      </c>
      <c r="E204" s="2037"/>
      <c r="F204" s="2037"/>
      <c r="G204" s="2037"/>
      <c r="H204" s="2037"/>
      <c r="I204" s="2037"/>
      <c r="J204" s="2037"/>
      <c r="K204" s="2037"/>
      <c r="L204" s="2037"/>
      <c r="M204" s="2037"/>
      <c r="P204" s="2216">
        <f>M27</f>
        <v>24999582</v>
      </c>
      <c r="Q204" s="2216"/>
      <c r="R204" s="2216"/>
      <c r="S204" s="2216"/>
      <c r="T204" s="2216"/>
      <c r="U204" s="2216"/>
      <c r="V204" s="47"/>
      <c r="W204" s="58" t="s">
        <v>2214</v>
      </c>
      <c r="Z204" s="2214"/>
      <c r="AA204" s="2214"/>
      <c r="AB204" s="2214"/>
      <c r="AC204" s="2214"/>
      <c r="AD204" s="2214"/>
      <c r="AE204" s="2214"/>
      <c r="AF204" s="2214"/>
      <c r="AG204" s="25" t="s">
        <v>1476</v>
      </c>
      <c r="AH204" s="25"/>
      <c r="AI204" s="25"/>
      <c r="AJ204" s="25"/>
      <c r="AK204" s="25"/>
      <c r="AL204" s="25"/>
      <c r="AM204" s="25"/>
      <c r="AN204" s="25"/>
      <c r="AO204" s="25"/>
      <c r="AP204" s="2035" t="s">
        <v>706</v>
      </c>
      <c r="AQ204" s="2035"/>
      <c r="AR204" s="676"/>
      <c r="AS204" s="676"/>
      <c r="AT204" s="676"/>
      <c r="AU204" s="676"/>
      <c r="AV204" s="676"/>
      <c r="AW204" s="676"/>
      <c r="AX204" s="676"/>
      <c r="AY204" s="676"/>
      <c r="BC204" s="679" t="s">
        <v>645</v>
      </c>
      <c r="BD204" s="675"/>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5"/>
      <c r="AA205" s="2215"/>
      <c r="AB205" s="2215"/>
      <c r="AC205" s="2215"/>
      <c r="AD205" s="2215"/>
      <c r="AE205" s="2215"/>
      <c r="AF205" s="2215"/>
      <c r="AH205" s="25"/>
      <c r="AJ205" s="3"/>
      <c r="AK205" s="3"/>
      <c r="AL205" s="3"/>
      <c r="AM205" s="676"/>
      <c r="AN205" s="676"/>
      <c r="AO205" s="676"/>
      <c r="AP205" s="676"/>
      <c r="AQ205" s="676"/>
      <c r="AR205" s="676"/>
      <c r="AS205" s="676"/>
      <c r="AT205" s="676"/>
      <c r="AU205" s="676"/>
      <c r="AV205" s="676"/>
      <c r="AW205" s="676"/>
      <c r="AX205" s="676"/>
      <c r="AY205" s="676"/>
      <c r="BC205" s="679" t="s">
        <v>1137</v>
      </c>
      <c r="BD205" s="675"/>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6"/>
      <c r="AN206" s="676"/>
      <c r="AO206" s="676"/>
      <c r="AP206" s="676"/>
      <c r="AQ206" s="676"/>
      <c r="AR206" s="676"/>
      <c r="AS206" s="676"/>
      <c r="AT206" s="676"/>
      <c r="AU206" s="676"/>
      <c r="AV206" s="676"/>
      <c r="AW206" s="676"/>
      <c r="AX206" s="676"/>
      <c r="AY206" s="676"/>
      <c r="BC206" s="680" t="s">
        <v>1181</v>
      </c>
      <c r="BD206" s="675"/>
      <c r="BN206" s="36" t="s">
        <v>115</v>
      </c>
      <c r="BT206" s="55" t="s">
        <v>204</v>
      </c>
      <c r="BU206" s="56"/>
    </row>
    <row r="207" spans="1:96" ht="13.2">
      <c r="A207" s="25"/>
      <c r="C207" s="45"/>
      <c r="D207" s="2197" t="s">
        <v>2528</v>
      </c>
      <c r="E207" s="2197"/>
      <c r="F207" s="2197"/>
      <c r="G207" s="2197"/>
      <c r="H207" s="2197"/>
      <c r="I207" s="2197"/>
      <c r="J207" s="2197"/>
      <c r="K207" s="2197"/>
      <c r="L207" s="2197"/>
      <c r="M207" s="219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6"/>
      <c r="AN207" s="676"/>
      <c r="AO207" s="676"/>
      <c r="AP207" s="676"/>
      <c r="AQ207" s="676"/>
      <c r="AR207" s="676"/>
      <c r="AS207" s="676"/>
      <c r="AT207" s="676"/>
      <c r="AU207" s="676"/>
      <c r="AV207" s="676"/>
      <c r="AW207" s="676"/>
      <c r="AX207" s="676"/>
      <c r="AY207" s="676"/>
      <c r="BC207" s="681" t="s">
        <v>1425</v>
      </c>
      <c r="BD207" s="675"/>
      <c r="BN207" s="36" t="s">
        <v>48</v>
      </c>
      <c r="BT207" s="55" t="s">
        <v>205</v>
      </c>
    </row>
    <row r="208" spans="1:96" ht="13.2">
      <c r="T208" s="25"/>
      <c r="U208" s="25"/>
      <c r="V208" s="25"/>
      <c r="W208" s="25"/>
      <c r="X208" s="25"/>
      <c r="Y208" s="25"/>
      <c r="Z208" s="25"/>
      <c r="AA208" s="25"/>
      <c r="AB208" s="25"/>
      <c r="AC208" s="25"/>
      <c r="AD208" s="25"/>
      <c r="AE208" s="25"/>
      <c r="AF208" s="25"/>
      <c r="AG208" s="714"/>
      <c r="AH208" s="25"/>
      <c r="AI208" s="714"/>
      <c r="AJ208" s="676"/>
      <c r="AK208" s="676"/>
      <c r="AL208" s="676"/>
      <c r="AM208" s="676"/>
      <c r="AN208" s="676"/>
      <c r="AO208" s="676"/>
      <c r="AP208" s="676"/>
      <c r="AQ208" s="676"/>
      <c r="AR208" s="676"/>
      <c r="AS208" s="676"/>
      <c r="AT208" s="676"/>
      <c r="AU208" s="676"/>
      <c r="AV208" s="676"/>
      <c r="AW208" s="676"/>
      <c r="AX208" s="676"/>
      <c r="AY208" s="676"/>
      <c r="BC208" s="676" t="s">
        <v>1182</v>
      </c>
      <c r="BD208" s="675"/>
      <c r="BN208" s="36" t="s">
        <v>49</v>
      </c>
      <c r="BT208" s="55" t="s">
        <v>206</v>
      </c>
    </row>
    <row r="209" spans="1:96" ht="13.2">
      <c r="A209" s="50" t="s">
        <v>625</v>
      </c>
      <c r="C209" s="50" t="s">
        <v>406</v>
      </c>
      <c r="Z209" s="714"/>
      <c r="AA209" s="25"/>
      <c r="AB209" s="25"/>
      <c r="AC209" s="25"/>
      <c r="AD209" s="25"/>
      <c r="AE209" s="25"/>
      <c r="AF209" s="25"/>
      <c r="AG209" s="714"/>
      <c r="AH209" s="714"/>
      <c r="AI209" s="714"/>
      <c r="AJ209" s="676"/>
      <c r="AK209" s="676"/>
      <c r="AL209" s="676"/>
      <c r="AM209" s="676"/>
      <c r="AN209" s="676"/>
      <c r="AO209" s="676"/>
      <c r="AP209" s="676"/>
      <c r="AQ209" s="676"/>
      <c r="AR209" s="676"/>
      <c r="AS209" s="676"/>
      <c r="AT209" s="676"/>
      <c r="AU209" s="676"/>
      <c r="AV209" s="676"/>
      <c r="AW209" s="676"/>
      <c r="AX209" s="676"/>
      <c r="AY209" s="676"/>
      <c r="BC209" s="679" t="s">
        <v>696</v>
      </c>
      <c r="BD209" s="675"/>
      <c r="BN209" s="36" t="s">
        <v>50</v>
      </c>
      <c r="BT209" s="55" t="s">
        <v>207</v>
      </c>
    </row>
    <row r="210" spans="1:96" ht="13.2">
      <c r="C210" s="45"/>
      <c r="D210" s="2197" t="s">
        <v>1153</v>
      </c>
      <c r="E210" s="2197"/>
      <c r="F210" s="2197"/>
      <c r="G210" s="2197"/>
      <c r="H210" s="2197"/>
      <c r="I210" s="2197"/>
      <c r="J210" s="2197"/>
      <c r="K210" s="2197"/>
      <c r="L210" s="2197"/>
      <c r="M210" s="2197"/>
      <c r="O210" s="714"/>
      <c r="P210" s="714"/>
      <c r="Q210" s="714"/>
      <c r="R210" s="714"/>
      <c r="S210" s="714"/>
      <c r="T210" s="714"/>
      <c r="U210" s="714"/>
      <c r="V210" s="714"/>
      <c r="W210" s="714"/>
      <c r="X210" s="714"/>
      <c r="Y210" s="714"/>
      <c r="Z210" s="714"/>
      <c r="AA210" s="714"/>
      <c r="AB210" s="714"/>
      <c r="AC210" s="714"/>
      <c r="AD210" s="714"/>
      <c r="AE210" s="714"/>
      <c r="AF210" s="714"/>
      <c r="AG210" s="714"/>
      <c r="AH210" s="88"/>
      <c r="AI210" s="88"/>
      <c r="AJ210" s="676"/>
      <c r="AK210" s="676"/>
      <c r="AL210" s="676"/>
      <c r="AM210" s="676"/>
      <c r="AN210" s="676"/>
      <c r="AO210" s="676"/>
      <c r="AP210" s="676"/>
      <c r="AQ210" s="676"/>
      <c r="AR210" s="676"/>
      <c r="AS210" s="676"/>
      <c r="AT210" s="676"/>
      <c r="AU210" s="676"/>
      <c r="AV210" s="676"/>
      <c r="AW210" s="676"/>
      <c r="AX210" s="676"/>
      <c r="AY210" s="676"/>
      <c r="BD210" s="675"/>
      <c r="BN210" s="36" t="s">
        <v>51</v>
      </c>
      <c r="BT210" s="55" t="s">
        <v>208</v>
      </c>
    </row>
    <row r="211" spans="1:96" ht="13.2">
      <c r="A211" s="714"/>
      <c r="B211" s="714"/>
      <c r="C211" s="45"/>
      <c r="D211" s="714" t="s">
        <v>1461</v>
      </c>
      <c r="E211" s="714"/>
      <c r="F211" s="714"/>
      <c r="G211" s="714"/>
      <c r="H211" s="714"/>
      <c r="I211" s="714"/>
      <c r="J211" s="714"/>
      <c r="K211" s="714"/>
      <c r="L211" s="714"/>
      <c r="M211" s="714"/>
      <c r="N211" s="714"/>
      <c r="O211" s="714"/>
      <c r="P211" s="714"/>
      <c r="Q211" s="714"/>
      <c r="R211" s="714"/>
      <c r="S211" s="714"/>
      <c r="T211" s="714"/>
      <c r="U211" s="714"/>
      <c r="V211" s="714"/>
      <c r="W211" s="714"/>
      <c r="X211" s="714"/>
      <c r="Y211" s="2035"/>
      <c r="Z211" s="2035"/>
      <c r="AA211" s="714"/>
      <c r="AB211" s="714"/>
      <c r="AC211" s="714"/>
      <c r="AD211" s="714"/>
      <c r="AE211" s="714"/>
      <c r="AF211" s="714"/>
      <c r="AG211" s="714"/>
      <c r="AH211" s="714"/>
      <c r="AI211" s="714"/>
      <c r="AJ211" s="676"/>
      <c r="AK211" s="676"/>
      <c r="AL211" s="676"/>
      <c r="AM211" s="676"/>
      <c r="AN211" s="676"/>
      <c r="AO211" s="676"/>
      <c r="AP211" s="676"/>
      <c r="AQ211" s="676"/>
      <c r="AR211" s="676"/>
      <c r="AS211" s="676"/>
      <c r="AT211" s="676"/>
      <c r="AU211" s="676"/>
      <c r="AV211" s="676"/>
      <c r="AW211" s="676"/>
      <c r="AX211" s="676"/>
      <c r="AY211" s="676"/>
      <c r="BN211" s="36" t="s">
        <v>134</v>
      </c>
      <c r="BT211" s="55" t="s">
        <v>135</v>
      </c>
    </row>
    <row r="212" spans="1:96" ht="13.2">
      <c r="D212" s="58" t="s">
        <v>1974</v>
      </c>
      <c r="E212" s="714"/>
      <c r="F212" s="714"/>
      <c r="G212" s="714"/>
      <c r="H212" s="714"/>
      <c r="I212" s="714"/>
      <c r="J212" s="714"/>
      <c r="K212" s="714"/>
      <c r="L212" s="714"/>
      <c r="M212" s="714"/>
      <c r="N212" s="714"/>
      <c r="O212" s="714"/>
      <c r="P212" s="714"/>
      <c r="Q212" s="714"/>
      <c r="R212" s="714"/>
      <c r="S212" s="714"/>
      <c r="T212" s="714"/>
      <c r="U212" s="714"/>
      <c r="V212" s="714"/>
      <c r="W212" s="714"/>
      <c r="X212" s="714"/>
      <c r="Y212" s="714"/>
      <c r="Z212" s="714"/>
      <c r="AG212" s="3"/>
      <c r="AJ212" s="3"/>
      <c r="AK212" s="3"/>
      <c r="AL212" s="3"/>
      <c r="AM212" s="676"/>
      <c r="AN212" s="676"/>
      <c r="AO212" s="676"/>
      <c r="AP212" s="676"/>
      <c r="AQ212" s="676"/>
      <c r="AR212" s="676"/>
      <c r="AS212" s="676"/>
      <c r="AT212" s="676"/>
      <c r="AU212" s="676"/>
      <c r="AV212" s="676"/>
      <c r="AW212" s="676"/>
      <c r="AX212" s="676"/>
      <c r="AY212" s="676"/>
      <c r="BC212" s="474" t="s">
        <v>316</v>
      </c>
      <c r="BN212" s="36" t="s">
        <v>52</v>
      </c>
      <c r="BT212" s="55" t="s">
        <v>209</v>
      </c>
    </row>
    <row r="213" spans="1:96" s="714" customFormat="1" ht="13.2">
      <c r="D213" s="2087" t="s">
        <v>626</v>
      </c>
      <c r="E213" s="2087"/>
      <c r="F213" s="2087"/>
      <c r="G213" s="2087"/>
      <c r="H213" s="2087"/>
      <c r="I213" s="2087"/>
      <c r="J213" s="2087"/>
      <c r="K213" s="2087"/>
      <c r="L213" s="2087"/>
      <c r="M213" s="2087"/>
      <c r="N213" s="2087"/>
      <c r="O213" s="2087"/>
      <c r="P213" s="2087"/>
      <c r="Q213" s="2087"/>
      <c r="R213" s="2087"/>
      <c r="S213" s="2087"/>
      <c r="T213" s="2087"/>
      <c r="U213" s="2087"/>
      <c r="V213" s="2087"/>
      <c r="W213" s="2087"/>
      <c r="X213" s="2087"/>
      <c r="Y213" s="2087"/>
      <c r="Z213" s="2087"/>
      <c r="AG213" s="676"/>
      <c r="AJ213" s="676"/>
      <c r="AK213" s="676"/>
      <c r="AL213" s="676"/>
      <c r="AM213" s="676"/>
      <c r="AN213" s="676"/>
      <c r="AO213" s="676"/>
      <c r="AP213" s="676"/>
      <c r="AQ213" s="676"/>
      <c r="AR213" s="676"/>
      <c r="AS213" s="676"/>
      <c r="AT213" s="676"/>
      <c r="AU213" s="676"/>
      <c r="AV213" s="676"/>
      <c r="AW213" s="676"/>
      <c r="AX213" s="676"/>
      <c r="AY213" s="676"/>
      <c r="BC213" s="12" t="s">
        <v>559</v>
      </c>
      <c r="BN213" s="36" t="s">
        <v>53</v>
      </c>
      <c r="BT213" s="55" t="s">
        <v>210</v>
      </c>
      <c r="CR213" s="25"/>
    </row>
    <row r="214" spans="1:96" ht="13.2">
      <c r="A214" s="714"/>
      <c r="B214" s="714"/>
      <c r="C214" s="714"/>
      <c r="D214" s="58" t="s">
        <v>2005</v>
      </c>
      <c r="E214" s="714"/>
      <c r="F214" s="714"/>
      <c r="G214" s="714"/>
      <c r="H214" s="714"/>
      <c r="I214" s="714"/>
      <c r="J214" s="714"/>
      <c r="K214" s="714"/>
      <c r="L214" s="714"/>
      <c r="M214" s="714"/>
      <c r="N214" s="714"/>
      <c r="O214" s="714"/>
      <c r="P214" s="714"/>
      <c r="Q214" s="714"/>
      <c r="R214" s="714"/>
      <c r="S214" s="714"/>
      <c r="T214" s="714"/>
      <c r="U214" s="714"/>
      <c r="V214" s="714"/>
      <c r="W214" s="714"/>
      <c r="X214" s="714"/>
      <c r="Y214" s="714"/>
      <c r="Z214" s="69"/>
      <c r="AA214" s="714"/>
      <c r="AB214" s="2086"/>
      <c r="AC214" s="2086"/>
      <c r="AD214" s="2086"/>
      <c r="AE214" s="2086"/>
      <c r="AF214" s="2086"/>
      <c r="AG214" s="2086"/>
      <c r="AH214" s="2086"/>
      <c r="AI214" s="2086"/>
      <c r="AJ214" s="2086"/>
      <c r="AK214" s="2086"/>
      <c r="AL214" s="2086"/>
      <c r="AM214" s="46"/>
      <c r="AN214" s="46"/>
      <c r="AO214" s="46"/>
      <c r="AP214" s="46"/>
      <c r="AQ214" s="46"/>
      <c r="AR214" s="46"/>
      <c r="AS214" s="46"/>
      <c r="AT214" s="46"/>
      <c r="AU214" s="46"/>
      <c r="AV214" s="46"/>
      <c r="AW214" s="46"/>
      <c r="AX214" s="46"/>
      <c r="AY214" s="46"/>
      <c r="AZ214" s="714"/>
      <c r="BA214" s="714"/>
      <c r="BC214" s="12" t="s">
        <v>563</v>
      </c>
      <c r="BN214" s="36" t="s">
        <v>335</v>
      </c>
      <c r="BT214" s="55" t="s">
        <v>211</v>
      </c>
    </row>
    <row r="215" spans="1:96" s="714" customFormat="1" ht="12.75" customHeight="1">
      <c r="A215" s="12"/>
      <c r="B215" s="12"/>
      <c r="C215" s="12"/>
      <c r="D215" s="58" t="s">
        <v>2003</v>
      </c>
      <c r="Z215" s="69"/>
      <c r="AB215" s="2086"/>
      <c r="AC215" s="2086"/>
      <c r="AD215" s="2086"/>
      <c r="AE215" s="2086"/>
      <c r="AF215" s="2086"/>
      <c r="AG215" s="2086"/>
      <c r="AH215" s="2086"/>
      <c r="AI215" s="2086"/>
      <c r="AJ215" s="2086"/>
      <c r="AK215" s="2086"/>
      <c r="AL215" s="2086"/>
      <c r="AM215" s="46"/>
      <c r="AN215" s="46"/>
      <c r="AO215" s="46"/>
      <c r="AP215" s="46"/>
      <c r="AQ215" s="46"/>
      <c r="AR215" s="46"/>
      <c r="AS215" s="46"/>
      <c r="AT215" s="46"/>
      <c r="AU215" s="46"/>
      <c r="AV215" s="46"/>
      <c r="AW215" s="46"/>
      <c r="AX215" s="46"/>
      <c r="AY215" s="46"/>
      <c r="BC215" s="39" t="s">
        <v>560</v>
      </c>
      <c r="CR215" s="25"/>
    </row>
    <row r="216" spans="1:96" s="714"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4" customFormat="1" ht="13.2">
      <c r="A217" s="499" t="s">
        <v>627</v>
      </c>
      <c r="B217" s="39"/>
      <c r="C217" s="499" t="s">
        <v>1434</v>
      </c>
      <c r="D217" s="862"/>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6"/>
      <c r="AH217" s="39"/>
      <c r="AI217" s="39"/>
      <c r="AJ217" s="676"/>
      <c r="AK217" s="676"/>
      <c r="AL217" s="676"/>
      <c r="AM217" s="676"/>
      <c r="AN217" s="676"/>
      <c r="AO217" s="676"/>
      <c r="AP217" s="676"/>
      <c r="AQ217" s="676"/>
      <c r="AR217" s="676"/>
      <c r="AS217" s="676"/>
      <c r="AT217" s="676"/>
      <c r="AU217" s="676"/>
      <c r="AV217" s="676"/>
      <c r="AW217" s="676"/>
      <c r="AX217" s="676"/>
      <c r="AY217" s="676"/>
      <c r="BC217" s="12" t="s">
        <v>561</v>
      </c>
      <c r="CR217" s="25"/>
    </row>
    <row r="218" spans="1:96" ht="13.2">
      <c r="A218" s="50"/>
      <c r="C218" s="50"/>
      <c r="D218" s="7" t="s">
        <v>1085</v>
      </c>
      <c r="AA218" s="714"/>
      <c r="AB218" s="714"/>
      <c r="AC218" s="714"/>
      <c r="AD218" s="714"/>
      <c r="AE218" s="714"/>
      <c r="AF218" s="714"/>
      <c r="AG218" s="676"/>
      <c r="AH218" s="714"/>
      <c r="AI218" s="714"/>
      <c r="AJ218" s="676"/>
      <c r="AK218" s="676"/>
      <c r="AL218" s="676"/>
      <c r="AM218" s="676"/>
      <c r="AN218" s="676"/>
      <c r="AO218" s="676"/>
      <c r="AP218" s="676"/>
      <c r="AQ218" s="676"/>
      <c r="AR218" s="676"/>
      <c r="AS218" s="676"/>
      <c r="AT218" s="676"/>
      <c r="AU218" s="676"/>
      <c r="AV218" s="676"/>
      <c r="AW218" s="676"/>
      <c r="AX218" s="676"/>
      <c r="AY218" s="676"/>
      <c r="AZ218" s="714"/>
      <c r="BC218" s="12" t="s">
        <v>562</v>
      </c>
    </row>
    <row r="219" spans="1:96" s="39" customFormat="1" ht="12.75" customHeight="1">
      <c r="A219" s="50"/>
      <c r="B219" s="12"/>
      <c r="C219" s="50"/>
      <c r="D219" s="2197" t="s">
        <v>1181</v>
      </c>
      <c r="E219" s="2197"/>
      <c r="F219" s="2197"/>
      <c r="G219" s="2197"/>
      <c r="H219" s="2197"/>
      <c r="I219" s="2197"/>
      <c r="J219" s="2197"/>
      <c r="K219" s="2197"/>
      <c r="L219" s="2197"/>
      <c r="M219" s="2197"/>
      <c r="N219" s="2197"/>
      <c r="O219" s="2197"/>
      <c r="P219" s="2197"/>
      <c r="Q219" s="2197"/>
      <c r="R219" s="2197"/>
      <c r="S219" s="2197"/>
      <c r="T219" s="2197"/>
      <c r="U219" s="2197"/>
      <c r="V219" s="2197"/>
      <c r="W219" s="2197"/>
      <c r="X219" s="2197"/>
      <c r="Y219" s="2197"/>
      <c r="Z219" s="2197"/>
      <c r="AA219" s="714"/>
      <c r="AB219" s="714"/>
      <c r="AC219" s="714"/>
      <c r="AD219" s="714"/>
      <c r="AE219" s="714"/>
      <c r="AF219" s="714"/>
      <c r="AG219" s="676"/>
      <c r="AH219" s="714"/>
      <c r="AI219" s="714"/>
      <c r="AJ219" s="676"/>
      <c r="AK219" s="676"/>
      <c r="AL219" s="676"/>
      <c r="AM219" s="676"/>
      <c r="AN219" s="676"/>
      <c r="AO219" s="676"/>
      <c r="AP219" s="676"/>
      <c r="AQ219" s="676"/>
      <c r="AR219" s="676"/>
      <c r="AS219" s="676"/>
      <c r="AT219" s="676"/>
      <c r="AU219" s="676"/>
      <c r="AV219" s="676"/>
      <c r="AW219" s="676"/>
      <c r="AX219" s="676"/>
      <c r="AY219" s="676"/>
      <c r="AZ219" s="239"/>
      <c r="BA219" s="239"/>
      <c r="BC219" s="12" t="s">
        <v>395</v>
      </c>
      <c r="CR219" s="676"/>
    </row>
    <row r="220" spans="1:96" ht="13.2">
      <c r="A220" s="50"/>
      <c r="B220" s="51"/>
      <c r="C220" s="50"/>
      <c r="AA220" s="714"/>
      <c r="AB220" s="714"/>
      <c r="AC220" s="714"/>
      <c r="AD220" s="714"/>
      <c r="AE220" s="714"/>
      <c r="AF220" s="714"/>
      <c r="AG220" s="676"/>
      <c r="AH220" s="714"/>
      <c r="AI220" s="714"/>
      <c r="AJ220" s="676"/>
      <c r="AK220" s="676"/>
      <c r="AL220" s="676"/>
      <c r="AM220" s="676"/>
      <c r="AN220" s="676"/>
      <c r="AO220" s="676"/>
      <c r="AP220" s="676"/>
      <c r="AQ220" s="676"/>
      <c r="AR220" s="676"/>
      <c r="AS220" s="676"/>
      <c r="AT220" s="676"/>
      <c r="AU220" s="676"/>
      <c r="AV220" s="676"/>
      <c r="AW220" s="676"/>
      <c r="AX220" s="676"/>
      <c r="AY220" s="676"/>
      <c r="BA220" s="58"/>
      <c r="BC220" s="12" t="s">
        <v>308</v>
      </c>
    </row>
    <row r="221" spans="1:96" ht="13.2">
      <c r="A221" s="2080" t="s">
        <v>573</v>
      </c>
      <c r="B221" s="2080"/>
      <c r="C221" s="2080"/>
      <c r="D221" s="2080"/>
      <c r="E221" s="2080"/>
      <c r="F221" s="2080"/>
      <c r="G221" s="2080"/>
      <c r="H221" s="2080"/>
      <c r="I221" s="2080"/>
      <c r="J221" s="2080"/>
      <c r="K221" s="2080"/>
      <c r="L221" s="2080"/>
      <c r="M221" s="2080"/>
      <c r="N221" s="2080"/>
      <c r="O221" s="2080"/>
      <c r="P221" s="2080"/>
      <c r="Q221" s="2080"/>
      <c r="R221" s="2080"/>
      <c r="S221" s="2080"/>
      <c r="T221" s="2080"/>
      <c r="U221" s="2080"/>
      <c r="V221" s="2080"/>
      <c r="W221" s="2080"/>
      <c r="X221" s="2080"/>
      <c r="Y221" s="2080"/>
      <c r="Z221" s="2080"/>
      <c r="AA221" s="2080"/>
      <c r="AB221" s="2080"/>
      <c r="AC221" s="2080"/>
      <c r="AD221" s="2080"/>
      <c r="AE221" s="2080"/>
      <c r="AF221" s="2080"/>
      <c r="AG221" s="2080"/>
      <c r="AH221" s="2080"/>
      <c r="AI221" s="2080"/>
      <c r="AJ221" s="2080"/>
      <c r="AK221" s="2080"/>
      <c r="AL221" s="2080"/>
      <c r="AM221" s="144"/>
      <c r="AN221" s="144"/>
      <c r="AO221" s="144"/>
      <c r="AP221" s="144"/>
      <c r="AQ221" s="144"/>
      <c r="AR221" s="144"/>
      <c r="AS221" s="144"/>
      <c r="AT221" s="144"/>
      <c r="AU221" s="144"/>
      <c r="AV221" s="144"/>
      <c r="AW221" s="144"/>
      <c r="AX221" s="144"/>
      <c r="AY221" s="144"/>
      <c r="BA221" s="58"/>
    </row>
    <row r="222" spans="1:96" ht="13.8" thickBot="1">
      <c r="A222" s="2081"/>
      <c r="B222" s="2081"/>
      <c r="C222" s="2081"/>
      <c r="D222" s="2081"/>
      <c r="E222" s="2081"/>
      <c r="F222" s="2081"/>
      <c r="G222" s="2081"/>
      <c r="H222" s="2081"/>
      <c r="I222" s="2081"/>
      <c r="J222" s="2081"/>
      <c r="K222" s="2081"/>
      <c r="L222" s="2081"/>
      <c r="M222" s="2081"/>
      <c r="N222" s="2081"/>
      <c r="O222" s="2081"/>
      <c r="P222" s="2081"/>
      <c r="Q222" s="2081"/>
      <c r="R222" s="2081"/>
      <c r="S222" s="2081"/>
      <c r="T222" s="2081"/>
      <c r="U222" s="2081"/>
      <c r="V222" s="2081"/>
      <c r="W222" s="2081"/>
      <c r="X222" s="2081"/>
      <c r="Y222" s="2081"/>
      <c r="Z222" s="2081"/>
      <c r="AA222" s="2081"/>
      <c r="AB222" s="2081"/>
      <c r="AC222" s="2081"/>
      <c r="AD222" s="2081"/>
      <c r="AE222" s="2081"/>
      <c r="AF222" s="2081"/>
      <c r="AG222" s="2081"/>
      <c r="AH222" s="2081"/>
      <c r="AI222" s="2081"/>
      <c r="AJ222" s="2081"/>
      <c r="AK222" s="2081"/>
      <c r="AL222" s="2081"/>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5" t="s">
        <v>626</v>
      </c>
      <c r="AJ225" s="2035"/>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5" t="s">
        <v>626</v>
      </c>
      <c r="AJ226" s="2035"/>
      <c r="AL226" s="58"/>
      <c r="AM226" s="239"/>
      <c r="AN226" s="239"/>
      <c r="AO226" s="239"/>
      <c r="AP226" s="239"/>
      <c r="AQ226" s="239"/>
      <c r="AR226" s="239"/>
      <c r="AS226" s="239"/>
      <c r="AT226" s="239"/>
      <c r="AU226" s="239"/>
      <c r="AV226" s="239"/>
      <c r="AW226" s="239"/>
      <c r="AX226" s="239"/>
      <c r="AY226" s="239"/>
      <c r="AZ226" s="7"/>
      <c r="BB226" s="377" t="s">
        <v>571</v>
      </c>
      <c r="BG226" s="384">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5" t="s">
        <v>578</v>
      </c>
      <c r="AJ227" s="2035"/>
      <c r="AL227" s="58"/>
      <c r="AM227" s="239"/>
      <c r="AN227" s="239"/>
      <c r="AO227" s="239"/>
      <c r="AP227" s="239"/>
      <c r="AQ227" s="239"/>
      <c r="AR227" s="239"/>
      <c r="AS227" s="239"/>
      <c r="AT227" s="239"/>
      <c r="AU227" s="239"/>
      <c r="AV227" s="239"/>
      <c r="AW227" s="239"/>
      <c r="AX227" s="239"/>
      <c r="AY227" s="239"/>
      <c r="BA227" s="58"/>
      <c r="BB227" s="377" t="s">
        <v>571</v>
      </c>
      <c r="BG227" s="384">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5" t="s">
        <v>626</v>
      </c>
      <c r="AJ228" s="2035"/>
      <c r="AL228" s="58"/>
      <c r="AM228" s="239"/>
      <c r="AN228" s="239"/>
      <c r="AO228" s="239"/>
      <c r="AP228" s="239"/>
      <c r="AQ228" s="239"/>
      <c r="AR228" s="239"/>
      <c r="AS228" s="239"/>
      <c r="AT228" s="239"/>
      <c r="AU228" s="239"/>
      <c r="AV228" s="239"/>
      <c r="AW228" s="239"/>
      <c r="AX228" s="239"/>
      <c r="AY228" s="239"/>
      <c r="AZ228" s="7"/>
      <c r="BA228" s="58"/>
      <c r="BB228" s="378" t="s">
        <v>571</v>
      </c>
      <c r="BG228" s="384">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78" t="s">
        <v>571</v>
      </c>
      <c r="BG229" s="384">
        <f>IF(AND(AND($M$248="for profit",$M$256="nonprofit",$M$264="(select one)")),2,0)</f>
        <v>0</v>
      </c>
      <c r="BO229" s="61"/>
    </row>
    <row r="230" spans="1:69" ht="13.2">
      <c r="A230" s="50" t="s">
        <v>611</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78" t="s">
        <v>571</v>
      </c>
      <c r="BG230" s="383">
        <f>IF(AND(AND($M$248="nonprofit",$M$256="for profit",$M$264="(select one)")),2,0)</f>
        <v>0</v>
      </c>
      <c r="BO230" s="61"/>
    </row>
    <row r="231" spans="1:69" ht="13.2">
      <c r="D231" s="57" t="s">
        <v>503</v>
      </c>
      <c r="E231" s="57"/>
      <c r="F231" s="57"/>
      <c r="G231" s="57"/>
      <c r="H231" s="57"/>
      <c r="I231" s="57"/>
      <c r="J231" s="57"/>
      <c r="K231" s="7"/>
      <c r="M231" s="2228" t="str">
        <f>H16</f>
        <v xml:space="preserve">Mercy Housing California </v>
      </c>
      <c r="N231" s="2228"/>
      <c r="O231" s="2228"/>
      <c r="P231" s="2228"/>
      <c r="Q231" s="2228"/>
      <c r="R231" s="2228"/>
      <c r="S231" s="2228"/>
      <c r="T231" s="2228"/>
      <c r="U231" s="2228"/>
      <c r="V231" s="2228"/>
      <c r="W231" s="2228"/>
      <c r="X231" s="2228"/>
      <c r="Y231" s="2228"/>
      <c r="Z231" s="2228"/>
      <c r="AA231" s="2228"/>
      <c r="AB231" s="2228"/>
      <c r="AC231" s="2228"/>
      <c r="AD231" s="2228"/>
      <c r="AE231" s="2228"/>
      <c r="AF231" s="2228"/>
      <c r="AG231" s="2228"/>
      <c r="AH231" s="2228"/>
      <c r="AI231" s="2228"/>
      <c r="AJ231" s="2228"/>
      <c r="AK231" s="2228"/>
      <c r="BA231" s="58"/>
      <c r="BB231" s="379"/>
      <c r="BG231" s="382"/>
      <c r="BQ231" s="61"/>
    </row>
    <row r="232" spans="1:69" ht="13.2">
      <c r="D232" s="57" t="s">
        <v>90</v>
      </c>
      <c r="E232" s="57"/>
      <c r="F232" s="57"/>
      <c r="G232" s="57"/>
      <c r="H232" s="57"/>
      <c r="I232" s="57"/>
      <c r="J232" s="57"/>
      <c r="K232" s="7"/>
      <c r="M232" s="2198" t="s">
        <v>2529</v>
      </c>
      <c r="N232" s="2197"/>
      <c r="O232" s="2197"/>
      <c r="P232" s="2197"/>
      <c r="Q232" s="2197"/>
      <c r="R232" s="2197"/>
      <c r="S232" s="2197"/>
      <c r="T232" s="2197"/>
      <c r="U232" s="2197"/>
      <c r="V232" s="2197"/>
      <c r="W232" s="2197"/>
      <c r="X232" s="2197"/>
      <c r="Y232" s="2197"/>
      <c r="Z232" s="2197"/>
      <c r="AA232" s="2197"/>
      <c r="AB232" s="2197"/>
      <c r="AC232" s="2197"/>
      <c r="AD232" s="2197"/>
      <c r="AE232" s="2197"/>
      <c r="AZ232" s="7"/>
      <c r="BA232" s="58"/>
      <c r="BB232" s="333" t="s">
        <v>571</v>
      </c>
      <c r="BG232" s="384">
        <f>IF(AND(AND($M$248="nonprofit",$M$256="nonprofit",$M$264="for profit")),2,0)</f>
        <v>0</v>
      </c>
      <c r="BQ232" s="61"/>
    </row>
    <row r="233" spans="1:69" ht="13.2">
      <c r="D233" s="57" t="s">
        <v>615</v>
      </c>
      <c r="E233" s="57"/>
      <c r="M233" s="2198" t="s">
        <v>2519</v>
      </c>
      <c r="N233" s="2197"/>
      <c r="O233" s="2197"/>
      <c r="P233" s="2197"/>
      <c r="Q233" s="2197"/>
      <c r="R233" s="2197"/>
      <c r="S233" s="2197"/>
      <c r="T233" s="2197"/>
      <c r="V233" s="59" t="s">
        <v>91</v>
      </c>
      <c r="W233" s="2160" t="s">
        <v>2530</v>
      </c>
      <c r="X233" s="2026"/>
      <c r="Y233" s="57" t="s">
        <v>618</v>
      </c>
      <c r="AC233" s="2197">
        <v>95833</v>
      </c>
      <c r="AD233" s="2197"/>
      <c r="AE233" s="2197"/>
      <c r="BB233" s="333" t="s">
        <v>571</v>
      </c>
      <c r="BG233" s="384">
        <f>IF(AND(AND($M$248="nonprofit",$M$256="for profit",$M$264="nonprofit")),2,0)</f>
        <v>0</v>
      </c>
    </row>
    <row r="234" spans="1:69" ht="13.2">
      <c r="D234" s="60" t="s">
        <v>92</v>
      </c>
      <c r="E234" s="7"/>
      <c r="F234" s="7"/>
      <c r="G234" s="7"/>
      <c r="H234" s="7"/>
      <c r="I234" s="7"/>
      <c r="J234" s="7"/>
      <c r="K234" s="29"/>
      <c r="M234" s="2198" t="s">
        <v>2531</v>
      </c>
      <c r="N234" s="2197"/>
      <c r="O234" s="2197"/>
      <c r="P234" s="2197"/>
      <c r="Q234" s="2197"/>
      <c r="R234" s="2197"/>
      <c r="S234" s="2197"/>
      <c r="T234" s="2197"/>
      <c r="U234" s="2197"/>
      <c r="V234" s="2197"/>
      <c r="W234" s="2197"/>
      <c r="X234" s="2197"/>
      <c r="Y234" s="2197"/>
      <c r="Z234" s="2197"/>
      <c r="AA234" s="2197"/>
      <c r="AB234" s="2197"/>
      <c r="AC234" s="2197"/>
      <c r="AD234" s="2197"/>
      <c r="AE234" s="2197"/>
      <c r="AI234" s="7"/>
      <c r="AJ234" s="7"/>
      <c r="AK234" s="7"/>
      <c r="AL234" s="7"/>
      <c r="AM234" s="130"/>
      <c r="AN234" s="130"/>
      <c r="AO234" s="130"/>
      <c r="AP234" s="130"/>
      <c r="AQ234" s="130"/>
      <c r="AR234" s="130"/>
      <c r="AS234" s="130"/>
      <c r="AT234" s="130"/>
      <c r="AU234" s="130"/>
      <c r="AV234" s="130"/>
      <c r="AW234" s="130"/>
      <c r="AX234" s="130"/>
      <c r="AY234" s="130"/>
      <c r="AZ234" s="7"/>
      <c r="BB234" s="333" t="s">
        <v>571</v>
      </c>
      <c r="BG234" s="383">
        <f>IF(AND(AND($M$248="for profit",$M$256="nonprofit",$M$264="nonprofit")),2,0)</f>
        <v>0</v>
      </c>
      <c r="BO234" s="61"/>
    </row>
    <row r="235" spans="1:69" ht="13.2">
      <c r="D235" s="60" t="s">
        <v>93</v>
      </c>
      <c r="E235" s="7"/>
      <c r="F235" s="7"/>
      <c r="M235" s="2159" t="s">
        <v>2532</v>
      </c>
      <c r="N235" s="2060"/>
      <c r="O235" s="2060"/>
      <c r="P235" s="2060"/>
      <c r="Q235" s="2060"/>
      <c r="R235" s="2060"/>
      <c r="S235" s="7" t="s">
        <v>212</v>
      </c>
      <c r="T235" s="7"/>
      <c r="U235" s="2026"/>
      <c r="V235" s="2026"/>
      <c r="W235" s="2026"/>
      <c r="X235" s="7" t="s">
        <v>94</v>
      </c>
      <c r="Z235" s="2060"/>
      <c r="AA235" s="2060"/>
      <c r="AB235" s="2060"/>
      <c r="AC235" s="2060"/>
      <c r="AD235" s="2060"/>
      <c r="AE235" s="2060"/>
      <c r="BB235" s="380"/>
      <c r="BG235" s="381"/>
    </row>
    <row r="236" spans="1:69" ht="13.2">
      <c r="D236" s="60" t="s">
        <v>95</v>
      </c>
      <c r="E236" s="7"/>
      <c r="F236" s="7"/>
      <c r="M236" s="2201" t="s">
        <v>2533</v>
      </c>
      <c r="N236" s="2201"/>
      <c r="O236" s="2201"/>
      <c r="P236" s="2201"/>
      <c r="Q236" s="2201"/>
      <c r="R236" s="2201"/>
      <c r="S236" s="2201"/>
      <c r="T236" s="2201"/>
      <c r="U236" s="2201"/>
      <c r="V236" s="2201"/>
      <c r="W236" s="2201"/>
      <c r="X236" s="2201"/>
      <c r="Y236" s="2201"/>
      <c r="Z236" s="2201"/>
      <c r="AA236" s="2201"/>
      <c r="AB236" s="2201"/>
      <c r="AC236" s="2201"/>
      <c r="AD236" s="2201"/>
      <c r="AE236" s="220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8" t="s">
        <v>570</v>
      </c>
      <c r="BG236" s="384">
        <f>IF(AND(AND($M$248="nonprofit",$M$256="nonprofit",$M$264="(select one)")),1,0)</f>
        <v>0</v>
      </c>
    </row>
    <row r="237" spans="1:69" ht="13.2">
      <c r="A237" s="50" t="s">
        <v>621</v>
      </c>
      <c r="C237" s="37" t="s">
        <v>558</v>
      </c>
      <c r="M237" s="2038" t="s">
        <v>395</v>
      </c>
      <c r="N237" s="2038"/>
      <c r="O237" s="2038"/>
      <c r="P237" s="2038"/>
      <c r="Q237" s="2038"/>
      <c r="R237" s="2038"/>
      <c r="S237" s="2038"/>
      <c r="T237" s="2038"/>
      <c r="U237" s="382" t="s">
        <v>973</v>
      </c>
      <c r="V237" s="324"/>
      <c r="W237" s="324"/>
      <c r="X237" s="324"/>
      <c r="Y237" s="324"/>
      <c r="Z237" s="324"/>
      <c r="AA237" s="2218" t="s">
        <v>2534</v>
      </c>
      <c r="AB237" s="2211"/>
      <c r="AC237" s="2211"/>
      <c r="AD237" s="2211"/>
      <c r="AE237" s="2211"/>
      <c r="AF237" s="2211"/>
      <c r="AG237" s="2211"/>
      <c r="AH237" s="2211"/>
      <c r="AI237" s="2211"/>
      <c r="AJ237" s="2211"/>
      <c r="AK237" s="2211"/>
      <c r="AL237" s="58"/>
      <c r="AM237" s="239"/>
      <c r="AN237" s="239"/>
      <c r="AO237" s="239"/>
      <c r="AP237" s="239"/>
      <c r="AQ237" s="239"/>
      <c r="AR237" s="239"/>
      <c r="AS237" s="239"/>
      <c r="AT237" s="239"/>
      <c r="AU237" s="239"/>
      <c r="AV237" s="239"/>
      <c r="AW237" s="239"/>
      <c r="AX237" s="239"/>
      <c r="AY237" s="239"/>
      <c r="BB237" s="378" t="s">
        <v>570</v>
      </c>
      <c r="BG237" s="384">
        <f>IF(AND(AND($M$248="nonprofit",$M$256="nonprofit",$M$264="nonprofit")),1,0)</f>
        <v>0</v>
      </c>
    </row>
    <row r="238" spans="1:69" ht="13.2">
      <c r="D238" s="12" t="s">
        <v>564</v>
      </c>
      <c r="M238" s="2036"/>
      <c r="N238" s="2036"/>
      <c r="O238" s="2036"/>
      <c r="P238" s="2036"/>
      <c r="Q238" s="2036"/>
      <c r="R238" s="2036"/>
      <c r="S238" s="2036"/>
      <c r="T238" s="2036"/>
      <c r="U238" s="2036"/>
      <c r="V238" s="2036"/>
      <c r="W238" s="2036"/>
      <c r="X238" s="2036"/>
      <c r="Y238" s="2036"/>
      <c r="Z238" s="2036"/>
      <c r="AA238" s="2036"/>
      <c r="AB238" s="2036"/>
      <c r="AC238" s="2036"/>
      <c r="AD238" s="2036"/>
      <c r="AE238" s="203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78" t="s">
        <v>570</v>
      </c>
      <c r="BG238" s="384">
        <f>IF(AND(AND($M$248="nonprofit",$M$256="(select one)",$M$264="(select one)")),1,0)</f>
        <v>1</v>
      </c>
      <c r="BN238" s="61"/>
    </row>
    <row r="239" spans="1:69" ht="13.2">
      <c r="D239" s="60"/>
      <c r="K239" s="3"/>
      <c r="BB239" s="378" t="s">
        <v>940</v>
      </c>
      <c r="BG239" s="384">
        <f>IF(AND(AND($M$248="for profit",$M$256="for profit",$M$264="(select one)")),3,0)</f>
        <v>0</v>
      </c>
    </row>
    <row r="240" spans="1:69" ht="13.2">
      <c r="A240" s="50" t="s">
        <v>624</v>
      </c>
      <c r="C240" s="50" t="s">
        <v>1381</v>
      </c>
      <c r="D240" s="60"/>
      <c r="K240" s="3"/>
      <c r="L240" s="14"/>
      <c r="M240" s="14"/>
      <c r="N240" s="14"/>
      <c r="BB240" s="378" t="s">
        <v>940</v>
      </c>
      <c r="BG240" s="384">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78" t="s">
        <v>940</v>
      </c>
      <c r="BG241" s="384">
        <f>IF(AND(AND($M$248="for profit",$M$256="(select one)",$M$264="(select one)")),3,0)</f>
        <v>0</v>
      </c>
    </row>
    <row r="242" spans="1:72" ht="13.2">
      <c r="A242" s="29"/>
      <c r="B242" s="7"/>
      <c r="C242" s="136" t="s">
        <v>506</v>
      </c>
      <c r="D242" s="57" t="s">
        <v>565</v>
      </c>
      <c r="E242" s="57"/>
      <c r="F242" s="57"/>
      <c r="G242" s="57"/>
      <c r="H242" s="57"/>
      <c r="I242" s="57"/>
      <c r="J242" s="57"/>
      <c r="K242" s="57"/>
      <c r="L242" s="7"/>
      <c r="M242" s="2209" t="s">
        <v>2670</v>
      </c>
      <c r="N242" s="2210"/>
      <c r="O242" s="2210"/>
      <c r="P242" s="2210"/>
      <c r="Q242" s="2210"/>
      <c r="R242" s="2210"/>
      <c r="S242" s="2210"/>
      <c r="T242" s="2210"/>
      <c r="U242" s="2210"/>
      <c r="V242" s="2210"/>
      <c r="W242" s="2210"/>
      <c r="X242" s="2210"/>
      <c r="Y242" s="2210"/>
      <c r="Z242" s="2210"/>
      <c r="AA242" s="2210"/>
      <c r="AB242" s="2210"/>
      <c r="AC242" s="2210"/>
      <c r="AD242" s="2210"/>
      <c r="AE242" s="2210"/>
      <c r="AF242" s="2210" t="s">
        <v>2636</v>
      </c>
      <c r="AG242" s="2210"/>
      <c r="AH242" s="2210"/>
      <c r="AI242" s="2210"/>
      <c r="AJ242" s="2210"/>
      <c r="AK242" s="2210"/>
      <c r="BM242" s="25"/>
      <c r="BN242" s="3"/>
      <c r="BO242" s="385"/>
      <c r="BP242" s="375"/>
      <c r="BQ242" s="375"/>
      <c r="BR242" s="375"/>
      <c r="BS242" s="375"/>
      <c r="BT242" s="25"/>
    </row>
    <row r="243" spans="1:72" ht="13.2">
      <c r="A243" s="29"/>
      <c r="B243" s="7"/>
      <c r="C243" s="7"/>
      <c r="D243" s="57" t="s">
        <v>90</v>
      </c>
      <c r="E243" s="57"/>
      <c r="F243" s="57"/>
      <c r="G243" s="57"/>
      <c r="H243" s="57"/>
      <c r="I243" s="57"/>
      <c r="J243" s="57"/>
      <c r="K243" s="57"/>
      <c r="L243" s="7"/>
      <c r="M243" s="2198" t="s">
        <v>2637</v>
      </c>
      <c r="N243" s="2197"/>
      <c r="O243" s="2197"/>
      <c r="P243" s="2197"/>
      <c r="Q243" s="2197"/>
      <c r="R243" s="2197"/>
      <c r="S243" s="2197"/>
      <c r="T243" s="2197"/>
      <c r="U243" s="2197"/>
      <c r="V243" s="2197"/>
      <c r="W243" s="2197"/>
      <c r="X243" s="2197"/>
      <c r="Y243" s="2197"/>
      <c r="Z243" s="2197"/>
      <c r="AA243" s="2197"/>
      <c r="AB243" s="2197"/>
      <c r="AC243" s="2197"/>
      <c r="AD243" s="2197"/>
      <c r="AE243" s="2197"/>
      <c r="AF243" s="58" t="s">
        <v>1377</v>
      </c>
      <c r="AG243" s="714"/>
      <c r="AH243" s="714"/>
      <c r="AI243" s="714"/>
      <c r="AJ243" s="714"/>
      <c r="AK243" s="714"/>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615</v>
      </c>
      <c r="E244" s="57"/>
      <c r="M244" s="2198" t="s">
        <v>771</v>
      </c>
      <c r="N244" s="2197"/>
      <c r="O244" s="2197"/>
      <c r="P244" s="2197"/>
      <c r="Q244" s="2197"/>
      <c r="R244" s="2197"/>
      <c r="S244" s="2197"/>
      <c r="T244" s="2197"/>
      <c r="V244" s="59" t="s">
        <v>91</v>
      </c>
      <c r="W244" s="2160" t="s">
        <v>2535</v>
      </c>
      <c r="X244" s="2026"/>
      <c r="Y244" s="57" t="s">
        <v>618</v>
      </c>
      <c r="AC244" s="2197">
        <v>94102</v>
      </c>
      <c r="AD244" s="2197"/>
      <c r="AE244" s="2197"/>
      <c r="AF244" s="58" t="s">
        <v>1378</v>
      </c>
      <c r="AG244" s="714"/>
      <c r="AH244" s="714"/>
      <c r="AI244" s="714"/>
      <c r="AJ244" s="714"/>
      <c r="AK244" s="714"/>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2198" t="s">
        <v>2638</v>
      </c>
      <c r="N245" s="2197"/>
      <c r="O245" s="2197"/>
      <c r="P245" s="2197"/>
      <c r="Q245" s="2197"/>
      <c r="R245" s="2197"/>
      <c r="S245" s="2197"/>
      <c r="T245" s="2197"/>
      <c r="U245" s="2197"/>
      <c r="V245" s="2197"/>
      <c r="W245" s="2197"/>
      <c r="X245" s="2197"/>
      <c r="Y245" s="2197"/>
      <c r="Z245" s="2197"/>
      <c r="AA245" s="2197"/>
      <c r="AB245" s="2197"/>
      <c r="AC245" s="2197"/>
      <c r="AD245" s="2197"/>
      <c r="AE245" s="2197"/>
      <c r="AH245" s="2101">
        <v>0.01</v>
      </c>
      <c r="AI245" s="2101"/>
      <c r="AJ245" s="2101"/>
      <c r="AK245" s="2101"/>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76" t="str">
        <f>VLOOKUP(BG243,BG244:BH246,2,FALSE)</f>
        <v>Nonprofit</v>
      </c>
    </row>
    <row r="246" spans="1:72" ht="13.2">
      <c r="A246" s="29"/>
      <c r="B246" s="7"/>
      <c r="C246" s="7"/>
      <c r="D246" s="60" t="s">
        <v>93</v>
      </c>
      <c r="E246" s="7"/>
      <c r="F246" s="7"/>
      <c r="M246" s="2159" t="s">
        <v>2639</v>
      </c>
      <c r="N246" s="2060"/>
      <c r="O246" s="2060"/>
      <c r="P246" s="2060"/>
      <c r="Q246" s="2060"/>
      <c r="R246" s="2060"/>
      <c r="S246" s="7" t="s">
        <v>212</v>
      </c>
      <c r="T246" s="7"/>
      <c r="U246" s="2160" t="s">
        <v>2640</v>
      </c>
      <c r="V246" s="2026"/>
      <c r="W246" s="2026"/>
      <c r="X246" s="7" t="s">
        <v>94</v>
      </c>
      <c r="Z246" s="2060">
        <v>9164144490</v>
      </c>
      <c r="AA246" s="2060"/>
      <c r="AB246" s="2060"/>
      <c r="AC246" s="2060"/>
      <c r="AD246" s="2060"/>
      <c r="AE246" s="2060"/>
      <c r="BB246" s="7" t="s">
        <v>178</v>
      </c>
      <c r="BG246" s="12">
        <v>3</v>
      </c>
      <c r="BH246" s="12" t="s">
        <v>569</v>
      </c>
      <c r="BN246" s="385"/>
      <c r="BO246" s="39"/>
    </row>
    <row r="247" spans="1:72" ht="13.2">
      <c r="A247" s="29"/>
      <c r="B247" s="7"/>
      <c r="C247" s="7"/>
      <c r="D247" s="60" t="s">
        <v>95</v>
      </c>
      <c r="E247" s="7"/>
      <c r="F247" s="7"/>
      <c r="M247" s="2201" t="s">
        <v>2533</v>
      </c>
      <c r="N247" s="2201"/>
      <c r="O247" s="2201"/>
      <c r="P247" s="2201"/>
      <c r="Q247" s="2201"/>
      <c r="R247" s="2201"/>
      <c r="S247" s="2201"/>
      <c r="T247" s="2201"/>
      <c r="U247" s="2201"/>
      <c r="V247" s="2201"/>
      <c r="W247" s="2201"/>
      <c r="X247" s="2201"/>
      <c r="Y247" s="2201"/>
      <c r="Z247" s="2201"/>
      <c r="AA247" s="2201"/>
      <c r="AB247" s="2201"/>
      <c r="AC247" s="2201"/>
      <c r="AD247" s="2201"/>
      <c r="AE247" s="220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2038" t="s">
        <v>567</v>
      </c>
      <c r="N248" s="2038"/>
      <c r="O248" s="2038"/>
      <c r="P248" s="2038"/>
      <c r="Q248" s="2038"/>
      <c r="R248" s="2038"/>
      <c r="S248" s="2038"/>
      <c r="T248" s="2038"/>
      <c r="U248" s="382" t="s">
        <v>973</v>
      </c>
      <c r="V248" s="324"/>
      <c r="W248" s="324"/>
      <c r="X248" s="324"/>
      <c r="Y248" s="324"/>
      <c r="Z248" s="324"/>
      <c r="AA248" s="2218" t="s">
        <v>2623</v>
      </c>
      <c r="AB248" s="2211"/>
      <c r="AC248" s="2211"/>
      <c r="AD248" s="2211"/>
      <c r="AE248" s="2211"/>
      <c r="AF248" s="2211"/>
      <c r="AG248" s="2211"/>
      <c r="AH248" s="2211"/>
      <c r="AI248" s="2211"/>
      <c r="AJ248" s="2211"/>
      <c r="AK248" s="2211"/>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1032</v>
      </c>
      <c r="E250" s="57"/>
      <c r="F250" s="57"/>
      <c r="G250" s="57"/>
      <c r="H250" s="57"/>
      <c r="I250" s="57"/>
      <c r="J250" s="57"/>
      <c r="K250" s="57"/>
      <c r="L250" s="7"/>
      <c r="M250" s="2210"/>
      <c r="N250" s="2210"/>
      <c r="O250" s="2210"/>
      <c r="P250" s="2210"/>
      <c r="Q250" s="2210"/>
      <c r="R250" s="2210"/>
      <c r="S250" s="2210"/>
      <c r="T250" s="2210"/>
      <c r="U250" s="2210"/>
      <c r="V250" s="2210"/>
      <c r="W250" s="2210"/>
      <c r="X250" s="2210"/>
      <c r="Y250" s="2210"/>
      <c r="Z250" s="2210"/>
      <c r="AA250" s="2210"/>
      <c r="AB250" s="2210"/>
      <c r="AC250" s="2210"/>
      <c r="AD250" s="2210"/>
      <c r="AE250" s="2210"/>
      <c r="AF250" s="2210" t="s">
        <v>316</v>
      </c>
      <c r="AG250" s="2210"/>
      <c r="AH250" s="2210"/>
      <c r="AI250" s="2210"/>
      <c r="AJ250" s="2210"/>
      <c r="AK250" s="2210"/>
      <c r="BN250" s="61"/>
    </row>
    <row r="251" spans="1:72" ht="13.2">
      <c r="A251" s="29"/>
      <c r="B251" s="7"/>
      <c r="C251" s="7"/>
      <c r="D251" s="57" t="s">
        <v>90</v>
      </c>
      <c r="E251" s="57"/>
      <c r="F251" s="57"/>
      <c r="G251" s="57"/>
      <c r="H251" s="57"/>
      <c r="I251" s="57"/>
      <c r="J251" s="57"/>
      <c r="K251" s="57"/>
      <c r="L251" s="7"/>
      <c r="M251" s="2197"/>
      <c r="N251" s="2197"/>
      <c r="O251" s="2197"/>
      <c r="P251" s="2197"/>
      <c r="Q251" s="2197"/>
      <c r="R251" s="2197"/>
      <c r="S251" s="2197"/>
      <c r="T251" s="2197"/>
      <c r="U251" s="2197"/>
      <c r="V251" s="2197"/>
      <c r="W251" s="2197"/>
      <c r="X251" s="2197"/>
      <c r="Y251" s="2197"/>
      <c r="Z251" s="2197"/>
      <c r="AA251" s="2197"/>
      <c r="AB251" s="2197"/>
      <c r="AC251" s="2197"/>
      <c r="AD251" s="2197"/>
      <c r="AE251" s="2197"/>
      <c r="AF251" s="58" t="s">
        <v>1377</v>
      </c>
      <c r="AG251" s="714"/>
      <c r="AH251" s="714"/>
      <c r="AI251" s="714"/>
      <c r="AJ251" s="714"/>
      <c r="AK251" s="714"/>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197"/>
      <c r="N252" s="2197"/>
      <c r="O252" s="2197"/>
      <c r="P252" s="2197"/>
      <c r="Q252" s="2197"/>
      <c r="R252" s="2197"/>
      <c r="S252" s="2197"/>
      <c r="T252" s="2197"/>
      <c r="V252" s="59" t="s">
        <v>91</v>
      </c>
      <c r="W252" s="2026"/>
      <c r="X252" s="2026"/>
      <c r="Y252" s="57" t="s">
        <v>618</v>
      </c>
      <c r="AC252" s="2197"/>
      <c r="AD252" s="2197"/>
      <c r="AE252" s="2197"/>
      <c r="AF252" s="58" t="s">
        <v>1378</v>
      </c>
      <c r="AG252" s="714"/>
      <c r="AH252" s="714"/>
      <c r="AI252" s="714"/>
      <c r="AJ252" s="714"/>
      <c r="AK252" s="714"/>
      <c r="BN252" s="61"/>
    </row>
    <row r="253" spans="1:72" ht="13.2">
      <c r="A253" s="29"/>
      <c r="B253" s="7"/>
      <c r="C253" s="7"/>
      <c r="D253" s="60" t="s">
        <v>92</v>
      </c>
      <c r="E253" s="7"/>
      <c r="F253" s="7"/>
      <c r="G253" s="7"/>
      <c r="H253" s="7"/>
      <c r="I253" s="7"/>
      <c r="J253" s="7"/>
      <c r="K253" s="7"/>
      <c r="L253" s="29"/>
      <c r="M253" s="2197"/>
      <c r="N253" s="2197"/>
      <c r="O253" s="2197"/>
      <c r="P253" s="2197"/>
      <c r="Q253" s="2197"/>
      <c r="R253" s="2197"/>
      <c r="S253" s="2197"/>
      <c r="T253" s="2197"/>
      <c r="U253" s="2197"/>
      <c r="V253" s="2197"/>
      <c r="W253" s="2197"/>
      <c r="X253" s="2197"/>
      <c r="Y253" s="2197"/>
      <c r="Z253" s="2197"/>
      <c r="AA253" s="2197"/>
      <c r="AB253" s="2197"/>
      <c r="AC253" s="2197"/>
      <c r="AD253" s="2197"/>
      <c r="AE253" s="2197"/>
      <c r="AF253" s="714"/>
      <c r="AG253" s="714"/>
      <c r="AH253" s="2101"/>
      <c r="AI253" s="2101"/>
      <c r="AJ253" s="2101"/>
      <c r="AK253" s="2101"/>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60"/>
      <c r="N254" s="2060"/>
      <c r="O254" s="2060"/>
      <c r="P254" s="2060"/>
      <c r="Q254" s="2060"/>
      <c r="R254" s="2060"/>
      <c r="S254" s="7" t="s">
        <v>212</v>
      </c>
      <c r="T254" s="7"/>
      <c r="U254" s="2026"/>
      <c r="V254" s="2026"/>
      <c r="W254" s="2026"/>
      <c r="X254" s="7" t="s">
        <v>94</v>
      </c>
      <c r="Z254" s="2060"/>
      <c r="AA254" s="2060"/>
      <c r="AB254" s="2060"/>
      <c r="AC254" s="2060"/>
      <c r="AD254" s="2060"/>
      <c r="AE254" s="2060"/>
    </row>
    <row r="255" spans="1:72" ht="13.2">
      <c r="A255" s="29"/>
      <c r="B255" s="7"/>
      <c r="C255" s="7"/>
      <c r="D255" s="60" t="s">
        <v>95</v>
      </c>
      <c r="E255" s="7"/>
      <c r="F255" s="7"/>
      <c r="M255" s="2201"/>
      <c r="N255" s="2201"/>
      <c r="O255" s="2201"/>
      <c r="P255" s="2201"/>
      <c r="Q255" s="2201"/>
      <c r="R255" s="2201"/>
      <c r="S255" s="2201"/>
      <c r="T255" s="2201"/>
      <c r="U255" s="2201"/>
      <c r="V255" s="2201"/>
      <c r="W255" s="2201"/>
      <c r="X255" s="2201"/>
      <c r="Y255" s="2201"/>
      <c r="Z255" s="2201"/>
      <c r="AA255" s="2201"/>
      <c r="AB255" s="2201"/>
      <c r="AC255" s="2201"/>
      <c r="AD255" s="2201"/>
      <c r="AE255" s="220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2038" t="s">
        <v>316</v>
      </c>
      <c r="N256" s="2038"/>
      <c r="O256" s="2038"/>
      <c r="P256" s="2038"/>
      <c r="Q256" s="2038"/>
      <c r="R256" s="2038"/>
      <c r="S256" s="2038"/>
      <c r="T256" s="2038"/>
      <c r="U256" s="382" t="s">
        <v>973</v>
      </c>
      <c r="V256" s="324"/>
      <c r="W256" s="324"/>
      <c r="X256" s="324"/>
      <c r="Y256" s="324"/>
      <c r="Z256" s="324"/>
      <c r="AA256" s="2211"/>
      <c r="AB256" s="2211"/>
      <c r="AC256" s="2211"/>
      <c r="AD256" s="2211"/>
      <c r="AE256" s="2211"/>
      <c r="AF256" s="2211"/>
      <c r="AG256" s="2211"/>
      <c r="AH256" s="2211"/>
      <c r="AI256" s="2211"/>
      <c r="AJ256" s="2211"/>
      <c r="AK256" s="221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565</v>
      </c>
      <c r="E258" s="57"/>
      <c r="F258" s="57"/>
      <c r="G258" s="57"/>
      <c r="H258" s="57"/>
      <c r="I258" s="57"/>
      <c r="J258" s="57"/>
      <c r="K258" s="57"/>
      <c r="L258" s="7"/>
      <c r="M258" s="2210"/>
      <c r="N258" s="2210"/>
      <c r="O258" s="2210"/>
      <c r="P258" s="2210"/>
      <c r="Q258" s="2210"/>
      <c r="R258" s="2210"/>
      <c r="S258" s="2210"/>
      <c r="T258" s="2210"/>
      <c r="U258" s="2210"/>
      <c r="V258" s="2210"/>
      <c r="W258" s="2210"/>
      <c r="X258" s="2210"/>
      <c r="Y258" s="2210"/>
      <c r="Z258" s="2210"/>
      <c r="AA258" s="2210"/>
      <c r="AB258" s="2210"/>
      <c r="AC258" s="2210"/>
      <c r="AD258" s="2210"/>
      <c r="AE258" s="2210"/>
      <c r="AF258" s="2210" t="s">
        <v>316</v>
      </c>
      <c r="AG258" s="2210"/>
      <c r="AH258" s="2210"/>
      <c r="AI258" s="2210"/>
      <c r="AJ258" s="2210"/>
      <c r="AK258" s="221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97"/>
      <c r="N259" s="2197"/>
      <c r="O259" s="2197"/>
      <c r="P259" s="2197"/>
      <c r="Q259" s="2197"/>
      <c r="R259" s="2197"/>
      <c r="S259" s="2197"/>
      <c r="T259" s="2197"/>
      <c r="U259" s="2197"/>
      <c r="V259" s="2197"/>
      <c r="W259" s="2197"/>
      <c r="X259" s="2197"/>
      <c r="Y259" s="2197"/>
      <c r="Z259" s="2197"/>
      <c r="AA259" s="2197"/>
      <c r="AB259" s="2197"/>
      <c r="AC259" s="2197"/>
      <c r="AD259" s="2197"/>
      <c r="AE259" s="2197"/>
      <c r="AF259" s="58" t="s">
        <v>1377</v>
      </c>
      <c r="AG259" s="714"/>
      <c r="AH259" s="714"/>
      <c r="AI259" s="714"/>
      <c r="AJ259" s="714"/>
      <c r="AK259" s="714"/>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97"/>
      <c r="N260" s="2197"/>
      <c r="O260" s="2197"/>
      <c r="P260" s="2197"/>
      <c r="Q260" s="2197"/>
      <c r="R260" s="2197"/>
      <c r="S260" s="2197"/>
      <c r="T260" s="2197"/>
      <c r="V260" s="59" t="s">
        <v>91</v>
      </c>
      <c r="W260" s="2026"/>
      <c r="X260" s="2026"/>
      <c r="Y260" s="57" t="s">
        <v>618</v>
      </c>
      <c r="AC260" s="2197"/>
      <c r="AD260" s="2197"/>
      <c r="AE260" s="2197"/>
      <c r="AF260" s="58" t="s">
        <v>1378</v>
      </c>
      <c r="AG260" s="714"/>
      <c r="AH260" s="714"/>
      <c r="AI260" s="714"/>
      <c r="AJ260" s="714"/>
      <c r="AK260" s="714"/>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197"/>
      <c r="N261" s="2197"/>
      <c r="O261" s="2197"/>
      <c r="P261" s="2197"/>
      <c r="Q261" s="2197"/>
      <c r="R261" s="2197"/>
      <c r="S261" s="2197"/>
      <c r="T261" s="2197"/>
      <c r="U261" s="2197"/>
      <c r="V261" s="2197"/>
      <c r="W261" s="2197"/>
      <c r="X261" s="2197"/>
      <c r="Y261" s="2197"/>
      <c r="Z261" s="2197"/>
      <c r="AA261" s="2197"/>
      <c r="AB261" s="2197"/>
      <c r="AC261" s="2197"/>
      <c r="AD261" s="2197"/>
      <c r="AE261" s="2197"/>
      <c r="AF261" s="714"/>
      <c r="AG261" s="714"/>
      <c r="AH261" s="2101"/>
      <c r="AI261" s="2101"/>
      <c r="AJ261" s="2101"/>
      <c r="AK261" s="2101"/>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60"/>
      <c r="N262" s="2060"/>
      <c r="O262" s="2060"/>
      <c r="P262" s="2060"/>
      <c r="Q262" s="2060"/>
      <c r="R262" s="2060"/>
      <c r="S262" s="7" t="s">
        <v>212</v>
      </c>
      <c r="T262" s="7"/>
      <c r="U262" s="2026"/>
      <c r="V262" s="2026"/>
      <c r="W262" s="2026"/>
      <c r="X262" s="7" t="s">
        <v>94</v>
      </c>
      <c r="Z262" s="2060"/>
      <c r="AA262" s="2060"/>
      <c r="AB262" s="2060"/>
      <c r="AC262" s="2060"/>
      <c r="AD262" s="2060"/>
      <c r="AE262" s="2060"/>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01"/>
      <c r="N263" s="2201"/>
      <c r="O263" s="2201"/>
      <c r="P263" s="2201"/>
      <c r="Q263" s="2201"/>
      <c r="R263" s="2201"/>
      <c r="S263" s="2201"/>
      <c r="T263" s="2201"/>
      <c r="U263" s="2201"/>
      <c r="V263" s="2201"/>
      <c r="W263" s="2201"/>
      <c r="X263" s="2201"/>
      <c r="Y263" s="2201"/>
      <c r="Z263" s="2201"/>
      <c r="AA263" s="2213"/>
      <c r="AB263" s="2213"/>
      <c r="AC263" s="2213"/>
      <c r="AD263" s="2213"/>
      <c r="AE263" s="221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2038" t="s">
        <v>316</v>
      </c>
      <c r="N264" s="2038"/>
      <c r="O264" s="2038"/>
      <c r="P264" s="2038"/>
      <c r="Q264" s="2038"/>
      <c r="R264" s="2038"/>
      <c r="S264" s="2038"/>
      <c r="T264" s="2038"/>
      <c r="U264" s="382" t="s">
        <v>973</v>
      </c>
      <c r="V264" s="324"/>
      <c r="W264" s="324"/>
      <c r="X264" s="324"/>
      <c r="Y264" s="324"/>
      <c r="Z264" s="324"/>
      <c r="AA264" s="2226"/>
      <c r="AB264" s="2226"/>
      <c r="AC264" s="2226"/>
      <c r="AD264" s="2226"/>
      <c r="AE264" s="2226"/>
      <c r="AF264" s="2226"/>
      <c r="AG264" s="2226"/>
      <c r="AH264" s="2226"/>
      <c r="AI264" s="2226"/>
      <c r="AJ264" s="2226"/>
      <c r="AK264" s="2226"/>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239" t="str">
        <f>BO245</f>
        <v>Nonprofit</v>
      </c>
      <c r="U266" s="2239"/>
      <c r="V266" s="2239"/>
      <c r="W266" s="2239"/>
      <c r="X266" s="2239"/>
      <c r="Z266" s="475" t="s">
        <v>1031</v>
      </c>
      <c r="AA266" s="476"/>
      <c r="AB266" s="476"/>
      <c r="AC266" s="476"/>
      <c r="AD266" s="161"/>
      <c r="AE266" s="161"/>
      <c r="AF266" s="161"/>
      <c r="AG266" s="161"/>
      <c r="AH266" s="161"/>
      <c r="AI266" s="161"/>
      <c r="AJ266" s="161"/>
      <c r="AK266" s="477"/>
      <c r="AL266" s="94"/>
      <c r="AM266" s="676"/>
      <c r="AN266" s="676"/>
      <c r="AO266" s="676"/>
      <c r="AP266" s="676"/>
      <c r="AQ266" s="676"/>
      <c r="AR266" s="676"/>
      <c r="AS266" s="676"/>
      <c r="AT266" s="676"/>
      <c r="AU266" s="676"/>
      <c r="AV266" s="676"/>
      <c r="AW266" s="676"/>
      <c r="AX266" s="676"/>
      <c r="AY266" s="676"/>
      <c r="BN266" s="61"/>
    </row>
    <row r="267" spans="1:66" ht="13.2">
      <c r="A267" s="50"/>
      <c r="B267" s="7"/>
      <c r="C267" s="50"/>
      <c r="I267" s="7"/>
      <c r="J267" s="7"/>
      <c r="K267" s="7"/>
      <c r="L267" s="7"/>
      <c r="M267" s="147"/>
      <c r="N267" s="147"/>
      <c r="O267" s="147"/>
      <c r="P267" s="147"/>
      <c r="Q267" s="147"/>
      <c r="T267" s="7"/>
      <c r="U267" s="7"/>
      <c r="V267" s="7"/>
      <c r="W267" s="62"/>
      <c r="Z267" s="478" t="s">
        <v>866</v>
      </c>
      <c r="AA267" s="25"/>
      <c r="AB267" s="25"/>
      <c r="AC267" s="25"/>
      <c r="AD267" s="25"/>
      <c r="AE267" s="25"/>
      <c r="AF267" s="57"/>
      <c r="AG267" s="57"/>
      <c r="AH267" s="57"/>
      <c r="AI267" s="57"/>
      <c r="AJ267" s="57"/>
      <c r="AK267" s="25"/>
      <c r="AL267" s="101"/>
      <c r="AM267" s="676"/>
      <c r="AN267" s="676"/>
      <c r="AO267" s="676"/>
      <c r="AP267" s="676"/>
      <c r="AQ267" s="676"/>
      <c r="AR267" s="676"/>
      <c r="AS267" s="676"/>
      <c r="AT267" s="676"/>
      <c r="AU267" s="676"/>
      <c r="AV267" s="676"/>
      <c r="AW267" s="676"/>
      <c r="AX267" s="676"/>
      <c r="AY267" s="676"/>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79" t="s">
        <v>1030</v>
      </c>
      <c r="AA268" s="80"/>
      <c r="AB268" s="80"/>
      <c r="AC268" s="80"/>
      <c r="AD268" s="80"/>
      <c r="AE268" s="80"/>
      <c r="AF268" s="160"/>
      <c r="AG268" s="160"/>
      <c r="AH268" s="160"/>
      <c r="AI268" s="160"/>
      <c r="AJ268" s="160"/>
      <c r="AK268" s="80"/>
      <c r="AL268" s="81"/>
      <c r="AM268" s="676"/>
      <c r="AN268" s="676"/>
      <c r="AO268" s="676"/>
      <c r="AP268" s="676"/>
      <c r="AQ268" s="676"/>
      <c r="AR268" s="676"/>
      <c r="AS268" s="676"/>
      <c r="AT268" s="676"/>
      <c r="AU268" s="676"/>
      <c r="AV268" s="676"/>
      <c r="AW268" s="676"/>
      <c r="AX268" s="676"/>
      <c r="AY268" s="676"/>
      <c r="BN268" s="61"/>
    </row>
    <row r="269" spans="1:66" ht="13.2">
      <c r="A269" s="57"/>
      <c r="B269" s="63">
        <v>0</v>
      </c>
      <c r="D269" s="2197" t="s">
        <v>178</v>
      </c>
      <c r="E269" s="2197"/>
      <c r="F269" s="2197"/>
      <c r="G269" s="2197"/>
      <c r="H269" s="2197"/>
      <c r="J269" s="12" t="s">
        <v>285</v>
      </c>
      <c r="X269" s="2212">
        <v>44456</v>
      </c>
      <c r="Y269" s="2212"/>
      <c r="Z269" s="2212"/>
      <c r="AA269" s="2212"/>
      <c r="AB269" s="2212"/>
      <c r="AC269" s="2212"/>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209" t="s">
        <v>2517</v>
      </c>
      <c r="M273" s="2210"/>
      <c r="N273" s="2210"/>
      <c r="O273" s="2210"/>
      <c r="P273" s="2210"/>
      <c r="Q273" s="2210"/>
      <c r="R273" s="2210"/>
      <c r="S273" s="2210"/>
      <c r="T273" s="2210"/>
      <c r="U273" s="2210"/>
      <c r="V273" s="2210"/>
      <c r="W273" s="2210"/>
      <c r="X273" s="2210"/>
      <c r="Y273" s="2210"/>
      <c r="Z273" s="2210"/>
      <c r="AA273" s="2210"/>
      <c r="AB273" s="2210"/>
      <c r="AC273" s="2210"/>
      <c r="AD273" s="2210"/>
      <c r="AE273" s="2210"/>
      <c r="AF273" s="2210"/>
      <c r="AG273" s="2210"/>
      <c r="AH273" s="2210"/>
      <c r="AI273" s="2210"/>
      <c r="AJ273" s="2210"/>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198" t="s">
        <v>2529</v>
      </c>
      <c r="M274" s="2197"/>
      <c r="N274" s="2197"/>
      <c r="O274" s="2197"/>
      <c r="P274" s="2197"/>
      <c r="Q274" s="2197"/>
      <c r="R274" s="2197"/>
      <c r="S274" s="2197"/>
      <c r="T274" s="2197"/>
      <c r="U274" s="2197"/>
      <c r="V274" s="2197"/>
      <c r="W274" s="2197"/>
      <c r="X274" s="2197"/>
      <c r="Y274" s="2197"/>
      <c r="Z274" s="2197"/>
      <c r="AA274" s="2197"/>
      <c r="AB274" s="2197"/>
      <c r="AC274" s="2197"/>
      <c r="AD274" s="2197"/>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2198" t="s">
        <v>2519</v>
      </c>
      <c r="M275" s="2197"/>
      <c r="N275" s="2197"/>
      <c r="O275" s="2197"/>
      <c r="P275" s="2197"/>
      <c r="Q275" s="2197"/>
      <c r="R275" s="2197"/>
      <c r="S275" s="2197"/>
      <c r="U275" s="59" t="s">
        <v>91</v>
      </c>
      <c r="V275" s="2160" t="s">
        <v>2535</v>
      </c>
      <c r="W275" s="2026"/>
      <c r="X275" s="57" t="s">
        <v>618</v>
      </c>
      <c r="AB275" s="2197">
        <v>95833</v>
      </c>
      <c r="AC275" s="2197"/>
      <c r="AD275" s="219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98" t="s">
        <v>2531</v>
      </c>
      <c r="M276" s="2197"/>
      <c r="N276" s="2197"/>
      <c r="O276" s="2197"/>
      <c r="P276" s="2197"/>
      <c r="Q276" s="2197"/>
      <c r="R276" s="2197"/>
      <c r="S276" s="2197"/>
      <c r="T276" s="2197"/>
      <c r="U276" s="2197"/>
      <c r="V276" s="2197"/>
      <c r="W276" s="2197"/>
      <c r="X276" s="2197"/>
      <c r="Y276" s="2197"/>
      <c r="Z276" s="2197"/>
      <c r="AA276" s="2197"/>
      <c r="AB276" s="2197"/>
      <c r="AC276" s="2197"/>
      <c r="AD276" s="2197"/>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59" t="s">
        <v>2532</v>
      </c>
      <c r="M277" s="2060"/>
      <c r="N277" s="2060"/>
      <c r="O277" s="2060"/>
      <c r="P277" s="2060"/>
      <c r="Q277" s="2060"/>
      <c r="R277" s="7" t="s">
        <v>212</v>
      </c>
      <c r="S277" s="7"/>
      <c r="T277" s="2026"/>
      <c r="U277" s="2026"/>
      <c r="V277" s="2026"/>
      <c r="W277" s="7" t="s">
        <v>94</v>
      </c>
      <c r="Y277" s="2060"/>
      <c r="Z277" s="2060"/>
      <c r="AA277" s="2060"/>
      <c r="AB277" s="2060"/>
      <c r="AC277" s="2060"/>
      <c r="AD277" s="2060"/>
      <c r="BN277" s="61"/>
    </row>
    <row r="278" spans="1:66" ht="13.2">
      <c r="D278" s="60" t="s">
        <v>95</v>
      </c>
      <c r="E278" s="7"/>
      <c r="F278" s="7"/>
      <c r="L278" s="2201" t="s">
        <v>2533</v>
      </c>
      <c r="M278" s="2201"/>
      <c r="N278" s="2201"/>
      <c r="O278" s="2201"/>
      <c r="P278" s="2201"/>
      <c r="Q278" s="2201"/>
      <c r="R278" s="2201"/>
      <c r="S278" s="2201"/>
      <c r="T278" s="2201"/>
      <c r="U278" s="2201"/>
      <c r="V278" s="2201"/>
      <c r="W278" s="2201"/>
      <c r="X278" s="2201"/>
      <c r="Y278" s="2201"/>
      <c r="Z278" s="2201"/>
      <c r="AA278" s="2201"/>
      <c r="AB278" s="2201"/>
      <c r="AC278" s="2201"/>
      <c r="AD278" s="2201"/>
      <c r="AF278" s="7"/>
      <c r="AG278" s="7"/>
      <c r="AH278" s="7"/>
      <c r="AI278" s="7"/>
      <c r="AJ278" s="7"/>
      <c r="BN278" s="61"/>
    </row>
    <row r="279" spans="1:66" ht="13.2">
      <c r="D279" s="58" t="s">
        <v>658</v>
      </c>
      <c r="E279" s="58"/>
      <c r="F279" s="58"/>
      <c r="G279" s="58"/>
      <c r="H279" s="58"/>
      <c r="I279" s="58"/>
      <c r="L279" s="2160" t="s">
        <v>2536</v>
      </c>
      <c r="M279" s="2160"/>
      <c r="N279" s="2160"/>
      <c r="O279" s="2160"/>
      <c r="P279" s="2160"/>
      <c r="Q279" s="2160"/>
      <c r="R279" s="2160"/>
      <c r="S279" s="2160"/>
      <c r="T279" s="2160"/>
      <c r="U279" s="2160"/>
      <c r="V279" s="2160"/>
      <c r="W279" s="2160"/>
      <c r="X279" s="2160"/>
      <c r="Y279" s="2160"/>
      <c r="Z279" s="2160"/>
      <c r="AA279" s="2160"/>
      <c r="AB279" s="2160"/>
      <c r="AC279" s="2160"/>
      <c r="AD279" s="2160"/>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080" t="s">
        <v>574</v>
      </c>
      <c r="B281" s="2080"/>
      <c r="C281" s="2080"/>
      <c r="D281" s="2080"/>
      <c r="E281" s="2080"/>
      <c r="F281" s="2080"/>
      <c r="G281" s="2080"/>
      <c r="H281" s="2080"/>
      <c r="I281" s="2080"/>
      <c r="J281" s="2080"/>
      <c r="K281" s="2080"/>
      <c r="L281" s="2080"/>
      <c r="M281" s="2080"/>
      <c r="N281" s="2080"/>
      <c r="O281" s="2080"/>
      <c r="P281" s="2080"/>
      <c r="Q281" s="2080"/>
      <c r="R281" s="2080"/>
      <c r="S281" s="2080"/>
      <c r="T281" s="2080"/>
      <c r="U281" s="2080"/>
      <c r="V281" s="2080"/>
      <c r="W281" s="2080"/>
      <c r="X281" s="2080"/>
      <c r="Y281" s="2080"/>
      <c r="Z281" s="2080"/>
      <c r="AA281" s="2080"/>
      <c r="AB281" s="2080"/>
      <c r="AC281" s="2080"/>
      <c r="AD281" s="2080"/>
      <c r="AE281" s="2080"/>
      <c r="AF281" s="2080"/>
      <c r="AG281" s="2080"/>
      <c r="AH281" s="2080"/>
      <c r="AI281" s="2080"/>
      <c r="AJ281" s="2080"/>
      <c r="AK281" s="2080"/>
      <c r="AL281" s="2080"/>
      <c r="AM281" s="144"/>
      <c r="AN281" s="144"/>
      <c r="AO281" s="144"/>
      <c r="AP281" s="144"/>
      <c r="AQ281" s="144"/>
      <c r="AR281" s="144"/>
      <c r="AS281" s="144"/>
      <c r="AT281" s="144"/>
      <c r="AU281" s="144"/>
      <c r="AV281" s="144"/>
      <c r="AW281" s="144"/>
      <c r="AX281" s="144"/>
      <c r="AY281" s="144"/>
      <c r="BN281" s="61"/>
    </row>
    <row r="282" spans="1:66" ht="13.8" thickBot="1">
      <c r="A282" s="2081"/>
      <c r="B282" s="2081"/>
      <c r="C282" s="2081"/>
      <c r="D282" s="2081"/>
      <c r="E282" s="2081"/>
      <c r="F282" s="2081"/>
      <c r="G282" s="2081"/>
      <c r="H282" s="2081"/>
      <c r="I282" s="2081"/>
      <c r="J282" s="2081"/>
      <c r="K282" s="2081"/>
      <c r="L282" s="2081"/>
      <c r="M282" s="2081"/>
      <c r="N282" s="2081"/>
      <c r="O282" s="2081"/>
      <c r="P282" s="2081"/>
      <c r="Q282" s="2081"/>
      <c r="R282" s="2081"/>
      <c r="S282" s="2081"/>
      <c r="T282" s="2081"/>
      <c r="U282" s="2081"/>
      <c r="V282" s="2081"/>
      <c r="W282" s="2081"/>
      <c r="X282" s="2081"/>
      <c r="Y282" s="2081"/>
      <c r="Z282" s="2081"/>
      <c r="AA282" s="2081"/>
      <c r="AB282" s="2081"/>
      <c r="AC282" s="2081"/>
      <c r="AD282" s="2081"/>
      <c r="AE282" s="2081"/>
      <c r="AF282" s="2081"/>
      <c r="AG282" s="2081"/>
      <c r="AH282" s="2081"/>
      <c r="AI282" s="2081"/>
      <c r="AJ282" s="2081"/>
      <c r="AK282" s="2081"/>
      <c r="AL282" s="2081"/>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2036" t="s">
        <v>2517</v>
      </c>
      <c r="I286" s="2036"/>
      <c r="J286" s="2036"/>
      <c r="K286" s="2036"/>
      <c r="L286" s="2036"/>
      <c r="M286" s="2036"/>
      <c r="N286" s="2036"/>
      <c r="O286" s="2036"/>
      <c r="P286" s="2036"/>
      <c r="Q286" s="2036"/>
      <c r="R286" s="2036"/>
      <c r="T286" s="58" t="s">
        <v>600</v>
      </c>
      <c r="V286" s="58"/>
      <c r="W286" s="58"/>
      <c r="X286" s="58"/>
      <c r="Y286" s="58"/>
      <c r="AA286" s="2036" t="s">
        <v>2540</v>
      </c>
      <c r="AB286" s="2036"/>
      <c r="AC286" s="2036"/>
      <c r="AD286" s="2036"/>
      <c r="AE286" s="2036"/>
      <c r="AF286" s="2036"/>
      <c r="AG286" s="2036"/>
      <c r="AH286" s="2036"/>
      <c r="AI286" s="2036"/>
      <c r="AJ286" s="2036"/>
      <c r="AK286" s="2036"/>
      <c r="BN286" s="61"/>
    </row>
    <row r="287" spans="1:66" ht="13.2">
      <c r="B287" s="58" t="s">
        <v>504</v>
      </c>
      <c r="C287" s="58"/>
      <c r="D287" s="58"/>
      <c r="E287" s="58"/>
      <c r="F287" s="58"/>
      <c r="H287" s="2038" t="s">
        <v>2537</v>
      </c>
      <c r="I287" s="2038"/>
      <c r="J287" s="2038"/>
      <c r="K287" s="2038"/>
      <c r="L287" s="2038"/>
      <c r="M287" s="2038"/>
      <c r="N287" s="2038"/>
      <c r="O287" s="2038"/>
      <c r="P287" s="2038"/>
      <c r="Q287" s="2038"/>
      <c r="R287" s="2038"/>
      <c r="T287" s="58" t="s">
        <v>504</v>
      </c>
      <c r="V287" s="58"/>
      <c r="W287" s="58"/>
      <c r="X287" s="58"/>
      <c r="Y287" s="58"/>
      <c r="AA287" s="2038" t="s">
        <v>2541</v>
      </c>
      <c r="AB287" s="2038"/>
      <c r="AC287" s="2038"/>
      <c r="AD287" s="2038"/>
      <c r="AE287" s="2038"/>
      <c r="AF287" s="2038"/>
      <c r="AG287" s="2038"/>
      <c r="AH287" s="2038"/>
      <c r="AI287" s="2038"/>
      <c r="AJ287" s="2038"/>
      <c r="AK287" s="2038"/>
      <c r="BN287" s="61"/>
    </row>
    <row r="288" spans="1:66" ht="13.2">
      <c r="B288" s="58" t="s">
        <v>505</v>
      </c>
      <c r="C288" s="58"/>
      <c r="D288" s="58"/>
      <c r="E288" s="58"/>
      <c r="F288" s="58"/>
      <c r="H288" s="2038" t="s">
        <v>2538</v>
      </c>
      <c r="I288" s="2038"/>
      <c r="J288" s="2038"/>
      <c r="K288" s="2038"/>
      <c r="L288" s="2038"/>
      <c r="M288" s="2038"/>
      <c r="N288" s="2038"/>
      <c r="O288" s="2038"/>
      <c r="P288" s="2038"/>
      <c r="Q288" s="2038"/>
      <c r="R288" s="2038"/>
      <c r="T288" s="58" t="s">
        <v>79</v>
      </c>
      <c r="V288" s="58"/>
      <c r="W288" s="58"/>
      <c r="X288" s="58"/>
      <c r="Y288" s="58"/>
      <c r="AA288" s="2038" t="s">
        <v>2542</v>
      </c>
      <c r="AB288" s="2038"/>
      <c r="AC288" s="2038"/>
      <c r="AD288" s="2038"/>
      <c r="AE288" s="2038"/>
      <c r="AF288" s="2038"/>
      <c r="AG288" s="2038"/>
      <c r="AH288" s="2038"/>
      <c r="AI288" s="2038"/>
      <c r="AJ288" s="2038"/>
      <c r="AK288" s="2038"/>
      <c r="BN288" s="61"/>
    </row>
    <row r="289" spans="2:66" ht="12.75" customHeight="1">
      <c r="B289" s="58" t="s">
        <v>92</v>
      </c>
      <c r="C289" s="58"/>
      <c r="D289" s="58"/>
      <c r="E289" s="58"/>
      <c r="F289" s="58"/>
      <c r="H289" s="2038" t="s">
        <v>2531</v>
      </c>
      <c r="I289" s="2038"/>
      <c r="J289" s="2038"/>
      <c r="K289" s="2038"/>
      <c r="L289" s="2038"/>
      <c r="M289" s="2038"/>
      <c r="N289" s="2038"/>
      <c r="O289" s="2038"/>
      <c r="P289" s="2038"/>
      <c r="Q289" s="2038"/>
      <c r="R289" s="2038"/>
      <c r="T289" s="58" t="s">
        <v>92</v>
      </c>
      <c r="V289" s="58"/>
      <c r="W289" s="58"/>
      <c r="X289" s="58"/>
      <c r="Y289" s="58"/>
      <c r="AA289" s="2038" t="s">
        <v>2543</v>
      </c>
      <c r="AB289" s="2038"/>
      <c r="AC289" s="2038"/>
      <c r="AD289" s="2038"/>
      <c r="AE289" s="2038"/>
      <c r="AF289" s="2038"/>
      <c r="AG289" s="2038"/>
      <c r="AH289" s="2038"/>
      <c r="AI289" s="2038"/>
      <c r="AJ289" s="2038"/>
      <c r="AK289" s="2038"/>
      <c r="BN289" s="61"/>
    </row>
    <row r="290" spans="2:66" ht="12.75" customHeight="1">
      <c r="B290" s="58" t="s">
        <v>93</v>
      </c>
      <c r="C290" s="58"/>
      <c r="D290" s="58"/>
      <c r="E290" s="58"/>
      <c r="F290" s="58"/>
      <c r="G290" s="58"/>
      <c r="H290" s="2185" t="s">
        <v>2532</v>
      </c>
      <c r="I290" s="2186"/>
      <c r="J290" s="2186"/>
      <c r="K290" s="2186"/>
      <c r="L290" s="2186"/>
      <c r="M290" s="2186"/>
      <c r="N290" s="7" t="s">
        <v>212</v>
      </c>
      <c r="O290" s="7"/>
      <c r="P290" s="2197"/>
      <c r="Q290" s="2197"/>
      <c r="R290" s="2197"/>
      <c r="S290" s="58"/>
      <c r="T290" s="58" t="s">
        <v>93</v>
      </c>
      <c r="V290" s="58"/>
      <c r="W290" s="58"/>
      <c r="X290" s="58"/>
      <c r="Y290" s="58"/>
      <c r="AA290" s="2185" t="s">
        <v>2544</v>
      </c>
      <c r="AB290" s="2186"/>
      <c r="AC290" s="2186"/>
      <c r="AD290" s="2186"/>
      <c r="AE290" s="2186"/>
      <c r="AF290" s="2186"/>
      <c r="AG290" s="7" t="s">
        <v>212</v>
      </c>
      <c r="AH290" s="7"/>
      <c r="AI290" s="2197"/>
      <c r="AJ290" s="2197"/>
      <c r="AK290" s="2197"/>
      <c r="BN290" s="61"/>
    </row>
    <row r="291" spans="2:66" ht="12.75" customHeight="1">
      <c r="B291" s="58" t="s">
        <v>94</v>
      </c>
      <c r="C291" s="58"/>
      <c r="D291" s="58"/>
      <c r="E291" s="58"/>
      <c r="F291" s="58"/>
      <c r="G291" s="58"/>
      <c r="H291" s="2060"/>
      <c r="I291" s="2060"/>
      <c r="J291" s="2060"/>
      <c r="K291" s="2060"/>
      <c r="L291" s="2060"/>
      <c r="M291" s="2060"/>
      <c r="N291" s="60"/>
      <c r="O291" s="60"/>
      <c r="P291" s="62"/>
      <c r="Q291" s="62"/>
      <c r="R291" s="62"/>
      <c r="S291" s="58"/>
      <c r="T291" s="58" t="s">
        <v>94</v>
      </c>
      <c r="V291" s="58"/>
      <c r="W291" s="58"/>
      <c r="X291" s="58"/>
      <c r="Y291" s="58"/>
      <c r="AA291" s="2060"/>
      <c r="AB291" s="2060"/>
      <c r="AC291" s="2060"/>
      <c r="AD291" s="2060"/>
      <c r="AE291" s="2060"/>
      <c r="AF291" s="2060"/>
      <c r="AG291" s="60"/>
      <c r="AH291" s="60"/>
      <c r="AI291" s="62"/>
      <c r="AJ291" s="62"/>
      <c r="AK291" s="62"/>
      <c r="BN291" s="61"/>
    </row>
    <row r="292" spans="2:66" ht="12.75" customHeight="1">
      <c r="B292" s="58" t="s">
        <v>80</v>
      </c>
      <c r="C292" s="58"/>
      <c r="D292" s="58"/>
      <c r="E292" s="58"/>
      <c r="F292" s="58"/>
      <c r="G292" s="58"/>
      <c r="H292" s="2038" t="s">
        <v>2539</v>
      </c>
      <c r="I292" s="2038"/>
      <c r="J292" s="2038"/>
      <c r="K292" s="2038"/>
      <c r="L292" s="2038"/>
      <c r="M292" s="2038"/>
      <c r="N292" s="2036"/>
      <c r="O292" s="2036"/>
      <c r="P292" s="2036"/>
      <c r="Q292" s="2036"/>
      <c r="R292" s="2036"/>
      <c r="S292" s="58"/>
      <c r="T292" s="58" t="s">
        <v>80</v>
      </c>
      <c r="V292" s="58"/>
      <c r="W292" s="58"/>
      <c r="X292" s="58"/>
      <c r="Y292" s="58"/>
      <c r="AA292" s="2038" t="s">
        <v>2545</v>
      </c>
      <c r="AB292" s="2038"/>
      <c r="AC292" s="2038"/>
      <c r="AD292" s="2038"/>
      <c r="AE292" s="2038"/>
      <c r="AF292" s="2038"/>
      <c r="AG292" s="2036"/>
      <c r="AH292" s="2036"/>
      <c r="AI292" s="2036"/>
      <c r="AJ292" s="2036"/>
      <c r="AK292" s="2036"/>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36" t="s">
        <v>2547</v>
      </c>
      <c r="I294" s="2036"/>
      <c r="J294" s="2036"/>
      <c r="K294" s="2036"/>
      <c r="L294" s="2036"/>
      <c r="M294" s="2036"/>
      <c r="N294" s="2036"/>
      <c r="O294" s="2036"/>
      <c r="P294" s="2036"/>
      <c r="Q294" s="2036"/>
      <c r="R294" s="2036"/>
      <c r="T294" s="58" t="s">
        <v>374</v>
      </c>
      <c r="V294" s="58"/>
      <c r="W294" s="58"/>
      <c r="X294" s="58"/>
      <c r="Y294" s="58"/>
      <c r="AA294" s="2036" t="s">
        <v>2546</v>
      </c>
      <c r="AB294" s="2036"/>
      <c r="AC294" s="2036"/>
      <c r="AD294" s="2036"/>
      <c r="AE294" s="2036"/>
      <c r="AF294" s="2036"/>
      <c r="AG294" s="2036"/>
      <c r="AH294" s="2036"/>
      <c r="AI294" s="2036"/>
      <c r="AJ294" s="2036"/>
      <c r="AK294" s="2036"/>
      <c r="BN294" s="61"/>
    </row>
    <row r="295" spans="2:66" ht="13.2">
      <c r="B295" s="58" t="s">
        <v>504</v>
      </c>
      <c r="C295" s="58"/>
      <c r="D295" s="58"/>
      <c r="E295" s="58"/>
      <c r="F295" s="58"/>
      <c r="H295" s="2038" t="s">
        <v>2548</v>
      </c>
      <c r="I295" s="2038"/>
      <c r="J295" s="2038"/>
      <c r="K295" s="2038"/>
      <c r="L295" s="2038"/>
      <c r="M295" s="2038"/>
      <c r="N295" s="2038"/>
      <c r="O295" s="2038"/>
      <c r="P295" s="2038"/>
      <c r="Q295" s="2038"/>
      <c r="R295" s="2038"/>
      <c r="T295" s="58" t="s">
        <v>504</v>
      </c>
      <c r="V295" s="58"/>
      <c r="W295" s="58"/>
      <c r="X295" s="58"/>
      <c r="Y295" s="58"/>
      <c r="AA295" s="2038"/>
      <c r="AB295" s="2038"/>
      <c r="AC295" s="2038"/>
      <c r="AD295" s="2038"/>
      <c r="AE295" s="2038"/>
      <c r="AF295" s="2038"/>
      <c r="AG295" s="2038"/>
      <c r="AH295" s="2038"/>
      <c r="AI295" s="2038"/>
      <c r="AJ295" s="2038"/>
      <c r="AK295" s="2038"/>
      <c r="BN295" s="61"/>
    </row>
    <row r="296" spans="2:66" ht="13.2">
      <c r="B296" s="58" t="s">
        <v>505</v>
      </c>
      <c r="C296" s="58"/>
      <c r="D296" s="58"/>
      <c r="E296" s="58"/>
      <c r="F296" s="58"/>
      <c r="H296" s="2038" t="s">
        <v>2549</v>
      </c>
      <c r="I296" s="2038"/>
      <c r="J296" s="2038"/>
      <c r="K296" s="2038"/>
      <c r="L296" s="2038"/>
      <c r="M296" s="2038"/>
      <c r="N296" s="2038"/>
      <c r="O296" s="2038"/>
      <c r="P296" s="2038"/>
      <c r="Q296" s="2038"/>
      <c r="R296" s="2038"/>
      <c r="T296" s="58" t="s">
        <v>79</v>
      </c>
      <c r="V296" s="58"/>
      <c r="W296" s="58"/>
      <c r="X296" s="58"/>
      <c r="Y296" s="58"/>
      <c r="AA296" s="2038"/>
      <c r="AB296" s="2038"/>
      <c r="AC296" s="2038"/>
      <c r="AD296" s="2038"/>
      <c r="AE296" s="2038"/>
      <c r="AF296" s="2038"/>
      <c r="AG296" s="2038"/>
      <c r="AH296" s="2038"/>
      <c r="AI296" s="2038"/>
      <c r="AJ296" s="2038"/>
      <c r="AK296" s="2038"/>
      <c r="BN296" s="61"/>
    </row>
    <row r="297" spans="2:66" ht="13.2">
      <c r="B297" s="58" t="s">
        <v>92</v>
      </c>
      <c r="C297" s="58"/>
      <c r="D297" s="58"/>
      <c r="E297" s="58"/>
      <c r="F297" s="58"/>
      <c r="H297" s="2038" t="s">
        <v>2550</v>
      </c>
      <c r="I297" s="2038"/>
      <c r="J297" s="2038"/>
      <c r="K297" s="2038"/>
      <c r="L297" s="2038"/>
      <c r="M297" s="2038"/>
      <c r="N297" s="2038"/>
      <c r="O297" s="2038"/>
      <c r="P297" s="2038"/>
      <c r="Q297" s="2038"/>
      <c r="R297" s="2038"/>
      <c r="T297" s="58" t="s">
        <v>92</v>
      </c>
      <c r="V297" s="58"/>
      <c r="W297" s="58"/>
      <c r="X297" s="58"/>
      <c r="Y297" s="58"/>
      <c r="AA297" s="2038"/>
      <c r="AB297" s="2038"/>
      <c r="AC297" s="2038"/>
      <c r="AD297" s="2038"/>
      <c r="AE297" s="2038"/>
      <c r="AF297" s="2038"/>
      <c r="AG297" s="2038"/>
      <c r="AH297" s="2038"/>
      <c r="AI297" s="2038"/>
      <c r="AJ297" s="2038"/>
      <c r="AK297" s="2038"/>
      <c r="BN297" s="61"/>
    </row>
    <row r="298" spans="2:66" ht="13.2">
      <c r="B298" s="58" t="s">
        <v>93</v>
      </c>
      <c r="C298" s="58"/>
      <c r="D298" s="58"/>
      <c r="E298" s="58"/>
      <c r="F298" s="58"/>
      <c r="G298" s="58"/>
      <c r="H298" s="2185" t="s">
        <v>2551</v>
      </c>
      <c r="I298" s="2186"/>
      <c r="J298" s="2186"/>
      <c r="K298" s="2186"/>
      <c r="L298" s="2186"/>
      <c r="M298" s="2186"/>
      <c r="N298" s="7" t="s">
        <v>212</v>
      </c>
      <c r="O298" s="7"/>
      <c r="P298" s="2197"/>
      <c r="Q298" s="2197"/>
      <c r="R298" s="2197"/>
      <c r="S298" s="58"/>
      <c r="T298" s="58" t="s">
        <v>93</v>
      </c>
      <c r="V298" s="58"/>
      <c r="W298" s="58"/>
      <c r="X298" s="58"/>
      <c r="Y298" s="58"/>
      <c r="AA298" s="2186"/>
      <c r="AB298" s="2186"/>
      <c r="AC298" s="2186"/>
      <c r="AD298" s="2186"/>
      <c r="AE298" s="2186"/>
      <c r="AF298" s="2186"/>
      <c r="AG298" s="7" t="s">
        <v>212</v>
      </c>
      <c r="AH298" s="7"/>
      <c r="AI298" s="2197"/>
      <c r="AJ298" s="2197"/>
      <c r="AK298" s="2197"/>
      <c r="BN298" s="61"/>
    </row>
    <row r="299" spans="2:66" ht="12.75" customHeight="1">
      <c r="B299" s="58" t="s">
        <v>94</v>
      </c>
      <c r="C299" s="58"/>
      <c r="D299" s="58"/>
      <c r="E299" s="58"/>
      <c r="F299" s="58"/>
      <c r="G299" s="58"/>
      <c r="H299" s="2159" t="s">
        <v>2552</v>
      </c>
      <c r="I299" s="2060"/>
      <c r="J299" s="2060"/>
      <c r="K299" s="2060"/>
      <c r="L299" s="2060"/>
      <c r="M299" s="2060"/>
      <c r="N299" s="60"/>
      <c r="O299" s="60"/>
      <c r="P299" s="62"/>
      <c r="Q299" s="62"/>
      <c r="R299" s="62"/>
      <c r="S299" s="58"/>
      <c r="T299" s="58" t="s">
        <v>94</v>
      </c>
      <c r="V299" s="58"/>
      <c r="W299" s="58"/>
      <c r="X299" s="58"/>
      <c r="Y299" s="58"/>
      <c r="AA299" s="2060"/>
      <c r="AB299" s="2060"/>
      <c r="AC299" s="2060"/>
      <c r="AD299" s="2060"/>
      <c r="AE299" s="2060"/>
      <c r="AF299" s="2060"/>
      <c r="AG299" s="60"/>
      <c r="AH299" s="60"/>
      <c r="AI299" s="62"/>
      <c r="AJ299" s="62"/>
      <c r="AK299" s="62"/>
      <c r="BN299" s="61"/>
    </row>
    <row r="300" spans="2:66" ht="12.75" customHeight="1">
      <c r="B300" s="58" t="s">
        <v>80</v>
      </c>
      <c r="C300" s="58"/>
      <c r="D300" s="58"/>
      <c r="E300" s="58"/>
      <c r="F300" s="58"/>
      <c r="G300" s="58"/>
      <c r="H300" s="2038" t="s">
        <v>2553</v>
      </c>
      <c r="I300" s="2038"/>
      <c r="J300" s="2038"/>
      <c r="K300" s="2038"/>
      <c r="L300" s="2038"/>
      <c r="M300" s="2038"/>
      <c r="N300" s="2036"/>
      <c r="O300" s="2036"/>
      <c r="P300" s="2036"/>
      <c r="Q300" s="2036"/>
      <c r="R300" s="2036"/>
      <c r="S300" s="58"/>
      <c r="T300" s="58" t="s">
        <v>80</v>
      </c>
      <c r="V300" s="58"/>
      <c r="W300" s="58"/>
      <c r="X300" s="58"/>
      <c r="Y300" s="58"/>
      <c r="AA300" s="2038"/>
      <c r="AB300" s="2038"/>
      <c r="AC300" s="2038"/>
      <c r="AD300" s="2038"/>
      <c r="AE300" s="2038"/>
      <c r="AF300" s="2038"/>
      <c r="AG300" s="2036"/>
      <c r="AH300" s="2036"/>
      <c r="AI300" s="2036"/>
      <c r="AJ300" s="2036"/>
      <c r="AK300" s="2036"/>
      <c r="BN300" s="61"/>
    </row>
    <row r="301" spans="2:66" ht="12.75" customHeight="1">
      <c r="BN301" s="61"/>
    </row>
    <row r="302" spans="2:66" ht="12.75" customHeight="1">
      <c r="B302" s="58" t="s">
        <v>81</v>
      </c>
      <c r="C302" s="58"/>
      <c r="D302" s="58"/>
      <c r="E302" s="58"/>
      <c r="F302" s="58"/>
      <c r="H302" s="2036" t="s">
        <v>2547</v>
      </c>
      <c r="I302" s="2036"/>
      <c r="J302" s="2036"/>
      <c r="K302" s="2036"/>
      <c r="L302" s="2036"/>
      <c r="M302" s="2036"/>
      <c r="N302" s="2036"/>
      <c r="O302" s="2036"/>
      <c r="P302" s="2036"/>
      <c r="Q302" s="2036"/>
      <c r="R302" s="2036"/>
      <c r="T302" s="7" t="s">
        <v>941</v>
      </c>
      <c r="V302" s="58"/>
      <c r="W302" s="58"/>
      <c r="X302" s="58"/>
      <c r="Y302" s="58"/>
      <c r="AA302" s="2036" t="s">
        <v>2641</v>
      </c>
      <c r="AB302" s="2036"/>
      <c r="AC302" s="2036"/>
      <c r="AD302" s="2036"/>
      <c r="AE302" s="2036"/>
      <c r="AF302" s="2036"/>
      <c r="AG302" s="2036"/>
      <c r="AH302" s="2036"/>
      <c r="AI302" s="2036"/>
      <c r="AJ302" s="2036"/>
      <c r="AK302" s="2036"/>
      <c r="BN302" s="61"/>
    </row>
    <row r="303" spans="2:66" ht="13.2">
      <c r="B303" s="58" t="s">
        <v>504</v>
      </c>
      <c r="C303" s="58"/>
      <c r="D303" s="58"/>
      <c r="E303" s="58"/>
      <c r="F303" s="58"/>
      <c r="H303" s="2038" t="s">
        <v>2560</v>
      </c>
      <c r="I303" s="2038"/>
      <c r="J303" s="2038"/>
      <c r="K303" s="2038"/>
      <c r="L303" s="2038"/>
      <c r="M303" s="2038"/>
      <c r="N303" s="2038"/>
      <c r="O303" s="2038"/>
      <c r="P303" s="2038"/>
      <c r="Q303" s="2038"/>
      <c r="R303" s="2038"/>
      <c r="T303" s="58" t="s">
        <v>504</v>
      </c>
      <c r="V303" s="58"/>
      <c r="W303" s="58"/>
      <c r="X303" s="58"/>
      <c r="Y303" s="58"/>
      <c r="AA303" s="2038" t="s">
        <v>2642</v>
      </c>
      <c r="AB303" s="2038"/>
      <c r="AC303" s="2038"/>
      <c r="AD303" s="2038"/>
      <c r="AE303" s="2038"/>
      <c r="AF303" s="2038"/>
      <c r="AG303" s="2038"/>
      <c r="AH303" s="2038"/>
      <c r="AI303" s="2038"/>
      <c r="AJ303" s="2038"/>
      <c r="AK303" s="2038"/>
      <c r="BN303" s="61"/>
    </row>
    <row r="304" spans="2:66" ht="13.2">
      <c r="B304" s="58" t="s">
        <v>505</v>
      </c>
      <c r="C304" s="58"/>
      <c r="D304" s="58"/>
      <c r="E304" s="58"/>
      <c r="F304" s="58"/>
      <c r="H304" s="2038" t="s">
        <v>2561</v>
      </c>
      <c r="I304" s="2038"/>
      <c r="J304" s="2038"/>
      <c r="K304" s="2038"/>
      <c r="L304" s="2038"/>
      <c r="M304" s="2038"/>
      <c r="N304" s="2038"/>
      <c r="O304" s="2038"/>
      <c r="P304" s="2038"/>
      <c r="Q304" s="2038"/>
      <c r="R304" s="2038"/>
      <c r="T304" s="58" t="s">
        <v>79</v>
      </c>
      <c r="V304" s="58"/>
      <c r="W304" s="58"/>
      <c r="X304" s="58"/>
      <c r="Y304" s="58"/>
      <c r="AA304" s="2038" t="s">
        <v>2643</v>
      </c>
      <c r="AB304" s="2038"/>
      <c r="AC304" s="2038"/>
      <c r="AD304" s="2038"/>
      <c r="AE304" s="2038"/>
      <c r="AF304" s="2038"/>
      <c r="AG304" s="2038"/>
      <c r="AH304" s="2038"/>
      <c r="AI304" s="2038"/>
      <c r="AJ304" s="2038"/>
      <c r="AK304" s="2038"/>
      <c r="BN304" s="61"/>
    </row>
    <row r="305" spans="2:66" ht="13.2">
      <c r="B305" s="58" t="s">
        <v>92</v>
      </c>
      <c r="C305" s="58"/>
      <c r="D305" s="58"/>
      <c r="E305" s="58"/>
      <c r="F305" s="58"/>
      <c r="H305" s="2038" t="s">
        <v>2550</v>
      </c>
      <c r="I305" s="2038"/>
      <c r="J305" s="2038"/>
      <c r="K305" s="2038"/>
      <c r="L305" s="2038"/>
      <c r="M305" s="2038"/>
      <c r="N305" s="2038"/>
      <c r="O305" s="2038"/>
      <c r="P305" s="2038"/>
      <c r="Q305" s="2038"/>
      <c r="R305" s="2038"/>
      <c r="T305" s="58" t="s">
        <v>92</v>
      </c>
      <c r="V305" s="58"/>
      <c r="W305" s="58"/>
      <c r="X305" s="58"/>
      <c r="Y305" s="58"/>
      <c r="AA305" s="2038" t="s">
        <v>2644</v>
      </c>
      <c r="AB305" s="2038"/>
      <c r="AC305" s="2038"/>
      <c r="AD305" s="2038"/>
      <c r="AE305" s="2038"/>
      <c r="AF305" s="2038"/>
      <c r="AG305" s="2038"/>
      <c r="AH305" s="2038"/>
      <c r="AI305" s="2038"/>
      <c r="AJ305" s="2038"/>
      <c r="AK305" s="2038"/>
      <c r="BN305" s="61"/>
    </row>
    <row r="306" spans="2:66" ht="13.2">
      <c r="B306" s="58" t="s">
        <v>93</v>
      </c>
      <c r="C306" s="58"/>
      <c r="D306" s="58"/>
      <c r="E306" s="58"/>
      <c r="F306" s="58"/>
      <c r="G306" s="58"/>
      <c r="H306" s="2185" t="s">
        <v>2551</v>
      </c>
      <c r="I306" s="2186"/>
      <c r="J306" s="2186"/>
      <c r="K306" s="2186"/>
      <c r="L306" s="2186"/>
      <c r="M306" s="2186"/>
      <c r="N306" s="7" t="s">
        <v>212</v>
      </c>
      <c r="O306" s="7"/>
      <c r="P306" s="2197"/>
      <c r="Q306" s="2197"/>
      <c r="R306" s="2197"/>
      <c r="S306" s="58"/>
      <c r="T306" s="58" t="s">
        <v>93</v>
      </c>
      <c r="V306" s="58"/>
      <c r="W306" s="58"/>
      <c r="X306" s="58"/>
      <c r="Y306" s="58"/>
      <c r="AA306" s="2185" t="s">
        <v>2645</v>
      </c>
      <c r="AB306" s="2186"/>
      <c r="AC306" s="2186"/>
      <c r="AD306" s="2186"/>
      <c r="AE306" s="2186"/>
      <c r="AF306" s="2186"/>
      <c r="AG306" s="7" t="s">
        <v>212</v>
      </c>
      <c r="AH306" s="7"/>
      <c r="AI306" s="2197"/>
      <c r="AJ306" s="2197"/>
      <c r="AK306" s="2197"/>
      <c r="BN306" s="61"/>
    </row>
    <row r="307" spans="2:66" ht="13.2">
      <c r="B307" s="58" t="s">
        <v>94</v>
      </c>
      <c r="C307" s="58"/>
      <c r="D307" s="58"/>
      <c r="E307" s="58"/>
      <c r="F307" s="58"/>
      <c r="G307" s="58"/>
      <c r="H307" s="2159" t="s">
        <v>2552</v>
      </c>
      <c r="I307" s="2060"/>
      <c r="J307" s="2060"/>
      <c r="K307" s="2060"/>
      <c r="L307" s="2060"/>
      <c r="M307" s="2060"/>
      <c r="N307" s="60"/>
      <c r="O307" s="60"/>
      <c r="P307" s="62"/>
      <c r="Q307" s="62"/>
      <c r="R307" s="62"/>
      <c r="S307" s="58"/>
      <c r="T307" s="58" t="s">
        <v>94</v>
      </c>
      <c r="V307" s="58"/>
      <c r="W307" s="58"/>
      <c r="X307" s="58"/>
      <c r="Y307" s="58"/>
      <c r="AA307" s="2060"/>
      <c r="AB307" s="2060"/>
      <c r="AC307" s="2060"/>
      <c r="AD307" s="2060"/>
      <c r="AE307" s="2060"/>
      <c r="AF307" s="2060"/>
      <c r="AG307" s="60"/>
      <c r="AH307" s="60"/>
      <c r="AI307" s="62"/>
      <c r="AJ307" s="62"/>
      <c r="AK307" s="62"/>
      <c r="BN307" s="61"/>
    </row>
    <row r="308" spans="2:66" ht="13.2">
      <c r="B308" s="58" t="s">
        <v>80</v>
      </c>
      <c r="C308" s="58"/>
      <c r="D308" s="58"/>
      <c r="E308" s="58"/>
      <c r="F308" s="58"/>
      <c r="G308" s="58"/>
      <c r="H308" s="2038" t="s">
        <v>2558</v>
      </c>
      <c r="I308" s="2038"/>
      <c r="J308" s="2038"/>
      <c r="K308" s="2038"/>
      <c r="L308" s="2038"/>
      <c r="M308" s="2038"/>
      <c r="N308" s="2036"/>
      <c r="O308" s="2036"/>
      <c r="P308" s="2036"/>
      <c r="Q308" s="2036"/>
      <c r="R308" s="2036"/>
      <c r="S308" s="58"/>
      <c r="T308" s="58" t="s">
        <v>80</v>
      </c>
      <c r="V308" s="58"/>
      <c r="W308" s="58"/>
      <c r="X308" s="58"/>
      <c r="Y308" s="58"/>
      <c r="AA308" s="2038" t="s">
        <v>2646</v>
      </c>
      <c r="AB308" s="2038"/>
      <c r="AC308" s="2038"/>
      <c r="AD308" s="2038"/>
      <c r="AE308" s="2038"/>
      <c r="AF308" s="2038"/>
      <c r="AG308" s="2036"/>
      <c r="AH308" s="2036"/>
      <c r="AI308" s="2036"/>
      <c r="AJ308" s="2036"/>
      <c r="AK308" s="2036"/>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974</v>
      </c>
      <c r="C310" s="58"/>
      <c r="D310" s="58"/>
      <c r="E310" s="58"/>
      <c r="F310" s="58"/>
      <c r="H310" s="2036" t="s">
        <v>2559</v>
      </c>
      <c r="I310" s="2036"/>
      <c r="J310" s="2036"/>
      <c r="K310" s="2036"/>
      <c r="L310" s="2036"/>
      <c r="M310" s="2036"/>
      <c r="N310" s="2036"/>
      <c r="O310" s="2036"/>
      <c r="P310" s="2036"/>
      <c r="Q310" s="2036"/>
      <c r="R310" s="2036"/>
      <c r="S310" s="58"/>
      <c r="T310" s="58" t="s">
        <v>375</v>
      </c>
      <c r="V310" s="58"/>
      <c r="W310" s="58"/>
      <c r="X310" s="58"/>
      <c r="Y310" s="58"/>
      <c r="AA310" s="2036" t="s">
        <v>2546</v>
      </c>
      <c r="AB310" s="2036"/>
      <c r="AC310" s="2036"/>
      <c r="AD310" s="2036"/>
      <c r="AE310" s="2036"/>
      <c r="AF310" s="2036"/>
      <c r="AG310" s="2036"/>
      <c r="AH310" s="2036"/>
      <c r="AI310" s="2036"/>
      <c r="AJ310" s="2036"/>
      <c r="AK310" s="2036"/>
      <c r="BN310" s="61"/>
    </row>
    <row r="311" spans="2:66" ht="13.2">
      <c r="B311" s="58" t="s">
        <v>504</v>
      </c>
      <c r="C311" s="58"/>
      <c r="D311" s="58"/>
      <c r="E311" s="58"/>
      <c r="F311" s="58"/>
      <c r="H311" s="2038" t="s">
        <v>2564</v>
      </c>
      <c r="I311" s="2038"/>
      <c r="J311" s="2038"/>
      <c r="K311" s="2038"/>
      <c r="L311" s="2038"/>
      <c r="M311" s="2038"/>
      <c r="N311" s="2038"/>
      <c r="O311" s="2038"/>
      <c r="P311" s="2038"/>
      <c r="Q311" s="2038"/>
      <c r="R311" s="2038"/>
      <c r="S311" s="58"/>
      <c r="T311" s="58" t="s">
        <v>504</v>
      </c>
      <c r="V311" s="58"/>
      <c r="W311" s="58"/>
      <c r="X311" s="58"/>
      <c r="Y311" s="58"/>
      <c r="AA311" s="2038"/>
      <c r="AB311" s="2038"/>
      <c r="AC311" s="2038"/>
      <c r="AD311" s="2038"/>
      <c r="AE311" s="2038"/>
      <c r="AF311" s="2038"/>
      <c r="AG311" s="2038"/>
      <c r="AH311" s="2038"/>
      <c r="AI311" s="2038"/>
      <c r="AJ311" s="2038"/>
      <c r="AK311" s="2038"/>
      <c r="BN311" s="61"/>
    </row>
    <row r="312" spans="2:66" ht="12.75" customHeight="1">
      <c r="B312" s="58" t="s">
        <v>505</v>
      </c>
      <c r="C312" s="58"/>
      <c r="D312" s="58"/>
      <c r="E312" s="58"/>
      <c r="F312" s="58"/>
      <c r="H312" s="2038" t="s">
        <v>2554</v>
      </c>
      <c r="I312" s="2038"/>
      <c r="J312" s="2038"/>
      <c r="K312" s="2038"/>
      <c r="L312" s="2038"/>
      <c r="M312" s="2038"/>
      <c r="N312" s="2038"/>
      <c r="O312" s="2038"/>
      <c r="P312" s="2038"/>
      <c r="Q312" s="2038"/>
      <c r="R312" s="2038"/>
      <c r="S312" s="58"/>
      <c r="T312" s="58" t="s">
        <v>79</v>
      </c>
      <c r="V312" s="58"/>
      <c r="W312" s="58"/>
      <c r="X312" s="58"/>
      <c r="Y312" s="58"/>
      <c r="AA312" s="2038"/>
      <c r="AB312" s="2038"/>
      <c r="AC312" s="2038"/>
      <c r="AD312" s="2038"/>
      <c r="AE312" s="2038"/>
      <c r="AF312" s="2038"/>
      <c r="AG312" s="2038"/>
      <c r="AH312" s="2038"/>
      <c r="AI312" s="2038"/>
      <c r="AJ312" s="2038"/>
      <c r="AK312" s="2038"/>
      <c r="BN312" s="61"/>
    </row>
    <row r="313" spans="2:66" ht="13.2">
      <c r="B313" s="58" t="s">
        <v>92</v>
      </c>
      <c r="C313" s="58"/>
      <c r="D313" s="58"/>
      <c r="E313" s="58"/>
      <c r="F313" s="58"/>
      <c r="H313" s="2038" t="s">
        <v>2555</v>
      </c>
      <c r="I313" s="2038"/>
      <c r="J313" s="2038"/>
      <c r="K313" s="2038"/>
      <c r="L313" s="2038"/>
      <c r="M313" s="2038"/>
      <c r="N313" s="2038"/>
      <c r="O313" s="2038"/>
      <c r="P313" s="2038"/>
      <c r="Q313" s="2038"/>
      <c r="R313" s="2038"/>
      <c r="S313" s="58"/>
      <c r="T313" s="58" t="s">
        <v>92</v>
      </c>
      <c r="V313" s="58"/>
      <c r="W313" s="58"/>
      <c r="X313" s="58"/>
      <c r="Y313" s="58"/>
      <c r="AA313" s="2038"/>
      <c r="AB313" s="2038"/>
      <c r="AC313" s="2038"/>
      <c r="AD313" s="2038"/>
      <c r="AE313" s="2038"/>
      <c r="AF313" s="2038"/>
      <c r="AG313" s="2038"/>
      <c r="AH313" s="2038"/>
      <c r="AI313" s="2038"/>
      <c r="AJ313" s="2038"/>
      <c r="AK313" s="2038"/>
      <c r="BN313" s="61"/>
    </row>
    <row r="314" spans="2:66" ht="13.2">
      <c r="B314" s="58" t="s">
        <v>93</v>
      </c>
      <c r="C314" s="58"/>
      <c r="D314" s="58"/>
      <c r="E314" s="58"/>
      <c r="F314" s="58"/>
      <c r="G314" s="58"/>
      <c r="H314" s="2185" t="s">
        <v>2556</v>
      </c>
      <c r="I314" s="2186"/>
      <c r="J314" s="2186"/>
      <c r="K314" s="2186"/>
      <c r="L314" s="2186"/>
      <c r="M314" s="2186"/>
      <c r="N314" s="7" t="s">
        <v>212</v>
      </c>
      <c r="O314" s="7"/>
      <c r="P314" s="2197"/>
      <c r="Q314" s="2197"/>
      <c r="R314" s="2197"/>
      <c r="S314" s="58"/>
      <c r="T314" s="58" t="s">
        <v>93</v>
      </c>
      <c r="V314" s="58"/>
      <c r="W314" s="58"/>
      <c r="X314" s="58"/>
      <c r="Y314" s="58"/>
      <c r="AA314" s="2186"/>
      <c r="AB314" s="2186"/>
      <c r="AC314" s="2186"/>
      <c r="AD314" s="2186"/>
      <c r="AE314" s="2186"/>
      <c r="AF314" s="2186"/>
      <c r="AG314" s="7" t="s">
        <v>212</v>
      </c>
      <c r="AH314" s="7"/>
      <c r="AI314" s="2197"/>
      <c r="AJ314" s="2197"/>
      <c r="AK314" s="2197"/>
      <c r="BN314" s="61"/>
    </row>
    <row r="315" spans="2:66" ht="13.2">
      <c r="B315" s="58" t="s">
        <v>94</v>
      </c>
      <c r="C315" s="58"/>
      <c r="D315" s="58"/>
      <c r="E315" s="58"/>
      <c r="F315" s="58"/>
      <c r="G315" s="58"/>
      <c r="H315" s="2159" t="s">
        <v>2557</v>
      </c>
      <c r="I315" s="2060"/>
      <c r="J315" s="2060"/>
      <c r="K315" s="2060"/>
      <c r="L315" s="2060"/>
      <c r="M315" s="2060"/>
      <c r="N315" s="60"/>
      <c r="O315" s="60"/>
      <c r="P315" s="62"/>
      <c r="Q315" s="62"/>
      <c r="R315" s="62"/>
      <c r="S315" s="58"/>
      <c r="T315" s="58" t="s">
        <v>94</v>
      </c>
      <c r="V315" s="58"/>
      <c r="W315" s="58"/>
      <c r="X315" s="58"/>
      <c r="Y315" s="58"/>
      <c r="AA315" s="2060"/>
      <c r="AB315" s="2060"/>
      <c r="AC315" s="2060"/>
      <c r="AD315" s="2060"/>
      <c r="AE315" s="2060"/>
      <c r="AF315" s="2060"/>
      <c r="AG315" s="60"/>
      <c r="AH315" s="60"/>
      <c r="AI315" s="62"/>
      <c r="AJ315" s="62"/>
      <c r="AK315" s="62"/>
      <c r="BN315" s="61"/>
    </row>
    <row r="316" spans="2:66" ht="13.2">
      <c r="B316" s="58" t="s">
        <v>80</v>
      </c>
      <c r="C316" s="58"/>
      <c r="D316" s="58"/>
      <c r="E316" s="58"/>
      <c r="F316" s="58"/>
      <c r="G316" s="58"/>
      <c r="H316" s="2038" t="s">
        <v>2558</v>
      </c>
      <c r="I316" s="2038"/>
      <c r="J316" s="2038"/>
      <c r="K316" s="2038"/>
      <c r="L316" s="2038"/>
      <c r="M316" s="2038"/>
      <c r="N316" s="2036"/>
      <c r="O316" s="2036"/>
      <c r="P316" s="2036"/>
      <c r="Q316" s="2036"/>
      <c r="R316" s="2036"/>
      <c r="S316" s="58"/>
      <c r="T316" s="58" t="s">
        <v>80</v>
      </c>
      <c r="V316" s="58"/>
      <c r="W316" s="58"/>
      <c r="X316" s="58"/>
      <c r="Y316" s="58"/>
      <c r="AA316" s="2038"/>
      <c r="AB316" s="2038"/>
      <c r="AC316" s="2038"/>
      <c r="AD316" s="2038"/>
      <c r="AE316" s="2038"/>
      <c r="AF316" s="2038"/>
      <c r="AG316" s="2036"/>
      <c r="AH316" s="2036"/>
      <c r="AI316" s="2036"/>
      <c r="AJ316" s="2036"/>
      <c r="AK316" s="2036"/>
      <c r="BN316" s="61"/>
    </row>
    <row r="317" spans="2:66" ht="13.2">
      <c r="BN317" s="61"/>
    </row>
    <row r="318" spans="2:66" ht="13.2">
      <c r="B318" s="7" t="s">
        <v>975</v>
      </c>
      <c r="C318" s="58"/>
      <c r="D318" s="58"/>
      <c r="E318" s="58"/>
      <c r="F318" s="58"/>
      <c r="H318" s="2036" t="s">
        <v>2562</v>
      </c>
      <c r="I318" s="2036"/>
      <c r="J318" s="2036"/>
      <c r="K318" s="2036"/>
      <c r="L318" s="2036"/>
      <c r="M318" s="2036"/>
      <c r="N318" s="2036"/>
      <c r="O318" s="2036"/>
      <c r="P318" s="2036"/>
      <c r="Q318" s="2036"/>
      <c r="R318" s="2036"/>
      <c r="T318" s="58" t="s">
        <v>376</v>
      </c>
      <c r="V318" s="58"/>
      <c r="W318" s="58"/>
      <c r="X318" s="58"/>
      <c r="Y318" s="58"/>
      <c r="AA318" s="2036" t="s">
        <v>2575</v>
      </c>
      <c r="AB318" s="2036"/>
      <c r="AC318" s="2036"/>
      <c r="AD318" s="2036"/>
      <c r="AE318" s="2036"/>
      <c r="AF318" s="2036"/>
      <c r="AG318" s="2036"/>
      <c r="AH318" s="2036"/>
      <c r="AI318" s="2036"/>
      <c r="AJ318" s="2036"/>
      <c r="AK318" s="2036"/>
      <c r="BN318" s="61"/>
    </row>
    <row r="319" spans="2:66" ht="13.2">
      <c r="B319" s="58" t="s">
        <v>504</v>
      </c>
      <c r="C319" s="58"/>
      <c r="D319" s="58"/>
      <c r="E319" s="58"/>
      <c r="F319" s="58"/>
      <c r="H319" s="2038" t="s">
        <v>2563</v>
      </c>
      <c r="I319" s="2038"/>
      <c r="J319" s="2038"/>
      <c r="K319" s="2038"/>
      <c r="L319" s="2038"/>
      <c r="M319" s="2038"/>
      <c r="N319" s="2038"/>
      <c r="O319" s="2038"/>
      <c r="P319" s="2038"/>
      <c r="Q319" s="2038"/>
      <c r="R319" s="2038"/>
      <c r="T319" s="58" t="s">
        <v>504</v>
      </c>
      <c r="V319" s="58"/>
      <c r="W319" s="58"/>
      <c r="X319" s="58"/>
      <c r="Y319" s="58"/>
      <c r="AA319" s="2038" t="s">
        <v>2576</v>
      </c>
      <c r="AB319" s="2038"/>
      <c r="AC319" s="2038"/>
      <c r="AD319" s="2038"/>
      <c r="AE319" s="2038"/>
      <c r="AF319" s="2038"/>
      <c r="AG319" s="2038"/>
      <c r="AH319" s="2038"/>
      <c r="AI319" s="2038"/>
      <c r="AJ319" s="2038"/>
      <c r="AK319" s="2038"/>
      <c r="BN319" s="61"/>
    </row>
    <row r="320" spans="2:66" ht="13.2">
      <c r="B320" s="58" t="s">
        <v>505</v>
      </c>
      <c r="C320" s="58"/>
      <c r="D320" s="58"/>
      <c r="E320" s="58"/>
      <c r="F320" s="58"/>
      <c r="H320" s="2038" t="s">
        <v>2565</v>
      </c>
      <c r="I320" s="2038"/>
      <c r="J320" s="2038"/>
      <c r="K320" s="2038"/>
      <c r="L320" s="2038"/>
      <c r="M320" s="2038"/>
      <c r="N320" s="2038"/>
      <c r="O320" s="2038"/>
      <c r="P320" s="2038"/>
      <c r="Q320" s="2038"/>
      <c r="R320" s="2038"/>
      <c r="T320" s="58" t="s">
        <v>79</v>
      </c>
      <c r="V320" s="58"/>
      <c r="W320" s="58"/>
      <c r="X320" s="58"/>
      <c r="Y320" s="58"/>
      <c r="AA320" s="2038" t="s">
        <v>2577</v>
      </c>
      <c r="AB320" s="2038"/>
      <c r="AC320" s="2038"/>
      <c r="AD320" s="2038"/>
      <c r="AE320" s="2038"/>
      <c r="AF320" s="2038"/>
      <c r="AG320" s="2038"/>
      <c r="AH320" s="2038"/>
      <c r="AI320" s="2038"/>
      <c r="AJ320" s="2038"/>
      <c r="AK320" s="2038"/>
      <c r="BN320" s="61"/>
    </row>
    <row r="321" spans="1:66" ht="12.75" customHeight="1">
      <c r="A321" s="39"/>
      <c r="B321" s="58" t="s">
        <v>92</v>
      </c>
      <c r="C321" s="58"/>
      <c r="D321" s="58"/>
      <c r="E321" s="58"/>
      <c r="F321" s="58"/>
      <c r="H321" s="2038" t="s">
        <v>2566</v>
      </c>
      <c r="I321" s="2038"/>
      <c r="J321" s="2038"/>
      <c r="K321" s="2038"/>
      <c r="L321" s="2038"/>
      <c r="M321" s="2038"/>
      <c r="N321" s="2038"/>
      <c r="O321" s="2038"/>
      <c r="P321" s="2038"/>
      <c r="Q321" s="2038"/>
      <c r="R321" s="2038"/>
      <c r="T321" s="58" t="s">
        <v>92</v>
      </c>
      <c r="V321" s="58"/>
      <c r="W321" s="58"/>
      <c r="X321" s="58"/>
      <c r="Y321" s="58"/>
      <c r="AA321" s="2038" t="s">
        <v>2578</v>
      </c>
      <c r="AB321" s="2038"/>
      <c r="AC321" s="2038"/>
      <c r="AD321" s="2038"/>
      <c r="AE321" s="2038"/>
      <c r="AF321" s="2038"/>
      <c r="AG321" s="2038"/>
      <c r="AH321" s="2038"/>
      <c r="AI321" s="2038"/>
      <c r="AJ321" s="2038"/>
      <c r="AK321" s="2038"/>
      <c r="AL321" s="39"/>
      <c r="BN321" s="61"/>
    </row>
    <row r="322" spans="1:66" ht="13.2">
      <c r="A322" s="39"/>
      <c r="B322" s="58" t="s">
        <v>93</v>
      </c>
      <c r="C322" s="58"/>
      <c r="D322" s="58"/>
      <c r="E322" s="58"/>
      <c r="F322" s="58"/>
      <c r="G322" s="58"/>
      <c r="H322" s="2185" t="s">
        <v>2567</v>
      </c>
      <c r="I322" s="2186"/>
      <c r="J322" s="2186"/>
      <c r="K322" s="2186"/>
      <c r="L322" s="2186"/>
      <c r="M322" s="2186"/>
      <c r="N322" s="7" t="s">
        <v>212</v>
      </c>
      <c r="O322" s="7"/>
      <c r="P322" s="2197"/>
      <c r="Q322" s="2197"/>
      <c r="R322" s="2197"/>
      <c r="S322" s="58"/>
      <c r="T322" s="58" t="s">
        <v>93</v>
      </c>
      <c r="V322" s="58"/>
      <c r="W322" s="58"/>
      <c r="X322" s="58"/>
      <c r="Y322" s="58"/>
      <c r="AA322" s="2185" t="s">
        <v>2579</v>
      </c>
      <c r="AB322" s="2186"/>
      <c r="AC322" s="2186"/>
      <c r="AD322" s="2186"/>
      <c r="AE322" s="2186"/>
      <c r="AF322" s="2186"/>
      <c r="AG322" s="7" t="s">
        <v>212</v>
      </c>
      <c r="AH322" s="7"/>
      <c r="AI322" s="2197"/>
      <c r="AJ322" s="2197"/>
      <c r="AK322" s="2197"/>
      <c r="AL322" s="39"/>
      <c r="BN322" s="61"/>
    </row>
    <row r="323" spans="1:66" ht="12.75" customHeight="1">
      <c r="A323" s="39"/>
      <c r="B323" s="58" t="s">
        <v>94</v>
      </c>
      <c r="C323" s="58"/>
      <c r="D323" s="58"/>
      <c r="E323" s="58"/>
      <c r="F323" s="58"/>
      <c r="G323" s="58"/>
      <c r="H323" s="2060"/>
      <c r="I323" s="2060"/>
      <c r="J323" s="2060"/>
      <c r="K323" s="2060"/>
      <c r="L323" s="2060"/>
      <c r="M323" s="2060"/>
      <c r="N323" s="60"/>
      <c r="O323" s="60"/>
      <c r="P323" s="62"/>
      <c r="Q323" s="62"/>
      <c r="R323" s="62"/>
      <c r="S323" s="58"/>
      <c r="T323" s="58" t="s">
        <v>94</v>
      </c>
      <c r="V323" s="58"/>
      <c r="W323" s="58"/>
      <c r="X323" s="58"/>
      <c r="Y323" s="58"/>
      <c r="AA323" s="2060"/>
      <c r="AB323" s="2060"/>
      <c r="AC323" s="2060"/>
      <c r="AD323" s="2060"/>
      <c r="AE323" s="2060"/>
      <c r="AF323" s="2060"/>
      <c r="AG323" s="60"/>
      <c r="AH323" s="60"/>
      <c r="AI323" s="62"/>
      <c r="AJ323" s="62"/>
      <c r="AK323" s="62"/>
      <c r="AL323" s="39"/>
    </row>
    <row r="324" spans="1:66" ht="13.2">
      <c r="A324" s="39"/>
      <c r="B324" s="58" t="s">
        <v>80</v>
      </c>
      <c r="C324" s="58"/>
      <c r="D324" s="58"/>
      <c r="E324" s="58"/>
      <c r="F324" s="58"/>
      <c r="G324" s="58"/>
      <c r="H324" s="2038" t="s">
        <v>2568</v>
      </c>
      <c r="I324" s="2038"/>
      <c r="J324" s="2038"/>
      <c r="K324" s="2038"/>
      <c r="L324" s="2038"/>
      <c r="M324" s="2038"/>
      <c r="N324" s="2036"/>
      <c r="O324" s="2036"/>
      <c r="P324" s="2036"/>
      <c r="Q324" s="2036"/>
      <c r="R324" s="2036"/>
      <c r="S324" s="58"/>
      <c r="T324" s="58" t="s">
        <v>80</v>
      </c>
      <c r="V324" s="58"/>
      <c r="W324" s="58"/>
      <c r="X324" s="58"/>
      <c r="Y324" s="58"/>
      <c r="AA324" s="2038"/>
      <c r="AB324" s="2038"/>
      <c r="AC324" s="2038"/>
      <c r="AD324" s="2038"/>
      <c r="AE324" s="2038"/>
      <c r="AF324" s="2038"/>
      <c r="AG324" s="2036"/>
      <c r="AH324" s="2036"/>
      <c r="AI324" s="2036"/>
      <c r="AJ324" s="2036"/>
      <c r="AK324" s="2036"/>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36" t="s">
        <v>2569</v>
      </c>
      <c r="I326" s="2036"/>
      <c r="J326" s="2036"/>
      <c r="K326" s="2036"/>
      <c r="L326" s="2036"/>
      <c r="M326" s="2036"/>
      <c r="N326" s="2036"/>
      <c r="O326" s="2036"/>
      <c r="P326" s="2036"/>
      <c r="Q326" s="2036"/>
      <c r="R326" s="2036"/>
      <c r="T326" s="58" t="s">
        <v>378</v>
      </c>
      <c r="V326" s="58"/>
      <c r="W326" s="58"/>
      <c r="X326" s="58"/>
      <c r="Y326" s="58"/>
      <c r="AA326" s="2036" t="s">
        <v>626</v>
      </c>
      <c r="AB326" s="2036"/>
      <c r="AC326" s="2036"/>
      <c r="AD326" s="2036"/>
      <c r="AE326" s="2036"/>
      <c r="AF326" s="2036"/>
      <c r="AG326" s="2036"/>
      <c r="AH326" s="2036"/>
      <c r="AI326" s="2036"/>
      <c r="AJ326" s="2036"/>
      <c r="AK326" s="2036"/>
      <c r="AL326" s="39"/>
    </row>
    <row r="327" spans="1:66" ht="13.2">
      <c r="A327" s="39"/>
      <c r="B327" s="58" t="s">
        <v>504</v>
      </c>
      <c r="C327" s="58"/>
      <c r="D327" s="58"/>
      <c r="E327" s="58"/>
      <c r="F327" s="58"/>
      <c r="H327" s="2038" t="s">
        <v>2570</v>
      </c>
      <c r="I327" s="2038"/>
      <c r="J327" s="2038"/>
      <c r="K327" s="2038"/>
      <c r="L327" s="2038"/>
      <c r="M327" s="2038"/>
      <c r="N327" s="2038"/>
      <c r="O327" s="2038"/>
      <c r="P327" s="2038"/>
      <c r="Q327" s="2038"/>
      <c r="R327" s="2038"/>
      <c r="T327" s="58" t="s">
        <v>504</v>
      </c>
      <c r="V327" s="58"/>
      <c r="W327" s="58"/>
      <c r="X327" s="58"/>
      <c r="Y327" s="58"/>
      <c r="AA327" s="2038"/>
      <c r="AB327" s="2038"/>
      <c r="AC327" s="2038"/>
      <c r="AD327" s="2038"/>
      <c r="AE327" s="2038"/>
      <c r="AF327" s="2038"/>
      <c r="AG327" s="2038"/>
      <c r="AH327" s="2038"/>
      <c r="AI327" s="2038"/>
      <c r="AJ327" s="2038"/>
      <c r="AK327" s="2038"/>
      <c r="AL327" s="39"/>
    </row>
    <row r="328" spans="1:66" ht="13.2">
      <c r="A328" s="39"/>
      <c r="B328" s="58" t="s">
        <v>505</v>
      </c>
      <c r="C328" s="58"/>
      <c r="D328" s="58"/>
      <c r="E328" s="58"/>
      <c r="F328" s="58"/>
      <c r="H328" s="2038" t="s">
        <v>2542</v>
      </c>
      <c r="I328" s="2038"/>
      <c r="J328" s="2038"/>
      <c r="K328" s="2038"/>
      <c r="L328" s="2038"/>
      <c r="M328" s="2038"/>
      <c r="N328" s="2038"/>
      <c r="O328" s="2038"/>
      <c r="P328" s="2038"/>
      <c r="Q328" s="2038"/>
      <c r="R328" s="2038"/>
      <c r="T328" s="58" t="s">
        <v>79</v>
      </c>
      <c r="V328" s="58"/>
      <c r="W328" s="58"/>
      <c r="X328" s="58"/>
      <c r="Y328" s="58"/>
      <c r="AA328" s="2038"/>
      <c r="AB328" s="2038"/>
      <c r="AC328" s="2038"/>
      <c r="AD328" s="2038"/>
      <c r="AE328" s="2038"/>
      <c r="AF328" s="2038"/>
      <c r="AG328" s="2038"/>
      <c r="AH328" s="2038"/>
      <c r="AI328" s="2038"/>
      <c r="AJ328" s="2038"/>
      <c r="AK328" s="2038"/>
      <c r="AL328" s="39"/>
    </row>
    <row r="329" spans="1:66" ht="13.2">
      <c r="A329" s="39"/>
      <c r="B329" s="58" t="s">
        <v>92</v>
      </c>
      <c r="C329" s="58"/>
      <c r="D329" s="58"/>
      <c r="E329" s="58"/>
      <c r="F329" s="58"/>
      <c r="H329" s="2038" t="s">
        <v>2571</v>
      </c>
      <c r="I329" s="2038"/>
      <c r="J329" s="2038"/>
      <c r="K329" s="2038"/>
      <c r="L329" s="2038"/>
      <c r="M329" s="2038"/>
      <c r="N329" s="2038"/>
      <c r="O329" s="2038"/>
      <c r="P329" s="2038"/>
      <c r="Q329" s="2038"/>
      <c r="R329" s="2038"/>
      <c r="T329" s="58" t="s">
        <v>92</v>
      </c>
      <c r="V329" s="58"/>
      <c r="W329" s="58"/>
      <c r="X329" s="58"/>
      <c r="Y329" s="58"/>
      <c r="AA329" s="2038"/>
      <c r="AB329" s="2038"/>
      <c r="AC329" s="2038"/>
      <c r="AD329" s="2038"/>
      <c r="AE329" s="2038"/>
      <c r="AF329" s="2038"/>
      <c r="AG329" s="2038"/>
      <c r="AH329" s="2038"/>
      <c r="AI329" s="2038"/>
      <c r="AJ329" s="2038"/>
      <c r="AK329" s="2038"/>
      <c r="AL329" s="39"/>
    </row>
    <row r="330" spans="1:66" ht="12.75" customHeight="1">
      <c r="A330" s="39"/>
      <c r="B330" s="58" t="s">
        <v>93</v>
      </c>
      <c r="C330" s="58"/>
      <c r="D330" s="58"/>
      <c r="E330" s="58"/>
      <c r="F330" s="58"/>
      <c r="G330" s="58"/>
      <c r="H330" s="2185" t="s">
        <v>2572</v>
      </c>
      <c r="I330" s="2186"/>
      <c r="J330" s="2186"/>
      <c r="K330" s="2186"/>
      <c r="L330" s="2186"/>
      <c r="M330" s="2186"/>
      <c r="N330" s="7" t="s">
        <v>212</v>
      </c>
      <c r="O330" s="7"/>
      <c r="P330" s="2197"/>
      <c r="Q330" s="2197"/>
      <c r="R330" s="2197"/>
      <c r="S330" s="58"/>
      <c r="T330" s="58" t="s">
        <v>93</v>
      </c>
      <c r="V330" s="58"/>
      <c r="W330" s="58"/>
      <c r="X330" s="58"/>
      <c r="Y330" s="58"/>
      <c r="AA330" s="2186"/>
      <c r="AB330" s="2186"/>
      <c r="AC330" s="2186"/>
      <c r="AD330" s="2186"/>
      <c r="AE330" s="2186"/>
      <c r="AF330" s="2186"/>
      <c r="AG330" s="7" t="s">
        <v>212</v>
      </c>
      <c r="AH330" s="7"/>
      <c r="AI330" s="2197"/>
      <c r="AJ330" s="2197"/>
      <c r="AK330" s="2197"/>
      <c r="AL330" s="39"/>
    </row>
    <row r="331" spans="1:66" ht="13.2">
      <c r="A331" s="39"/>
      <c r="B331" s="58" t="s">
        <v>94</v>
      </c>
      <c r="C331" s="58"/>
      <c r="D331" s="58"/>
      <c r="E331" s="58"/>
      <c r="F331" s="58"/>
      <c r="G331" s="58"/>
      <c r="H331" s="2159" t="s">
        <v>2573</v>
      </c>
      <c r="I331" s="2060"/>
      <c r="J331" s="2060"/>
      <c r="K331" s="2060"/>
      <c r="L331" s="2060"/>
      <c r="M331" s="2060"/>
      <c r="N331" s="60"/>
      <c r="O331" s="60"/>
      <c r="P331" s="62"/>
      <c r="Q331" s="62"/>
      <c r="R331" s="62"/>
      <c r="S331" s="58"/>
      <c r="T331" s="58" t="s">
        <v>94</v>
      </c>
      <c r="V331" s="58"/>
      <c r="W331" s="58"/>
      <c r="X331" s="58"/>
      <c r="Y331" s="58"/>
      <c r="AA331" s="2060"/>
      <c r="AB331" s="2060"/>
      <c r="AC331" s="2060"/>
      <c r="AD331" s="2060"/>
      <c r="AE331" s="2060"/>
      <c r="AF331" s="2060"/>
      <c r="AG331" s="60"/>
      <c r="AH331" s="60"/>
      <c r="AI331" s="62"/>
      <c r="AJ331" s="62"/>
      <c r="AK331" s="62"/>
      <c r="AL331" s="39"/>
    </row>
    <row r="332" spans="1:66" ht="13.2">
      <c r="A332" s="39"/>
      <c r="B332" s="58" t="s">
        <v>80</v>
      </c>
      <c r="C332" s="58"/>
      <c r="D332" s="58"/>
      <c r="E332" s="58"/>
      <c r="F332" s="58"/>
      <c r="G332" s="58"/>
      <c r="H332" s="2038" t="s">
        <v>2574</v>
      </c>
      <c r="I332" s="2038"/>
      <c r="J332" s="2038"/>
      <c r="K332" s="2038"/>
      <c r="L332" s="2038"/>
      <c r="M332" s="2038"/>
      <c r="N332" s="2036"/>
      <c r="O332" s="2036"/>
      <c r="P332" s="2036"/>
      <c r="Q332" s="2036"/>
      <c r="R332" s="2036"/>
      <c r="S332" s="58"/>
      <c r="T332" s="58" t="s">
        <v>80</v>
      </c>
      <c r="V332" s="58"/>
      <c r="W332" s="58"/>
      <c r="X332" s="58"/>
      <c r="Y332" s="58"/>
      <c r="AA332" s="2038"/>
      <c r="AB332" s="2038"/>
      <c r="AC332" s="2038"/>
      <c r="AD332" s="2038"/>
      <c r="AE332" s="2038"/>
      <c r="AF332" s="2038"/>
      <c r="AG332" s="2036"/>
      <c r="AH332" s="2036"/>
      <c r="AI332" s="2036"/>
      <c r="AJ332" s="2036"/>
      <c r="AK332" s="203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6" t="s">
        <v>2647</v>
      </c>
      <c r="I334" s="2036"/>
      <c r="J334" s="2036"/>
      <c r="K334" s="2036"/>
      <c r="L334" s="2036"/>
      <c r="M334" s="2036"/>
      <c r="N334" s="2036"/>
      <c r="O334" s="2036"/>
      <c r="P334" s="2036"/>
      <c r="Q334" s="2036"/>
      <c r="R334" s="2036"/>
      <c r="T334" s="400" t="s">
        <v>950</v>
      </c>
      <c r="V334" s="58"/>
      <c r="W334" s="58"/>
      <c r="X334" s="58"/>
      <c r="Y334" s="58"/>
      <c r="AA334" s="2036" t="s">
        <v>2580</v>
      </c>
      <c r="AB334" s="2036"/>
      <c r="AC334" s="2036"/>
      <c r="AD334" s="2036"/>
      <c r="AE334" s="2036"/>
      <c r="AF334" s="2036"/>
      <c r="AG334" s="2036"/>
      <c r="AH334" s="2036"/>
      <c r="AI334" s="2036"/>
      <c r="AJ334" s="2036"/>
      <c r="AK334" s="2036"/>
      <c r="AL334" s="39"/>
    </row>
    <row r="335" spans="1:66" ht="12.75" customHeight="1">
      <c r="B335" s="58" t="s">
        <v>504</v>
      </c>
      <c r="C335" s="240"/>
      <c r="D335" s="240"/>
      <c r="E335" s="240"/>
      <c r="F335" s="240"/>
      <c r="G335" s="3"/>
      <c r="H335" s="2038" t="s">
        <v>2648</v>
      </c>
      <c r="I335" s="2038"/>
      <c r="J335" s="2038"/>
      <c r="K335" s="2038"/>
      <c r="L335" s="2038"/>
      <c r="M335" s="2038"/>
      <c r="N335" s="2038"/>
      <c r="O335" s="2038"/>
      <c r="P335" s="2038"/>
      <c r="Q335" s="2038"/>
      <c r="R335" s="2038"/>
      <c r="T335" s="58" t="s">
        <v>504</v>
      </c>
      <c r="V335" s="58"/>
      <c r="W335" s="58"/>
      <c r="X335" s="58"/>
      <c r="Y335" s="58"/>
      <c r="AA335" s="2038" t="s">
        <v>2581</v>
      </c>
      <c r="AB335" s="2038"/>
      <c r="AC335" s="2038"/>
      <c r="AD335" s="2038"/>
      <c r="AE335" s="2038"/>
      <c r="AF335" s="2038"/>
      <c r="AG335" s="2038"/>
      <c r="AH335" s="2038"/>
      <c r="AI335" s="2038"/>
      <c r="AJ335" s="2038"/>
      <c r="AK335" s="2038"/>
      <c r="AL335" s="39"/>
    </row>
    <row r="336" spans="1:66" ht="12.75" customHeight="1">
      <c r="B336" s="58" t="s">
        <v>79</v>
      </c>
      <c r="C336" s="240"/>
      <c r="D336" s="240"/>
      <c r="E336" s="240"/>
      <c r="F336" s="240"/>
      <c r="G336" s="3"/>
      <c r="H336" s="2038" t="s">
        <v>2649</v>
      </c>
      <c r="I336" s="2038"/>
      <c r="J336" s="2038"/>
      <c r="K336" s="2038"/>
      <c r="L336" s="2038"/>
      <c r="M336" s="2038"/>
      <c r="N336" s="2038"/>
      <c r="O336" s="2038"/>
      <c r="P336" s="2038"/>
      <c r="Q336" s="2038"/>
      <c r="R336" s="2038"/>
      <c r="T336" s="58" t="s">
        <v>79</v>
      </c>
      <c r="V336" s="58"/>
      <c r="W336" s="58"/>
      <c r="X336" s="58"/>
      <c r="Y336" s="58"/>
      <c r="AA336" s="2038" t="s">
        <v>2582</v>
      </c>
      <c r="AB336" s="2038"/>
      <c r="AC336" s="2038"/>
      <c r="AD336" s="2038"/>
      <c r="AE336" s="2038"/>
      <c r="AF336" s="2038"/>
      <c r="AG336" s="2038"/>
      <c r="AH336" s="2038"/>
      <c r="AI336" s="2038"/>
      <c r="AJ336" s="2038"/>
      <c r="AK336" s="2038"/>
      <c r="AL336" s="39"/>
    </row>
    <row r="337" spans="1:66" ht="12.75" customHeight="1">
      <c r="A337" s="39"/>
      <c r="B337" s="58" t="s">
        <v>92</v>
      </c>
      <c r="C337" s="240"/>
      <c r="D337" s="240"/>
      <c r="E337" s="240"/>
      <c r="F337" s="240"/>
      <c r="G337" s="240"/>
      <c r="H337" s="2038" t="s">
        <v>2650</v>
      </c>
      <c r="I337" s="2038"/>
      <c r="J337" s="2038"/>
      <c r="K337" s="2038"/>
      <c r="L337" s="2038"/>
      <c r="M337" s="2038"/>
      <c r="N337" s="2038"/>
      <c r="O337" s="2038"/>
      <c r="P337" s="2038"/>
      <c r="Q337" s="2038"/>
      <c r="R337" s="2038"/>
      <c r="T337" s="58" t="s">
        <v>92</v>
      </c>
      <c r="V337" s="58"/>
      <c r="W337" s="58"/>
      <c r="X337" s="58"/>
      <c r="Y337" s="58"/>
      <c r="AA337" s="2038" t="s">
        <v>2583</v>
      </c>
      <c r="AB337" s="2038"/>
      <c r="AC337" s="2038"/>
      <c r="AD337" s="2038"/>
      <c r="AE337" s="2038"/>
      <c r="AF337" s="2038"/>
      <c r="AG337" s="2038"/>
      <c r="AH337" s="2038"/>
      <c r="AI337" s="2038"/>
      <c r="AJ337" s="2038"/>
      <c r="AK337" s="2038"/>
      <c r="AL337" s="39"/>
    </row>
    <row r="338" spans="1:66" ht="12.75" customHeight="1">
      <c r="A338" s="39"/>
      <c r="B338" s="58" t="s">
        <v>93</v>
      </c>
      <c r="C338" s="240"/>
      <c r="D338" s="240"/>
      <c r="E338" s="240"/>
      <c r="F338" s="240"/>
      <c r="G338" s="240"/>
      <c r="H338" s="2185" t="s">
        <v>2651</v>
      </c>
      <c r="I338" s="2186"/>
      <c r="J338" s="2186"/>
      <c r="K338" s="2186"/>
      <c r="L338" s="2186"/>
      <c r="M338" s="2186"/>
      <c r="N338" s="7" t="s">
        <v>212</v>
      </c>
      <c r="O338" s="7"/>
      <c r="P338" s="2197"/>
      <c r="Q338" s="2197"/>
      <c r="R338" s="2197"/>
      <c r="S338" s="58"/>
      <c r="T338" s="58" t="s">
        <v>93</v>
      </c>
      <c r="V338" s="58"/>
      <c r="W338" s="58"/>
      <c r="X338" s="58"/>
      <c r="Y338" s="58"/>
      <c r="AA338" s="2185" t="s">
        <v>2584</v>
      </c>
      <c r="AB338" s="2186"/>
      <c r="AC338" s="2186"/>
      <c r="AD338" s="2186"/>
      <c r="AE338" s="2186"/>
      <c r="AF338" s="2186"/>
      <c r="AG338" s="7" t="s">
        <v>212</v>
      </c>
      <c r="AH338" s="7"/>
      <c r="AI338" s="2197"/>
      <c r="AJ338" s="2197"/>
      <c r="AK338" s="2197"/>
      <c r="AL338" s="39"/>
    </row>
    <row r="339" spans="1:66" ht="13.2">
      <c r="A339" s="39"/>
      <c r="B339" s="58" t="s">
        <v>94</v>
      </c>
      <c r="C339" s="240"/>
      <c r="D339" s="240"/>
      <c r="E339" s="240"/>
      <c r="F339" s="240"/>
      <c r="G339" s="240"/>
      <c r="H339" s="2159" t="s">
        <v>2652</v>
      </c>
      <c r="I339" s="2060"/>
      <c r="J339" s="2060"/>
      <c r="K339" s="2060"/>
      <c r="L339" s="2060"/>
      <c r="M339" s="2060"/>
      <c r="N339" s="60"/>
      <c r="O339" s="60"/>
      <c r="P339" s="62"/>
      <c r="Q339" s="62"/>
      <c r="R339" s="62"/>
      <c r="S339" s="58"/>
      <c r="T339" s="58" t="s">
        <v>94</v>
      </c>
      <c r="V339" s="58"/>
      <c r="W339" s="58"/>
      <c r="X339" s="58"/>
      <c r="Y339" s="58"/>
      <c r="AA339" s="2159" t="s">
        <v>2585</v>
      </c>
      <c r="AB339" s="2060"/>
      <c r="AC339" s="2060"/>
      <c r="AD339" s="2060"/>
      <c r="AE339" s="2060"/>
      <c r="AF339" s="2060"/>
      <c r="AG339" s="60"/>
      <c r="AH339" s="60"/>
      <c r="AI339" s="62"/>
      <c r="AJ339" s="62"/>
      <c r="AK339" s="62"/>
      <c r="AL339" s="39"/>
    </row>
    <row r="340" spans="1:66" ht="13.2">
      <c r="A340" s="39"/>
      <c r="B340" s="58" t="s">
        <v>80</v>
      </c>
      <c r="C340" s="237"/>
      <c r="D340" s="237"/>
      <c r="E340" s="237"/>
      <c r="F340" s="237"/>
      <c r="G340" s="237"/>
      <c r="H340" s="2038" t="s">
        <v>2653</v>
      </c>
      <c r="I340" s="2038"/>
      <c r="J340" s="2038"/>
      <c r="K340" s="2038"/>
      <c r="L340" s="2038"/>
      <c r="M340" s="2038"/>
      <c r="N340" s="2036"/>
      <c r="O340" s="2036"/>
      <c r="P340" s="2036"/>
      <c r="Q340" s="2036"/>
      <c r="R340" s="2036"/>
      <c r="S340" s="58"/>
      <c r="T340" s="58" t="s">
        <v>80</v>
      </c>
      <c r="V340" s="58"/>
      <c r="W340" s="58"/>
      <c r="X340" s="58"/>
      <c r="Y340" s="58"/>
      <c r="AA340" s="2038" t="s">
        <v>2586</v>
      </c>
      <c r="AB340" s="2038"/>
      <c r="AC340" s="2038"/>
      <c r="AD340" s="2038"/>
      <c r="AE340" s="2038"/>
      <c r="AF340" s="2038"/>
      <c r="AG340" s="2036"/>
      <c r="AH340" s="2036"/>
      <c r="AI340" s="2036"/>
      <c r="AJ340" s="2036"/>
      <c r="AK340" s="203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1"/>
      <c r="D342" s="401"/>
      <c r="E342" s="401"/>
      <c r="F342" s="401"/>
      <c r="G342" s="88"/>
      <c r="H342" s="88"/>
      <c r="I342" s="400" t="s">
        <v>951</v>
      </c>
      <c r="P342" s="2036"/>
      <c r="Q342" s="2036"/>
      <c r="R342" s="2036"/>
      <c r="S342" s="2036"/>
      <c r="T342" s="2036"/>
      <c r="U342" s="2036"/>
      <c r="V342" s="2036"/>
      <c r="W342" s="2036"/>
      <c r="X342" s="2036"/>
      <c r="Y342" s="2036"/>
      <c r="Z342" s="2036"/>
      <c r="AA342" s="2036"/>
      <c r="AB342" s="2036"/>
      <c r="AC342" s="2036"/>
      <c r="AD342" s="2036"/>
      <c r="AE342" s="2036"/>
      <c r="AF342" s="88"/>
      <c r="AG342" s="88"/>
      <c r="AH342" s="88"/>
      <c r="AI342" s="88"/>
      <c r="AJ342" s="88"/>
      <c r="AK342" s="88"/>
      <c r="AL342" s="39"/>
      <c r="BN342" s="12" t="s">
        <v>626</v>
      </c>
    </row>
    <row r="343" spans="1:66" ht="13.2">
      <c r="A343" s="3"/>
      <c r="B343" s="60"/>
      <c r="C343" s="60"/>
      <c r="D343" s="60"/>
      <c r="E343" s="60"/>
      <c r="F343" s="60"/>
      <c r="G343" s="3"/>
      <c r="H343" s="88"/>
      <c r="I343" s="7" t="s">
        <v>504</v>
      </c>
      <c r="P343" s="2038"/>
      <c r="Q343" s="2038"/>
      <c r="R343" s="2038"/>
      <c r="S343" s="2038"/>
      <c r="T343" s="2038"/>
      <c r="U343" s="2038"/>
      <c r="V343" s="2038"/>
      <c r="W343" s="2038"/>
      <c r="X343" s="2038"/>
      <c r="Y343" s="2038"/>
      <c r="Z343" s="2038"/>
      <c r="AA343" s="2038"/>
      <c r="AB343" s="2038"/>
      <c r="AC343" s="2038"/>
      <c r="AD343" s="2038"/>
      <c r="AE343" s="2038"/>
      <c r="AF343" s="88"/>
      <c r="AG343" s="88"/>
      <c r="AH343" s="88"/>
      <c r="AI343" s="88"/>
      <c r="AJ343" s="88"/>
      <c r="AK343" s="88"/>
      <c r="AL343" s="39"/>
      <c r="BN343" s="12" t="s">
        <v>706</v>
      </c>
    </row>
    <row r="344" spans="1:66" ht="13.2">
      <c r="A344" s="3"/>
      <c r="B344" s="60"/>
      <c r="C344" s="60"/>
      <c r="D344" s="60"/>
      <c r="E344" s="60"/>
      <c r="F344" s="60"/>
      <c r="G344" s="3"/>
      <c r="H344" s="88"/>
      <c r="I344" s="7" t="s">
        <v>79</v>
      </c>
      <c r="P344" s="2038"/>
      <c r="Q344" s="2038"/>
      <c r="R344" s="2038"/>
      <c r="S344" s="2038"/>
      <c r="T344" s="2038"/>
      <c r="U344" s="2038"/>
      <c r="V344" s="2038"/>
      <c r="W344" s="2038"/>
      <c r="X344" s="2038"/>
      <c r="Y344" s="2038"/>
      <c r="Z344" s="2038"/>
      <c r="AA344" s="2038"/>
      <c r="AB344" s="2038"/>
      <c r="AC344" s="2038"/>
      <c r="AD344" s="2038"/>
      <c r="AE344" s="2038"/>
      <c r="AF344" s="88"/>
      <c r="AG344" s="88"/>
      <c r="AH344" s="88"/>
      <c r="AI344" s="88"/>
      <c r="AJ344" s="88"/>
      <c r="AK344" s="88"/>
      <c r="AL344" s="39"/>
      <c r="BN344" s="12" t="s">
        <v>578</v>
      </c>
    </row>
    <row r="345" spans="1:66" ht="13.2">
      <c r="A345" s="3"/>
      <c r="B345" s="60"/>
      <c r="C345" s="60"/>
      <c r="D345" s="60"/>
      <c r="E345" s="60"/>
      <c r="F345" s="60"/>
      <c r="G345" s="60"/>
      <c r="H345" s="88"/>
      <c r="I345" s="7" t="s">
        <v>92</v>
      </c>
      <c r="P345" s="2038"/>
      <c r="Q345" s="2038"/>
      <c r="R345" s="2038"/>
      <c r="S345" s="2038"/>
      <c r="T345" s="2038"/>
      <c r="U345" s="2038"/>
      <c r="V345" s="2038"/>
      <c r="W345" s="2038"/>
      <c r="X345" s="2038"/>
      <c r="Y345" s="2038"/>
      <c r="Z345" s="2038"/>
      <c r="AA345" s="2038"/>
      <c r="AB345" s="2038"/>
      <c r="AC345" s="2038"/>
      <c r="AD345" s="2038"/>
      <c r="AE345" s="2038"/>
      <c r="AF345" s="88"/>
      <c r="AG345" s="88"/>
      <c r="AH345" s="88"/>
      <c r="AI345" s="88"/>
      <c r="AJ345" s="88"/>
      <c r="AK345" s="88"/>
      <c r="AL345" s="39"/>
    </row>
    <row r="346" spans="1:66" ht="13.2">
      <c r="A346" s="3"/>
      <c r="B346" s="60"/>
      <c r="C346" s="60"/>
      <c r="D346" s="60"/>
      <c r="E346" s="60"/>
      <c r="F346" s="60"/>
      <c r="G346" s="60"/>
      <c r="H346" s="460"/>
      <c r="I346" s="7" t="s">
        <v>93</v>
      </c>
      <c r="P346" s="2060"/>
      <c r="Q346" s="2060"/>
      <c r="R346" s="2060"/>
      <c r="S346" s="2060"/>
      <c r="T346" s="2060"/>
      <c r="U346" s="2060"/>
      <c r="V346" s="2060"/>
      <c r="W346" s="2060"/>
      <c r="X346" s="2060"/>
      <c r="Y346" s="2060"/>
      <c r="Z346" s="2060"/>
      <c r="AA346" s="7" t="s">
        <v>212</v>
      </c>
      <c r="AB346" s="7"/>
      <c r="AC346" s="2026"/>
      <c r="AD346" s="2026"/>
      <c r="AE346" s="2026"/>
      <c r="AF346" s="460"/>
      <c r="AG346" s="60"/>
      <c r="AH346" s="60"/>
      <c r="AI346" s="401"/>
      <c r="AJ346" s="401"/>
      <c r="AK346" s="401"/>
      <c r="AL346" s="39"/>
    </row>
    <row r="347" spans="1:66" ht="12.75" customHeight="1">
      <c r="A347" s="3"/>
      <c r="B347" s="60"/>
      <c r="C347" s="60"/>
      <c r="D347" s="60"/>
      <c r="E347" s="60"/>
      <c r="F347" s="60"/>
      <c r="G347" s="60"/>
      <c r="H347" s="460"/>
      <c r="I347" s="7" t="s">
        <v>94</v>
      </c>
      <c r="P347" s="2060"/>
      <c r="Q347" s="2060"/>
      <c r="R347" s="2060"/>
      <c r="S347" s="2060"/>
      <c r="T347" s="2060"/>
      <c r="U347" s="2060"/>
      <c r="V347" s="2060"/>
      <c r="W347" s="2060"/>
      <c r="X347" s="2060"/>
      <c r="Y347" s="2060"/>
      <c r="Z347" s="2060"/>
      <c r="AF347" s="460"/>
      <c r="AG347" s="60"/>
      <c r="AH347" s="60"/>
      <c r="AI347" s="62"/>
      <c r="AJ347" s="62"/>
      <c r="AK347" s="62"/>
      <c r="AL347" s="39"/>
    </row>
    <row r="348" spans="1:66" ht="13.2">
      <c r="A348" s="3"/>
      <c r="B348" s="60"/>
      <c r="C348" s="401"/>
      <c r="D348" s="401"/>
      <c r="E348" s="401"/>
      <c r="F348" s="401"/>
      <c r="G348" s="401"/>
      <c r="H348" s="88"/>
      <c r="I348" s="7" t="s">
        <v>80</v>
      </c>
      <c r="P348" s="2036"/>
      <c r="Q348" s="2036"/>
      <c r="R348" s="2036"/>
      <c r="S348" s="2036"/>
      <c r="T348" s="2036"/>
      <c r="U348" s="2036"/>
      <c r="V348" s="2036"/>
      <c r="W348" s="2036"/>
      <c r="X348" s="2036"/>
      <c r="Y348" s="2036"/>
      <c r="Z348" s="2036"/>
      <c r="AA348" s="2036"/>
      <c r="AB348" s="2036"/>
      <c r="AC348" s="2036"/>
      <c r="AD348" s="2036"/>
      <c r="AE348" s="203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80" t="s">
        <v>575</v>
      </c>
      <c r="B350" s="2080"/>
      <c r="C350" s="2080"/>
      <c r="D350" s="2080"/>
      <c r="E350" s="2080"/>
      <c r="F350" s="2080"/>
      <c r="G350" s="2080"/>
      <c r="H350" s="2080"/>
      <c r="I350" s="2080"/>
      <c r="J350" s="2080"/>
      <c r="K350" s="2080"/>
      <c r="L350" s="2080"/>
      <c r="M350" s="2080"/>
      <c r="N350" s="2080"/>
      <c r="O350" s="2080"/>
      <c r="P350" s="2080"/>
      <c r="Q350" s="2080"/>
      <c r="R350" s="2080"/>
      <c r="S350" s="2080"/>
      <c r="T350" s="2080"/>
      <c r="U350" s="2080"/>
      <c r="V350" s="2080"/>
      <c r="W350" s="2080"/>
      <c r="X350" s="2080"/>
      <c r="Y350" s="2080"/>
      <c r="Z350" s="2080"/>
      <c r="AA350" s="2080"/>
      <c r="AB350" s="2080"/>
      <c r="AC350" s="2080"/>
      <c r="AD350" s="2080"/>
      <c r="AE350" s="2080"/>
      <c r="AF350" s="2080"/>
      <c r="AG350" s="2080"/>
      <c r="AH350" s="2080"/>
      <c r="AI350" s="2080"/>
      <c r="AJ350" s="2080"/>
      <c r="AK350" s="2080"/>
      <c r="AL350" s="2080"/>
      <c r="AM350" s="144"/>
      <c r="AN350" s="144"/>
      <c r="AO350" s="144"/>
      <c r="AP350" s="144"/>
      <c r="AQ350" s="144"/>
      <c r="AR350" s="144"/>
      <c r="AS350" s="144"/>
      <c r="AT350" s="144"/>
      <c r="AU350" s="144"/>
      <c r="AV350" s="144"/>
      <c r="AW350" s="144"/>
      <c r="AX350" s="144"/>
      <c r="AY350" s="144"/>
    </row>
    <row r="351" spans="1:66" ht="13.8" thickBot="1">
      <c r="A351" s="2081"/>
      <c r="B351" s="2081"/>
      <c r="C351" s="2081"/>
      <c r="D351" s="2081"/>
      <c r="E351" s="2081"/>
      <c r="F351" s="2081"/>
      <c r="G351" s="2081"/>
      <c r="H351" s="2081"/>
      <c r="I351" s="2081"/>
      <c r="J351" s="2081"/>
      <c r="K351" s="2081"/>
      <c r="L351" s="2081"/>
      <c r="M351" s="2081"/>
      <c r="N351" s="2081"/>
      <c r="O351" s="2081"/>
      <c r="P351" s="2081"/>
      <c r="Q351" s="2081"/>
      <c r="R351" s="2081"/>
      <c r="S351" s="2081"/>
      <c r="T351" s="2081"/>
      <c r="U351" s="2081"/>
      <c r="V351" s="2081"/>
      <c r="W351" s="2081"/>
      <c r="X351" s="2081"/>
      <c r="Y351" s="2081"/>
      <c r="Z351" s="2081"/>
      <c r="AA351" s="2081"/>
      <c r="AB351" s="2081"/>
      <c r="AC351" s="2081"/>
      <c r="AD351" s="2081"/>
      <c r="AE351" s="2081"/>
      <c r="AF351" s="2081"/>
      <c r="AG351" s="2081"/>
      <c r="AH351" s="2081"/>
      <c r="AI351" s="2081"/>
      <c r="AJ351" s="2081"/>
      <c r="AK351" s="2081"/>
      <c r="AL351" s="2081"/>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5" t="s">
        <v>578</v>
      </c>
      <c r="N354" s="2035"/>
      <c r="P354" s="12" t="s">
        <v>2002</v>
      </c>
      <c r="AJ354" s="2035" t="s">
        <v>578</v>
      </c>
      <c r="AK354" s="2035"/>
    </row>
    <row r="355" spans="1:37" ht="12.75" customHeight="1">
      <c r="D355" s="58" t="s">
        <v>1991</v>
      </c>
      <c r="M355" s="2035" t="s">
        <v>626</v>
      </c>
      <c r="N355" s="2035"/>
      <c r="P355" s="58" t="s">
        <v>2213</v>
      </c>
      <c r="AJ355" s="2129"/>
      <c r="AK355" s="2129"/>
    </row>
    <row r="356" spans="1:37" ht="12.75" customHeight="1">
      <c r="D356" s="12" t="s">
        <v>745</v>
      </c>
      <c r="M356" s="2035" t="s">
        <v>626</v>
      </c>
      <c r="N356" s="2035"/>
      <c r="P356" s="714" t="s">
        <v>2001</v>
      </c>
      <c r="AJ356" s="2035" t="s">
        <v>626</v>
      </c>
      <c r="AK356" s="2035"/>
    </row>
    <row r="357" spans="1:37" ht="12.75" customHeight="1">
      <c r="D357" s="12" t="s">
        <v>746</v>
      </c>
      <c r="M357" s="2035" t="s">
        <v>626</v>
      </c>
      <c r="N357" s="2035"/>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5" t="s">
        <v>626</v>
      </c>
      <c r="O362" s="2035"/>
      <c r="P362" s="69"/>
      <c r="Q362" s="69"/>
      <c r="R362" s="69"/>
      <c r="S362" s="69"/>
      <c r="T362" s="69"/>
      <c r="U362" s="69"/>
      <c r="V362" s="69"/>
      <c r="W362" s="69"/>
      <c r="X362" s="69"/>
      <c r="Y362" s="70"/>
      <c r="Z362" s="70"/>
      <c r="AC362" s="69"/>
      <c r="AD362" s="69"/>
      <c r="AE362" s="69"/>
    </row>
    <row r="363" spans="1:37" ht="12.75" customHeight="1">
      <c r="E363" s="12" t="s">
        <v>381</v>
      </c>
      <c r="Y363" s="2035" t="s">
        <v>626</v>
      </c>
      <c r="Z363" s="2035"/>
    </row>
    <row r="364" spans="1:37" ht="12.75" customHeight="1">
      <c r="D364" s="7" t="s">
        <v>1057</v>
      </c>
      <c r="Q364" s="2036" t="s">
        <v>626</v>
      </c>
      <c r="R364" s="2036"/>
      <c r="S364" s="2036"/>
      <c r="T364" s="2036"/>
      <c r="U364" s="2036"/>
      <c r="V364" s="2036"/>
      <c r="W364" s="2036"/>
      <c r="X364" s="2036"/>
      <c r="Y364" s="2036"/>
      <c r="Z364" s="2036"/>
      <c r="AA364" s="2036"/>
      <c r="AB364" s="2036"/>
      <c r="AC364" s="2036"/>
      <c r="AD364" s="2036"/>
      <c r="AE364" s="2036"/>
      <c r="AF364" s="2036"/>
      <c r="AG364" s="203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5" t="s">
        <v>626</v>
      </c>
      <c r="K366" s="2035"/>
      <c r="L366" s="69"/>
      <c r="M366" s="69"/>
      <c r="N366" s="69"/>
      <c r="O366" s="69"/>
      <c r="P366" s="69"/>
      <c r="Q366" s="69"/>
      <c r="R366" s="69"/>
      <c r="S366" s="69"/>
      <c r="T366" s="69"/>
      <c r="U366" s="69"/>
      <c r="V366" s="69"/>
      <c r="W366" s="69"/>
      <c r="X366" s="69"/>
      <c r="Y366" s="69"/>
      <c r="Z366" s="69"/>
      <c r="AC366" s="69"/>
      <c r="AD366" s="69"/>
      <c r="AE366" s="69"/>
    </row>
    <row r="367" spans="1:37" ht="12.75" customHeight="1">
      <c r="E367" s="2374" t="s">
        <v>747</v>
      </c>
      <c r="F367" s="2374"/>
      <c r="G367" s="2374"/>
      <c r="H367" s="2374"/>
      <c r="I367" s="2374"/>
      <c r="J367" s="2374"/>
      <c r="K367" s="2374"/>
      <c r="L367" s="2374"/>
      <c r="M367" s="2374"/>
      <c r="N367" s="2374"/>
      <c r="O367" s="2374"/>
      <c r="P367" s="2374"/>
      <c r="Q367" s="2374"/>
      <c r="R367" s="2374"/>
      <c r="S367" s="2374"/>
      <c r="T367" s="2374"/>
      <c r="U367" s="2374"/>
      <c r="V367" s="2374"/>
      <c r="W367" s="2374"/>
      <c r="X367" s="2374"/>
      <c r="Y367" s="2374"/>
      <c r="Z367" s="2374"/>
      <c r="AA367" s="2374"/>
      <c r="AB367" s="2374"/>
      <c r="AC367" s="2374"/>
      <c r="AD367" s="2374"/>
      <c r="AE367" s="2374"/>
      <c r="AF367" s="2374"/>
      <c r="AG367" s="2374"/>
      <c r="AH367" s="2374"/>
    </row>
    <row r="368" spans="1:37" ht="12.75" customHeight="1">
      <c r="E368" s="2374"/>
      <c r="F368" s="2374"/>
      <c r="G368" s="2374"/>
      <c r="H368" s="2374"/>
      <c r="I368" s="2374"/>
      <c r="J368" s="2374"/>
      <c r="K368" s="2374"/>
      <c r="L368" s="2374"/>
      <c r="M368" s="2374"/>
      <c r="N368" s="2374"/>
      <c r="O368" s="2374"/>
      <c r="P368" s="2374"/>
      <c r="Q368" s="2374"/>
      <c r="R368" s="2374"/>
      <c r="S368" s="2374"/>
      <c r="T368" s="2374"/>
      <c r="U368" s="2374"/>
      <c r="V368" s="2374"/>
      <c r="W368" s="2374"/>
      <c r="X368" s="2374"/>
      <c r="Y368" s="2374"/>
      <c r="Z368" s="2374"/>
      <c r="AA368" s="2374"/>
      <c r="AB368" s="2374"/>
      <c r="AC368" s="2374"/>
      <c r="AD368" s="2374"/>
      <c r="AE368" s="2374"/>
      <c r="AF368" s="2374"/>
      <c r="AG368" s="2374"/>
      <c r="AH368" s="2374"/>
    </row>
    <row r="369" spans="1:36" ht="12.75" customHeight="1">
      <c r="E369" s="7" t="s">
        <v>479</v>
      </c>
      <c r="F369" s="7"/>
      <c r="G369" s="7"/>
      <c r="H369" s="7"/>
      <c r="I369" s="7"/>
      <c r="J369" s="7"/>
      <c r="K369" s="7"/>
      <c r="L369" s="7"/>
      <c r="N369" s="2059"/>
      <c r="O369" s="2059"/>
      <c r="P369" s="2059"/>
      <c r="Q369" s="2059"/>
      <c r="R369" s="7"/>
      <c r="U369" s="7" t="s">
        <v>480</v>
      </c>
      <c r="V369" s="7"/>
      <c r="W369" s="7"/>
      <c r="X369" s="7"/>
      <c r="Y369" s="7"/>
      <c r="Z369" s="7"/>
      <c r="AA369" s="7"/>
      <c r="AB369" s="7"/>
      <c r="AC369" s="2059"/>
      <c r="AD369" s="2059"/>
      <c r="AE369" s="2059"/>
      <c r="AF369" s="2059"/>
    </row>
    <row r="370" spans="1:36" ht="12.75" customHeight="1">
      <c r="E370" s="7" t="s">
        <v>481</v>
      </c>
      <c r="F370" s="7"/>
      <c r="G370" s="7"/>
      <c r="H370" s="7"/>
      <c r="I370" s="7"/>
      <c r="J370" s="7"/>
      <c r="K370" s="7"/>
      <c r="L370" s="7"/>
      <c r="N370" s="2059"/>
      <c r="O370" s="2059"/>
      <c r="P370" s="2059"/>
      <c r="Q370" s="2059"/>
      <c r="R370" s="7"/>
      <c r="U370" s="7" t="s">
        <v>0</v>
      </c>
      <c r="V370" s="7"/>
      <c r="W370" s="7"/>
      <c r="X370" s="7"/>
      <c r="Y370" s="7"/>
      <c r="Z370" s="7"/>
      <c r="AA370" s="7"/>
      <c r="AB370" s="7"/>
      <c r="AC370" s="2059"/>
      <c r="AD370" s="2059"/>
      <c r="AE370" s="2059"/>
      <c r="AF370" s="2059"/>
    </row>
    <row r="371" spans="1:36" ht="12.75" customHeight="1">
      <c r="E371" s="7" t="s">
        <v>1</v>
      </c>
      <c r="F371" s="7"/>
      <c r="G371" s="7"/>
      <c r="H371" s="7"/>
      <c r="I371" s="7"/>
      <c r="J371" s="7"/>
      <c r="K371" s="7"/>
      <c r="L371" s="7"/>
      <c r="N371" s="2059"/>
      <c r="O371" s="2059"/>
      <c r="P371" s="2059"/>
      <c r="Q371" s="2059"/>
      <c r="R371" s="7"/>
      <c r="V371" s="7"/>
      <c r="W371" s="7"/>
      <c r="X371" s="7"/>
      <c r="Y371" s="7"/>
      <c r="Z371" s="7"/>
      <c r="AA371" s="7"/>
      <c r="AB371" s="7"/>
    </row>
    <row r="372" spans="1:36" ht="12.75" customHeight="1">
      <c r="E372" s="7" t="s">
        <v>2</v>
      </c>
      <c r="F372" s="7"/>
      <c r="G372" s="7"/>
      <c r="H372" s="7"/>
      <c r="I372" s="7"/>
      <c r="J372" s="7"/>
      <c r="K372" s="7"/>
      <c r="L372" s="7"/>
      <c r="N372" s="2061"/>
      <c r="O372" s="2061"/>
      <c r="P372" s="2061"/>
      <c r="Q372" s="2061"/>
      <c r="R372" s="2061"/>
      <c r="S372" s="2061"/>
      <c r="T372" s="2061"/>
      <c r="U372" s="2061"/>
      <c r="V372" s="2061"/>
      <c r="W372" s="2061"/>
      <c r="X372" s="2061"/>
      <c r="Y372" s="2061"/>
      <c r="Z372" s="2061"/>
      <c r="AA372" s="2061"/>
      <c r="AB372" s="2061"/>
      <c r="AC372" s="2061"/>
      <c r="AD372" s="2061"/>
      <c r="AE372" s="2061"/>
      <c r="AF372" s="2061"/>
    </row>
    <row r="373" spans="1:36" ht="12.75" customHeight="1">
      <c r="E373" s="7"/>
      <c r="F373" s="7"/>
      <c r="G373" s="7"/>
      <c r="H373" s="7"/>
      <c r="I373" s="7"/>
      <c r="J373" s="7"/>
      <c r="K373" s="7"/>
      <c r="L373" s="7"/>
      <c r="N373" s="2062"/>
      <c r="O373" s="2062"/>
      <c r="P373" s="2062"/>
      <c r="Q373" s="2062"/>
      <c r="R373" s="2062"/>
      <c r="S373" s="2062"/>
      <c r="T373" s="2062"/>
      <c r="U373" s="2062"/>
      <c r="V373" s="2062"/>
      <c r="W373" s="2062"/>
      <c r="X373" s="2062"/>
      <c r="Y373" s="2062"/>
      <c r="Z373" s="2062"/>
      <c r="AA373" s="2062"/>
      <c r="AB373" s="2062"/>
      <c r="AC373" s="2062"/>
      <c r="AD373" s="2062"/>
      <c r="AE373" s="2062"/>
      <c r="AF373" s="2062"/>
    </row>
    <row r="374" spans="1:36" ht="12.75" customHeight="1">
      <c r="C374" s="909"/>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082"/>
      <c r="T376" s="2082"/>
      <c r="U376" s="4" t="s">
        <v>315</v>
      </c>
      <c r="V376" s="2082"/>
      <c r="W376" s="2082"/>
      <c r="Y376" s="25" t="s">
        <v>313</v>
      </c>
      <c r="AA376" s="25"/>
      <c r="AB376" s="25" t="s">
        <v>314</v>
      </c>
      <c r="AD376" s="2082"/>
      <c r="AE376" s="2082"/>
      <c r="AF376" s="4" t="s">
        <v>315</v>
      </c>
      <c r="AG376" s="2082"/>
      <c r="AH376" s="2082"/>
    </row>
    <row r="377" spans="1:36" ht="12.75" customHeight="1">
      <c r="E377" s="7" t="s">
        <v>1088</v>
      </c>
      <c r="F377" s="7"/>
      <c r="G377" s="7"/>
      <c r="H377" s="7"/>
      <c r="I377" s="7"/>
      <c r="J377" s="7"/>
      <c r="K377" s="7"/>
      <c r="L377" s="7"/>
      <c r="N377" s="2082"/>
      <c r="O377" s="2082"/>
      <c r="P377" s="2082"/>
    </row>
    <row r="378" spans="1:36" ht="12.75" customHeight="1">
      <c r="E378" s="377" t="s">
        <v>1089</v>
      </c>
      <c r="F378" s="7"/>
      <c r="G378" s="7"/>
      <c r="H378" s="7"/>
      <c r="I378" s="7"/>
      <c r="J378" s="7"/>
      <c r="K378" s="7"/>
      <c r="L378" s="7"/>
      <c r="AG378" s="2238" t="s">
        <v>626</v>
      </c>
      <c r="AH378" s="2238"/>
    </row>
    <row r="379" spans="1:36" ht="12.75" customHeight="1">
      <c r="E379" s="7"/>
      <c r="F379" s="7"/>
      <c r="G379" s="7" t="s">
        <v>1110</v>
      </c>
      <c r="H379" s="7"/>
      <c r="I379" s="7"/>
      <c r="J379" s="7"/>
      <c r="K379" s="7"/>
      <c r="L379" s="7"/>
      <c r="AG379" s="2238" t="s">
        <v>626</v>
      </c>
      <c r="AH379" s="2238"/>
    </row>
    <row r="380" spans="1:36" ht="12.75" customHeight="1">
      <c r="E380" s="7"/>
      <c r="F380" s="7"/>
      <c r="G380" s="504" t="s">
        <v>1090</v>
      </c>
      <c r="H380" s="7"/>
      <c r="I380" s="7"/>
      <c r="J380" s="7"/>
      <c r="K380" s="7"/>
      <c r="L380" s="7"/>
      <c r="V380" s="2035" t="s">
        <v>626</v>
      </c>
      <c r="W380" s="2035"/>
      <c r="Y380" s="35" t="s">
        <v>1059</v>
      </c>
    </row>
    <row r="381" spans="1:36" ht="12.75" customHeight="1">
      <c r="E381" s="7" t="s">
        <v>1060</v>
      </c>
      <c r="F381" s="7"/>
      <c r="G381" s="7"/>
      <c r="H381" s="7"/>
      <c r="I381" s="7"/>
      <c r="J381" s="7"/>
      <c r="K381" s="7"/>
      <c r="L381" s="7"/>
      <c r="V381" s="2035" t="s">
        <v>626</v>
      </c>
      <c r="W381" s="2035"/>
      <c r="Y381" s="7" t="s">
        <v>1061</v>
      </c>
    </row>
    <row r="382" spans="1:36" ht="12.75" customHeight="1"/>
    <row r="383" spans="1:36" ht="12.75" customHeight="1">
      <c r="A383" s="50" t="s">
        <v>82</v>
      </c>
      <c r="B383" s="50"/>
    </row>
    <row r="384" spans="1:36" ht="12.75" customHeight="1">
      <c r="D384" s="12" t="s">
        <v>449</v>
      </c>
      <c r="J384" s="2036" t="s">
        <v>2590</v>
      </c>
      <c r="K384" s="2036"/>
      <c r="L384" s="2036"/>
      <c r="M384" s="2036"/>
      <c r="N384" s="2036"/>
      <c r="O384" s="2036"/>
      <c r="P384" s="2036"/>
      <c r="Q384" s="2036"/>
      <c r="R384" s="2036"/>
      <c r="S384" s="2036"/>
      <c r="T384" s="2036"/>
      <c r="U384" s="2036"/>
      <c r="V384" s="14" t="s">
        <v>88</v>
      </c>
      <c r="W384" s="14"/>
      <c r="X384" s="14"/>
      <c r="Y384" s="14"/>
      <c r="Z384" s="14"/>
      <c r="AA384" s="14"/>
      <c r="AB384" s="14"/>
      <c r="AC384" s="2036" t="s">
        <v>2591</v>
      </c>
      <c r="AD384" s="2036"/>
      <c r="AE384" s="2036"/>
      <c r="AF384" s="2036"/>
      <c r="AG384" s="2036"/>
      <c r="AH384" s="2036"/>
      <c r="AI384" s="2036"/>
      <c r="AJ384" s="2036"/>
    </row>
    <row r="385" spans="1:96" ht="12.75" customHeight="1">
      <c r="A385" s="714"/>
      <c r="B385" s="714"/>
      <c r="C385" s="714"/>
      <c r="D385" s="58" t="s">
        <v>1380</v>
      </c>
      <c r="E385" s="714"/>
      <c r="F385" s="714"/>
      <c r="G385" s="714"/>
      <c r="H385" s="714"/>
      <c r="I385" s="714"/>
      <c r="J385" s="2038" t="s">
        <v>2587</v>
      </c>
      <c r="K385" s="2038"/>
      <c r="L385" s="2038"/>
      <c r="M385" s="2038"/>
      <c r="N385" s="2038"/>
      <c r="O385" s="2038"/>
      <c r="P385" s="2038"/>
      <c r="Q385" s="2038"/>
      <c r="R385" s="2038"/>
      <c r="S385" s="2038"/>
      <c r="T385" s="2038"/>
      <c r="U385" s="2038"/>
      <c r="V385" s="58" t="s">
        <v>1380</v>
      </c>
      <c r="W385" s="14"/>
      <c r="X385" s="14"/>
      <c r="Y385" s="14"/>
      <c r="Z385" s="14"/>
      <c r="AA385" s="14"/>
      <c r="AB385" s="14"/>
      <c r="AC385" s="2036" t="s">
        <v>2587</v>
      </c>
      <c r="AD385" s="2036"/>
      <c r="AE385" s="2036"/>
      <c r="AF385" s="2036"/>
      <c r="AG385" s="2036"/>
      <c r="AH385" s="2036"/>
      <c r="AI385" s="2036"/>
      <c r="AJ385" s="2036"/>
      <c r="AK385" s="714"/>
      <c r="AL385" s="714"/>
    </row>
    <row r="386" spans="1:96" ht="12.75" customHeight="1">
      <c r="A386" s="714"/>
      <c r="B386" s="714"/>
      <c r="C386" s="714"/>
      <c r="D386" s="58" t="s">
        <v>464</v>
      </c>
      <c r="E386" s="714"/>
      <c r="F386" s="714"/>
      <c r="G386" s="714"/>
      <c r="H386" s="714"/>
      <c r="I386" s="714"/>
      <c r="J386" s="2038" t="s">
        <v>2588</v>
      </c>
      <c r="K386" s="2038"/>
      <c r="L386" s="2038"/>
      <c r="M386" s="2038"/>
      <c r="N386" s="2038"/>
      <c r="O386" s="2038"/>
      <c r="P386" s="2038"/>
      <c r="Q386" s="2038"/>
      <c r="R386" s="2038"/>
      <c r="S386" s="2038"/>
      <c r="T386" s="2038"/>
      <c r="U386" s="2038"/>
      <c r="V386" s="58" t="s">
        <v>464</v>
      </c>
      <c r="W386" s="14"/>
      <c r="X386" s="14"/>
      <c r="Y386" s="14"/>
      <c r="Z386" s="14"/>
      <c r="AA386" s="14"/>
      <c r="AB386" s="14"/>
      <c r="AC386" s="2036" t="s">
        <v>2588</v>
      </c>
      <c r="AD386" s="2036"/>
      <c r="AE386" s="2036"/>
      <c r="AF386" s="2036"/>
      <c r="AG386" s="2036"/>
      <c r="AH386" s="2036"/>
      <c r="AI386" s="2036"/>
      <c r="AJ386" s="2036"/>
      <c r="AK386" s="714"/>
      <c r="AL386" s="714"/>
    </row>
    <row r="387" spans="1:96" ht="12.75" customHeight="1">
      <c r="A387" s="714"/>
      <c r="B387" s="714"/>
      <c r="C387" s="714"/>
      <c r="D387" s="474" t="s">
        <v>1376</v>
      </c>
      <c r="E387" s="714"/>
      <c r="F387" s="714"/>
      <c r="G387" s="714"/>
      <c r="H387" s="714"/>
      <c r="I387" s="88"/>
      <c r="J387" s="2055" t="s">
        <v>2589</v>
      </c>
      <c r="K387" s="2055"/>
      <c r="L387" s="2055"/>
      <c r="M387" s="2055"/>
      <c r="N387" s="2055"/>
      <c r="O387" s="2055"/>
      <c r="P387" s="2055"/>
      <c r="Q387" s="2055"/>
      <c r="R387" s="2055"/>
      <c r="S387" s="2055"/>
      <c r="T387" s="2055"/>
      <c r="U387" s="2055"/>
      <c r="V387" s="2036"/>
      <c r="W387" s="2036"/>
      <c r="X387" s="2036"/>
      <c r="Y387" s="2036"/>
      <c r="Z387" s="2036"/>
      <c r="AA387" s="2036"/>
      <c r="AB387" s="2036"/>
      <c r="AC387" s="2036"/>
      <c r="AD387" s="2036"/>
      <c r="AE387" s="2036"/>
      <c r="AF387" s="2036"/>
      <c r="AG387" s="2036"/>
      <c r="AH387" s="2036"/>
      <c r="AI387" s="2036"/>
      <c r="AJ387" s="2036"/>
      <c r="AK387" s="714"/>
      <c r="AL387" s="714"/>
    </row>
    <row r="388" spans="1:96" ht="12.75" customHeight="1">
      <c r="D388" s="12" t="s">
        <v>4</v>
      </c>
      <c r="Q388" s="2253">
        <v>43647</v>
      </c>
      <c r="R388" s="2253"/>
      <c r="S388" s="2253"/>
      <c r="T388" s="2253"/>
      <c r="U388" s="2253"/>
      <c r="V388" s="12" t="s">
        <v>318</v>
      </c>
      <c r="AI388" s="2035" t="s">
        <v>706</v>
      </c>
      <c r="AJ388" s="2035"/>
    </row>
    <row r="389" spans="1:96" ht="12.75" customHeight="1">
      <c r="D389" s="12" t="s">
        <v>5</v>
      </c>
      <c r="Q389" s="2326">
        <v>44456</v>
      </c>
      <c r="R389" s="2373"/>
      <c r="S389" s="2373"/>
      <c r="T389" s="2373"/>
      <c r="U389" s="2373"/>
      <c r="W389" s="33" t="s">
        <v>78</v>
      </c>
      <c r="AG389" s="2057"/>
      <c r="AH389" s="2057"/>
      <c r="AI389" s="2057"/>
      <c r="AJ389" s="2057"/>
    </row>
    <row r="390" spans="1:96" ht="12.75" customHeight="1">
      <c r="D390" s="12" t="s">
        <v>448</v>
      </c>
      <c r="Q390" s="2254">
        <v>4500000</v>
      </c>
      <c r="R390" s="2254"/>
      <c r="S390" s="2254"/>
      <c r="T390" s="2254"/>
      <c r="U390" s="2254"/>
      <c r="V390" s="58" t="s">
        <v>1379</v>
      </c>
      <c r="AG390" s="2058">
        <v>44456</v>
      </c>
      <c r="AH390" s="2058"/>
      <c r="AI390" s="2058"/>
      <c r="AJ390" s="2058"/>
    </row>
    <row r="391" spans="1:96" ht="12.75" customHeight="1">
      <c r="D391" s="12" t="s">
        <v>93</v>
      </c>
      <c r="I391" s="2185" t="s">
        <v>2592</v>
      </c>
      <c r="J391" s="2186"/>
      <c r="K391" s="2186"/>
      <c r="L391" s="2186"/>
      <c r="M391" s="2186"/>
      <c r="N391" s="2186"/>
      <c r="Q391" s="57" t="s">
        <v>212</v>
      </c>
      <c r="S391" s="2252"/>
      <c r="T391" s="2252"/>
      <c r="U391" s="2252"/>
      <c r="V391" s="12" t="s">
        <v>77</v>
      </c>
      <c r="AI391" s="2035" t="s">
        <v>706</v>
      </c>
      <c r="AJ391" s="2035"/>
    </row>
    <row r="392" spans="1:96" ht="12.75" customHeight="1">
      <c r="D392" s="12" t="s">
        <v>319</v>
      </c>
      <c r="Q392" s="2039"/>
      <c r="R392" s="2039"/>
      <c r="S392" s="2039"/>
      <c r="T392" s="2039"/>
      <c r="U392" s="2039"/>
      <c r="V392" s="12" t="s">
        <v>320</v>
      </c>
      <c r="AG392" s="2057"/>
      <c r="AH392" s="2057"/>
      <c r="AI392" s="2057"/>
      <c r="AJ392" s="2057"/>
    </row>
    <row r="393" spans="1:96" ht="12.75" customHeight="1">
      <c r="D393" s="12" t="s">
        <v>321</v>
      </c>
      <c r="Q393" s="2189">
        <v>1.0200000000000001E-2</v>
      </c>
      <c r="R393" s="2189"/>
      <c r="S393" s="2189"/>
      <c r="T393" s="2189"/>
      <c r="U393" s="2189"/>
      <c r="V393" s="714" t="s">
        <v>1356</v>
      </c>
      <c r="AG393" s="2057"/>
      <c r="AH393" s="2057"/>
      <c r="AI393" s="2057"/>
      <c r="AJ393" s="2057"/>
    </row>
    <row r="394" spans="1:96" ht="13.2">
      <c r="D394" s="714" t="s">
        <v>1355</v>
      </c>
      <c r="V394" s="714"/>
      <c r="AG394" s="2057"/>
      <c r="AH394" s="2057"/>
      <c r="AI394" s="2057"/>
      <c r="AJ394" s="2057"/>
    </row>
    <row r="395" spans="1:96" s="714" customFormat="1" ht="13.2">
      <c r="AG395" s="743"/>
      <c r="AH395" s="743"/>
      <c r="AI395" s="743"/>
      <c r="AJ395" s="743"/>
      <c r="AM395" s="39"/>
      <c r="AN395" s="39"/>
      <c r="AO395" s="39"/>
      <c r="AP395" s="39"/>
      <c r="AQ395" s="39"/>
      <c r="AR395" s="39"/>
      <c r="AS395" s="39"/>
      <c r="AT395" s="39"/>
      <c r="AU395" s="39"/>
      <c r="AV395" s="39"/>
      <c r="AW395" s="39"/>
      <c r="AX395" s="39"/>
      <c r="AY395" s="39"/>
      <c r="CR395" s="25"/>
    </row>
    <row r="396" spans="1:96" s="714" customFormat="1" ht="13.2">
      <c r="D396" s="58" t="s">
        <v>2020</v>
      </c>
      <c r="AG396" s="743"/>
      <c r="AH396" s="743"/>
      <c r="AI396" s="2035" t="s">
        <v>706</v>
      </c>
      <c r="AJ396" s="2035"/>
      <c r="AM396" s="39"/>
      <c r="AN396" s="39"/>
      <c r="AO396" s="39"/>
      <c r="AP396" s="39"/>
      <c r="AQ396" s="39"/>
      <c r="AR396" s="39"/>
      <c r="AS396" s="39"/>
      <c r="AT396" s="39"/>
      <c r="AU396" s="39"/>
      <c r="AV396" s="39"/>
      <c r="AW396" s="39"/>
      <c r="AX396" s="39"/>
      <c r="AY396" s="39"/>
      <c r="CR396" s="25"/>
    </row>
    <row r="397" spans="1:96" s="714" customFormat="1" ht="13.2">
      <c r="D397" s="58" t="s">
        <v>2022</v>
      </c>
      <c r="T397" s="2100"/>
      <c r="U397" s="2100"/>
      <c r="V397" s="2100"/>
      <c r="W397" s="2100"/>
      <c r="X397" s="2100"/>
      <c r="Y397" s="2100"/>
      <c r="Z397" s="2100"/>
      <c r="AA397" s="2100"/>
      <c r="AB397" s="2100"/>
      <c r="AC397" s="2100"/>
      <c r="AD397" s="2100"/>
      <c r="AE397" s="2100"/>
      <c r="AF397" s="2100"/>
      <c r="AG397" s="2100"/>
      <c r="AH397" s="2100"/>
      <c r="AI397" s="2100"/>
      <c r="AJ397" s="2100"/>
      <c r="AM397" s="39"/>
      <c r="AN397" s="39"/>
      <c r="AO397" s="39"/>
      <c r="AP397" s="39"/>
      <c r="AQ397" s="39"/>
      <c r="AR397" s="39"/>
      <c r="AS397" s="39"/>
      <c r="AT397" s="39"/>
      <c r="AU397" s="39"/>
      <c r="AV397" s="39"/>
      <c r="AW397" s="39"/>
      <c r="AX397" s="39"/>
      <c r="AY397" s="39"/>
      <c r="CR397" s="25"/>
    </row>
    <row r="398" spans="1:96" s="714" customFormat="1" ht="13.2">
      <c r="D398" s="58" t="s">
        <v>2021</v>
      </c>
      <c r="T398" s="2100"/>
      <c r="U398" s="2100"/>
      <c r="V398" s="2100"/>
      <c r="W398" s="2100"/>
      <c r="X398" s="2100"/>
      <c r="Y398" s="2100"/>
      <c r="Z398" s="2100"/>
      <c r="AA398" s="2100"/>
      <c r="AB398" s="2100"/>
      <c r="AC398" s="2100"/>
      <c r="AD398" s="2100"/>
      <c r="AE398" s="2100"/>
      <c r="AF398" s="2100"/>
      <c r="AG398" s="2100"/>
      <c r="AH398" s="2100"/>
      <c r="AI398" s="2100"/>
      <c r="AJ398" s="2100"/>
      <c r="AM398" s="39"/>
      <c r="AN398" s="39"/>
      <c r="AO398" s="39"/>
      <c r="AP398" s="39"/>
      <c r="AQ398" s="39"/>
      <c r="AR398" s="39"/>
      <c r="AS398" s="39"/>
      <c r="AT398" s="39"/>
      <c r="AU398" s="39"/>
      <c r="AV398" s="39"/>
      <c r="AW398" s="39"/>
      <c r="AX398" s="39"/>
      <c r="AY398" s="39"/>
      <c r="CR398" s="25"/>
    </row>
    <row r="399" spans="1:96" ht="13.2">
      <c r="A399" s="714"/>
      <c r="B399" s="714"/>
      <c r="C399" s="714"/>
      <c r="D399" s="714"/>
      <c r="E399" s="714"/>
      <c r="F399" s="714"/>
      <c r="G399" s="714"/>
      <c r="H399" s="714"/>
      <c r="I399" s="714"/>
      <c r="J399" s="714"/>
      <c r="K399" s="714"/>
      <c r="L399" s="714"/>
      <c r="M399" s="714"/>
      <c r="N399" s="714"/>
      <c r="O399" s="714"/>
      <c r="P399" s="714"/>
      <c r="Q399" s="714"/>
      <c r="R399" s="714"/>
      <c r="S399" s="714"/>
      <c r="T399" s="714"/>
      <c r="U399" s="714"/>
      <c r="V399" s="714"/>
      <c r="W399" s="714"/>
      <c r="X399" s="714"/>
      <c r="Y399" s="714"/>
      <c r="Z399" s="714"/>
      <c r="AA399" s="714"/>
      <c r="AB399" s="39"/>
      <c r="AC399" s="39"/>
      <c r="AD399" s="39"/>
      <c r="AE399" s="39"/>
      <c r="AF399" s="39"/>
      <c r="AG399" s="743"/>
      <c r="AH399" s="743"/>
      <c r="AI399" s="743"/>
      <c r="AJ399" s="743"/>
      <c r="AK399" s="39"/>
      <c r="AL399" s="714"/>
    </row>
    <row r="400" spans="1:96" ht="13.2">
      <c r="A400" s="714"/>
      <c r="B400" s="714"/>
      <c r="C400" s="714"/>
      <c r="D400" s="58" t="s">
        <v>2014</v>
      </c>
      <c r="E400" s="714"/>
      <c r="F400" s="714"/>
      <c r="G400" s="714"/>
      <c r="H400" s="714"/>
      <c r="I400" s="714"/>
      <c r="J400" s="714"/>
      <c r="K400" s="714"/>
      <c r="L400" s="714"/>
      <c r="M400" s="714"/>
      <c r="N400" s="714"/>
      <c r="O400" s="714"/>
      <c r="P400" s="714"/>
      <c r="Q400" s="714"/>
      <c r="R400" s="714"/>
      <c r="S400" s="2100" t="s">
        <v>706</v>
      </c>
      <c r="T400" s="2100"/>
      <c r="U400" s="2100"/>
      <c r="V400" s="474" t="s">
        <v>2015</v>
      </c>
      <c r="W400" s="714"/>
      <c r="X400" s="714"/>
      <c r="Y400" s="714"/>
      <c r="Z400" s="714"/>
      <c r="AA400" s="714"/>
      <c r="AB400" s="39"/>
      <c r="AC400" s="39"/>
      <c r="AD400" s="39"/>
      <c r="AE400" s="39"/>
      <c r="AF400" s="39"/>
      <c r="AG400" s="2143"/>
      <c r="AH400" s="2143"/>
      <c r="AI400" s="2143"/>
      <c r="AJ400" s="2143"/>
      <c r="AK400" s="39"/>
      <c r="AL400" s="714"/>
    </row>
    <row r="401" spans="1:96" s="714" customFormat="1" ht="13.2">
      <c r="D401" s="58" t="s">
        <v>2011</v>
      </c>
      <c r="S401" s="2100" t="s">
        <v>626</v>
      </c>
      <c r="T401" s="2100"/>
      <c r="U401" s="2100"/>
      <c r="V401" s="474" t="s">
        <v>2017</v>
      </c>
      <c r="AB401" s="39"/>
      <c r="AC401" s="39"/>
      <c r="AD401" s="39"/>
      <c r="AE401" s="2144"/>
      <c r="AF401" s="2144"/>
      <c r="AG401" s="2144"/>
      <c r="AH401" s="2144"/>
      <c r="AI401" s="2144"/>
      <c r="AJ401" s="2144"/>
      <c r="AK401" s="39"/>
      <c r="AM401" s="39"/>
      <c r="AN401" s="39"/>
      <c r="AO401" s="39"/>
      <c r="AP401" s="39"/>
      <c r="AQ401" s="39"/>
      <c r="AR401" s="39"/>
      <c r="AS401" s="39"/>
      <c r="AT401" s="39"/>
      <c r="AU401" s="39"/>
      <c r="AV401" s="39"/>
      <c r="AW401" s="39"/>
      <c r="AX401" s="39"/>
      <c r="AY401" s="39"/>
      <c r="CR401" s="25"/>
    </row>
    <row r="402" spans="1:96" s="714" customFormat="1" ht="13.2">
      <c r="D402" s="58" t="s">
        <v>2013</v>
      </c>
      <c r="K402" s="2086"/>
      <c r="L402" s="2086"/>
      <c r="M402" s="2086"/>
      <c r="N402" s="2086"/>
      <c r="O402" s="2086"/>
      <c r="P402" s="2086"/>
      <c r="Q402" s="2086"/>
      <c r="R402" s="2086"/>
      <c r="S402" s="2086"/>
      <c r="T402" s="2086"/>
      <c r="U402" s="2086"/>
      <c r="V402" s="2086"/>
      <c r="W402" s="2086"/>
      <c r="X402" s="2086"/>
      <c r="Y402" s="2086"/>
      <c r="Z402" s="2086"/>
      <c r="AA402" s="2086"/>
      <c r="AB402" s="2086"/>
      <c r="AC402" s="2086"/>
      <c r="AD402" s="2086"/>
      <c r="AE402" s="2086"/>
      <c r="AF402" s="2086"/>
      <c r="AG402" s="2086"/>
      <c r="AH402" s="2086"/>
      <c r="AI402" s="2086"/>
      <c r="AJ402" s="2086"/>
      <c r="AK402" s="39"/>
      <c r="AM402" s="39"/>
      <c r="AN402" s="39"/>
      <c r="AO402" s="39"/>
      <c r="AP402" s="39"/>
      <c r="AQ402" s="39"/>
      <c r="AR402" s="39"/>
      <c r="AS402" s="39"/>
      <c r="AT402" s="39"/>
      <c r="AU402" s="39"/>
      <c r="AV402" s="39"/>
      <c r="AW402" s="39"/>
      <c r="AX402" s="39"/>
      <c r="AY402" s="39"/>
      <c r="CR402" s="25"/>
    </row>
    <row r="403" spans="1:96" s="714" customFormat="1" ht="13.2">
      <c r="D403" s="58" t="s">
        <v>2016</v>
      </c>
      <c r="K403" s="2086"/>
      <c r="L403" s="2086"/>
      <c r="M403" s="2086"/>
      <c r="N403" s="2086"/>
      <c r="O403" s="2086"/>
      <c r="P403" s="2086"/>
      <c r="Q403" s="2086"/>
      <c r="R403" s="2086"/>
      <c r="S403" s="2086"/>
      <c r="T403" s="2086"/>
      <c r="U403" s="2086"/>
      <c r="V403" s="2086"/>
      <c r="W403" s="2086"/>
      <c r="X403" s="2086"/>
      <c r="Y403" s="2086"/>
      <c r="Z403" s="2086"/>
      <c r="AA403" s="2086"/>
      <c r="AB403" s="2086"/>
      <c r="AC403" s="2086"/>
      <c r="AD403" s="2086"/>
      <c r="AE403" s="2086"/>
      <c r="AF403" s="2086"/>
      <c r="AG403" s="2086"/>
      <c r="AH403" s="2086"/>
      <c r="AI403" s="2086"/>
      <c r="AJ403" s="2086"/>
      <c r="AK403" s="39"/>
      <c r="AM403" s="39"/>
      <c r="AN403" s="39"/>
      <c r="AO403" s="39"/>
      <c r="AP403" s="39"/>
      <c r="AQ403" s="39"/>
      <c r="AR403" s="39"/>
      <c r="AS403" s="39"/>
      <c r="AT403" s="39"/>
      <c r="AU403" s="39"/>
      <c r="AV403" s="39"/>
      <c r="AW403" s="39"/>
      <c r="AX403" s="39"/>
      <c r="AY403" s="39"/>
      <c r="CR403" s="25"/>
    </row>
    <row r="404" spans="1:96" s="714" customFormat="1" ht="12.75" customHeight="1">
      <c r="D404" s="181" t="s">
        <v>2019</v>
      </c>
      <c r="E404" s="1513"/>
      <c r="F404" s="1513"/>
      <c r="G404" s="1513"/>
      <c r="H404" s="1513"/>
      <c r="I404" s="1513"/>
      <c r="J404" s="1513"/>
      <c r="K404" s="1513"/>
      <c r="L404" s="1513"/>
      <c r="M404" s="1513"/>
      <c r="N404" s="1513"/>
      <c r="O404" s="1513"/>
      <c r="P404" s="1513"/>
      <c r="Q404" s="1513"/>
      <c r="R404" s="1513"/>
      <c r="S404" s="2146" t="s">
        <v>1382</v>
      </c>
      <c r="T404" s="2146"/>
      <c r="U404" s="2146"/>
      <c r="V404" s="2146"/>
      <c r="W404" s="2146"/>
      <c r="X404" s="2146"/>
      <c r="Y404" s="2146"/>
      <c r="Z404" s="2146"/>
      <c r="AA404" s="2146"/>
      <c r="AB404" s="2146"/>
      <c r="AC404" s="2146"/>
      <c r="AD404" s="2146"/>
      <c r="AE404" s="2146"/>
      <c r="AF404" s="2146"/>
      <c r="AG404" s="2146"/>
      <c r="AH404" s="2146"/>
      <c r="AI404" s="2146"/>
      <c r="AJ404" s="2146"/>
      <c r="AK404" s="39"/>
      <c r="AL404" s="39"/>
      <c r="AM404" s="39"/>
      <c r="AN404" s="39"/>
      <c r="AO404" s="39"/>
      <c r="AP404" s="39"/>
      <c r="AQ404" s="39"/>
      <c r="AR404" s="39"/>
      <c r="AS404" s="39"/>
      <c r="AT404" s="39"/>
      <c r="AU404" s="39"/>
      <c r="AV404" s="39"/>
      <c r="AW404" s="39"/>
      <c r="AX404" s="39"/>
      <c r="AY404" s="39"/>
      <c r="CR404" s="25"/>
    </row>
    <row r="405" spans="1:96" s="714" customFormat="1" ht="13.2">
      <c r="D405" s="2145" t="s">
        <v>2018</v>
      </c>
      <c r="E405" s="2145"/>
      <c r="F405" s="2145"/>
      <c r="G405" s="2145"/>
      <c r="H405" s="2145"/>
      <c r="I405" s="2145"/>
      <c r="J405" s="2145"/>
      <c r="K405" s="2145"/>
      <c r="L405" s="2145"/>
      <c r="M405" s="2145"/>
      <c r="N405" s="2145"/>
      <c r="O405" s="2145"/>
      <c r="P405" s="2145"/>
      <c r="Q405" s="2145"/>
      <c r="R405" s="2145"/>
      <c r="S405" s="2145"/>
      <c r="T405" s="2145"/>
      <c r="U405" s="2145"/>
      <c r="V405" s="2145"/>
      <c r="W405" s="2145"/>
      <c r="X405" s="2145"/>
      <c r="Y405" s="2145"/>
      <c r="Z405" s="2145"/>
      <c r="AA405" s="2145"/>
      <c r="AB405" s="2145"/>
      <c r="AC405" s="2145"/>
      <c r="AD405" s="2145"/>
      <c r="AE405" s="2145"/>
      <c r="AF405" s="2145"/>
      <c r="AG405" s="2145"/>
      <c r="AH405" s="2145"/>
      <c r="AI405" s="2145"/>
      <c r="AJ405" s="2145"/>
      <c r="AK405" s="39"/>
      <c r="AL405" s="39"/>
      <c r="AM405" s="39"/>
      <c r="AN405" s="39"/>
      <c r="AO405" s="39"/>
      <c r="AP405" s="39"/>
      <c r="AQ405" s="39"/>
      <c r="AR405" s="39"/>
      <c r="AS405" s="39"/>
      <c r="AT405" s="39"/>
      <c r="AU405" s="39"/>
      <c r="AV405" s="39"/>
      <c r="AW405" s="39"/>
      <c r="AX405" s="39"/>
      <c r="AY405" s="39"/>
      <c r="CR405" s="25"/>
    </row>
    <row r="406" spans="1:96" s="714" customFormat="1" ht="13.2">
      <c r="D406" s="2145"/>
      <c r="E406" s="2145"/>
      <c r="F406" s="2145"/>
      <c r="G406" s="2145"/>
      <c r="H406" s="2145"/>
      <c r="I406" s="2145"/>
      <c r="J406" s="2145"/>
      <c r="K406" s="2145"/>
      <c r="L406" s="2145"/>
      <c r="M406" s="2145"/>
      <c r="N406" s="2145"/>
      <c r="O406" s="2145"/>
      <c r="P406" s="2145"/>
      <c r="Q406" s="2145"/>
      <c r="R406" s="2145"/>
      <c r="S406" s="2145"/>
      <c r="T406" s="2145"/>
      <c r="U406" s="2145"/>
      <c r="V406" s="2145"/>
      <c r="W406" s="2145"/>
      <c r="X406" s="2145"/>
      <c r="Y406" s="2145"/>
      <c r="Z406" s="2145"/>
      <c r="AA406" s="2145"/>
      <c r="AB406" s="2145"/>
      <c r="AC406" s="2145"/>
      <c r="AD406" s="2145"/>
      <c r="AE406" s="2145"/>
      <c r="AF406" s="2145"/>
      <c r="AG406" s="2145"/>
      <c r="AH406" s="2145"/>
      <c r="AI406" s="2145"/>
      <c r="AJ406" s="2145"/>
      <c r="AK406" s="39"/>
      <c r="AL406" s="39"/>
      <c r="AM406" s="39"/>
      <c r="AN406" s="39"/>
      <c r="AO406" s="39"/>
      <c r="AP406" s="39"/>
      <c r="AQ406" s="39"/>
      <c r="AR406" s="39"/>
      <c r="AS406" s="39"/>
      <c r="AT406" s="39"/>
      <c r="AU406" s="39"/>
      <c r="AV406" s="39"/>
      <c r="AW406" s="39"/>
      <c r="AX406" s="39"/>
      <c r="AY406" s="39"/>
      <c r="CR406" s="25"/>
    </row>
    <row r="407" spans="1:96" s="714"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3"/>
      <c r="AH407" s="743"/>
      <c r="AI407" s="743"/>
      <c r="AJ407" s="743"/>
      <c r="AK407" s="39"/>
      <c r="AL407" s="39"/>
      <c r="AM407" s="39"/>
      <c r="AN407" s="39"/>
      <c r="AO407" s="39"/>
      <c r="AP407" s="39"/>
      <c r="AQ407" s="39"/>
      <c r="AR407" s="39"/>
      <c r="AS407" s="39"/>
      <c r="AT407" s="39"/>
      <c r="AU407" s="39"/>
      <c r="AV407" s="39"/>
      <c r="AW407" s="39"/>
      <c r="AX407" s="39"/>
      <c r="AY407" s="39"/>
      <c r="AZ407" s="39"/>
      <c r="BA407" s="39"/>
      <c r="CR407" s="25"/>
    </row>
    <row r="408" spans="1:96" s="714"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198" t="s">
        <v>2593</v>
      </c>
      <c r="J409" s="2198"/>
      <c r="K409" s="2198"/>
      <c r="L409" s="2198"/>
      <c r="M409" s="2198"/>
      <c r="N409" s="2198"/>
      <c r="O409" s="2198"/>
      <c r="P409" s="2198"/>
      <c r="Q409" s="2198"/>
      <c r="R409" s="2198"/>
      <c r="S409" s="2198"/>
      <c r="T409" s="2198"/>
      <c r="U409" s="2198"/>
      <c r="V409" s="2198"/>
      <c r="W409" s="2198"/>
      <c r="X409" s="2198"/>
      <c r="Y409" s="2198"/>
      <c r="Z409" s="2198"/>
      <c r="AA409" s="2198"/>
      <c r="AB409" s="2198"/>
      <c r="AC409" s="2198"/>
      <c r="AD409" s="2198"/>
      <c r="AE409" s="2198"/>
    </row>
    <row r="410" spans="1:96" ht="12.75" customHeight="1">
      <c r="C410" s="25"/>
      <c r="D410" s="25"/>
      <c r="E410" s="12" t="s">
        <v>111</v>
      </c>
      <c r="F410" s="25"/>
      <c r="G410" s="25"/>
      <c r="H410" s="25"/>
      <c r="I410" s="25"/>
      <c r="J410" s="25"/>
      <c r="K410" s="25"/>
      <c r="L410" s="25"/>
      <c r="M410" s="25"/>
      <c r="N410" s="25"/>
      <c r="O410" s="25"/>
      <c r="P410" s="714"/>
      <c r="Q410" s="714"/>
      <c r="R410" s="2035" t="s">
        <v>578</v>
      </c>
      <c r="S410" s="2035"/>
      <c r="T410" s="12" t="s">
        <v>604</v>
      </c>
      <c r="U410" s="714"/>
      <c r="V410" s="714"/>
      <c r="W410" s="714"/>
      <c r="X410" s="714"/>
      <c r="Y410" s="714"/>
      <c r="Z410" s="714"/>
      <c r="AA410" s="714"/>
      <c r="AB410" s="714"/>
      <c r="AC410" s="714"/>
      <c r="AD410" s="2059">
        <v>4</v>
      </c>
      <c r="AE410" s="2059"/>
      <c r="AF410" s="714"/>
    </row>
    <row r="411" spans="1:96" ht="13.2">
      <c r="C411" s="25"/>
      <c r="E411" s="12" t="s">
        <v>112</v>
      </c>
      <c r="F411" s="714"/>
      <c r="G411" s="714"/>
      <c r="H411" s="714"/>
      <c r="I411" s="714"/>
      <c r="J411" s="714"/>
      <c r="K411" s="714"/>
      <c r="L411" s="714"/>
      <c r="M411" s="714"/>
      <c r="N411" s="25"/>
      <c r="O411" s="25"/>
      <c r="P411" s="714"/>
      <c r="Q411" s="714"/>
      <c r="R411" s="2035" t="s">
        <v>578</v>
      </c>
      <c r="S411" s="2035"/>
      <c r="T411" s="12" t="s">
        <v>604</v>
      </c>
      <c r="U411" s="714"/>
      <c r="V411" s="714"/>
      <c r="W411" s="714"/>
      <c r="X411" s="714"/>
      <c r="Y411" s="714"/>
      <c r="Z411" s="714"/>
      <c r="AA411" s="714"/>
      <c r="AB411" s="714"/>
      <c r="AC411" s="714"/>
      <c r="AD411" s="2059">
        <v>3</v>
      </c>
      <c r="AE411" s="2059"/>
      <c r="AF411" s="714"/>
    </row>
    <row r="412" spans="1:96" ht="12.75" customHeight="1">
      <c r="C412" s="25"/>
      <c r="E412" s="12" t="s">
        <v>113</v>
      </c>
      <c r="F412" s="714"/>
      <c r="G412" s="714"/>
      <c r="H412" s="714"/>
      <c r="I412" s="714"/>
      <c r="J412" s="714"/>
      <c r="K412" s="714"/>
      <c r="L412" s="714"/>
      <c r="M412" s="714"/>
      <c r="N412" s="25"/>
      <c r="O412" s="25"/>
      <c r="P412" s="714"/>
      <c r="Q412" s="714"/>
      <c r="R412" s="714"/>
      <c r="S412" s="2035" t="s">
        <v>626</v>
      </c>
      <c r="T412" s="2035"/>
      <c r="U412" s="714"/>
      <c r="V412" s="714"/>
      <c r="W412" s="714"/>
      <c r="X412" s="714"/>
      <c r="Y412" s="714"/>
      <c r="Z412" s="714"/>
      <c r="AA412" s="714"/>
      <c r="AB412" s="714"/>
      <c r="AC412" s="714"/>
      <c r="AD412" s="714"/>
      <c r="AE412" s="714"/>
      <c r="AF412" s="714"/>
    </row>
    <row r="413" spans="1:96" ht="12.75" customHeight="1">
      <c r="E413" s="12" t="s">
        <v>175</v>
      </c>
      <c r="F413" s="714"/>
      <c r="G413" s="714"/>
      <c r="H413" s="2187" t="s">
        <v>2594</v>
      </c>
      <c r="I413" s="2187"/>
      <c r="J413" s="2187"/>
      <c r="K413" s="2187"/>
      <c r="L413" s="2187"/>
      <c r="M413" s="2187"/>
      <c r="N413" s="2187"/>
      <c r="O413" s="2187"/>
      <c r="P413" s="2187"/>
      <c r="Q413" s="2187"/>
      <c r="R413" s="2187"/>
      <c r="S413" s="2187"/>
      <c r="T413" s="2187"/>
      <c r="U413" s="2187"/>
      <c r="V413" s="2187"/>
      <c r="W413" s="2187"/>
      <c r="X413" s="2187"/>
      <c r="Y413" s="2187"/>
      <c r="Z413" s="2187"/>
      <c r="AA413" s="2187"/>
      <c r="AB413" s="2187"/>
      <c r="AC413" s="2187"/>
      <c r="AD413" s="2187"/>
      <c r="AE413" s="2187"/>
      <c r="AF413" s="714"/>
    </row>
    <row r="414" spans="1:96" ht="12.75" customHeight="1">
      <c r="E414" s="25"/>
      <c r="F414" s="714"/>
      <c r="G414" s="714"/>
      <c r="H414" s="2188"/>
      <c r="I414" s="2188"/>
      <c r="J414" s="2188"/>
      <c r="K414" s="2188"/>
      <c r="L414" s="2188"/>
      <c r="M414" s="2188"/>
      <c r="N414" s="2188"/>
      <c r="O414" s="2188"/>
      <c r="P414" s="2188"/>
      <c r="Q414" s="2188"/>
      <c r="R414" s="2188"/>
      <c r="S414" s="2188"/>
      <c r="T414" s="2188"/>
      <c r="U414" s="2188"/>
      <c r="V414" s="2188"/>
      <c r="W414" s="2188"/>
      <c r="X414" s="2188"/>
      <c r="Y414" s="2188"/>
      <c r="Z414" s="2188"/>
      <c r="AA414" s="2188"/>
      <c r="AB414" s="2188"/>
      <c r="AC414" s="2188"/>
      <c r="AD414" s="2188"/>
      <c r="AE414" s="2188"/>
      <c r="AF414" s="714"/>
    </row>
    <row r="415" spans="1:96" ht="12.75" customHeight="1"/>
    <row r="416" spans="1:96" ht="12.75" customHeight="1">
      <c r="A416" s="50" t="s">
        <v>625</v>
      </c>
      <c r="B416" s="50"/>
      <c r="C416" s="50"/>
      <c r="D416" s="50" t="s">
        <v>119</v>
      </c>
      <c r="AF416" s="50" t="s">
        <v>1034</v>
      </c>
    </row>
    <row r="417" spans="1:96" ht="12.75" customHeight="1">
      <c r="E417" s="2082"/>
      <c r="F417" s="2082"/>
      <c r="G417" s="2082"/>
      <c r="H417" s="23" t="s">
        <v>120</v>
      </c>
      <c r="I417" s="2082"/>
      <c r="J417" s="2082"/>
      <c r="K417" s="2082"/>
      <c r="L417" s="12" t="s">
        <v>121</v>
      </c>
      <c r="N417" s="141" t="s">
        <v>610</v>
      </c>
      <c r="P417" s="2251">
        <v>7.76</v>
      </c>
      <c r="Q417" s="2251"/>
      <c r="R417" s="2251"/>
      <c r="S417" s="12" t="s">
        <v>122</v>
      </c>
      <c r="W417" s="2071">
        <f>IF(E417&gt;0,(E417*I417),(P417*43560))</f>
        <v>338025.6</v>
      </c>
      <c r="X417" s="2071"/>
      <c r="Y417" s="2071"/>
      <c r="Z417" s="12" t="s">
        <v>123</v>
      </c>
      <c r="AF417" s="2257">
        <f>IF(P417&gt;0,(AG436/P417),(AG436/(W417/43560)))</f>
        <v>25.773195876288661</v>
      </c>
      <c r="AG417" s="2257"/>
      <c r="AH417" s="2257"/>
      <c r="AM417" s="239"/>
    </row>
    <row r="418" spans="1:96" ht="13.2">
      <c r="E418" s="12" t="s">
        <v>54</v>
      </c>
    </row>
    <row r="419" spans="1:96" ht="12.75" customHeight="1">
      <c r="E419" s="2118"/>
      <c r="F419" s="2118"/>
      <c r="G419" s="2118"/>
      <c r="H419" s="2118"/>
      <c r="I419" s="2118"/>
      <c r="J419" s="2118"/>
      <c r="K419" s="2118"/>
      <c r="L419" s="2118"/>
      <c r="M419" s="2118"/>
      <c r="N419" s="2118"/>
      <c r="O419" s="2118"/>
      <c r="P419" s="2118"/>
      <c r="Q419" s="2118"/>
      <c r="R419" s="2118"/>
      <c r="S419" s="2118"/>
      <c r="T419" s="2118"/>
      <c r="U419" s="2118"/>
      <c r="V419" s="2118"/>
      <c r="W419" s="2118"/>
      <c r="X419" s="2118"/>
      <c r="Y419" s="2118"/>
      <c r="Z419" s="2118"/>
      <c r="AA419" s="2118"/>
      <c r="AB419" s="2118"/>
      <c r="AC419" s="2118"/>
      <c r="AD419" s="2118"/>
      <c r="AE419" s="2118"/>
      <c r="AF419" s="2118"/>
      <c r="AG419" s="2118"/>
      <c r="AH419" s="2118"/>
      <c r="AI419" s="2118"/>
      <c r="AJ419" s="2118"/>
    </row>
    <row r="420" spans="1:96" s="39" customFormat="1" ht="12.75" customHeight="1">
      <c r="E420" s="254" t="s">
        <v>2230</v>
      </c>
      <c r="F420" s="1791"/>
      <c r="G420" s="1791"/>
      <c r="H420" s="1791"/>
      <c r="I420" s="2378">
        <v>7.76</v>
      </c>
      <c r="J420" s="2378"/>
      <c r="K420" s="2378"/>
      <c r="L420" s="1791"/>
      <c r="M420" s="254"/>
      <c r="N420" s="1791"/>
      <c r="O420" s="1791"/>
      <c r="P420" s="2412">
        <f>(CS637+CS645+CS661)/I420</f>
        <v>52.963917525773198</v>
      </c>
      <c r="Q420" s="2412"/>
      <c r="R420" s="2412"/>
      <c r="S420" s="254" t="s">
        <v>2231</v>
      </c>
      <c r="T420" s="1791"/>
      <c r="U420" s="1791"/>
      <c r="V420" s="1791"/>
      <c r="W420" s="1791"/>
      <c r="X420" s="1791"/>
      <c r="Y420" s="1791"/>
      <c r="Z420" s="1791"/>
      <c r="AA420" s="1791"/>
      <c r="AB420" s="1791"/>
      <c r="AC420" s="1791"/>
      <c r="AD420" s="1791"/>
      <c r="AE420" s="1791"/>
      <c r="AF420" s="1791"/>
      <c r="AG420" s="1791"/>
      <c r="AH420" s="1791"/>
      <c r="AI420" s="1791"/>
      <c r="AJ420" s="1791"/>
      <c r="CR420" s="676"/>
    </row>
    <row r="421" spans="1:96" ht="13.2">
      <c r="S421" s="714"/>
      <c r="T421" s="714"/>
      <c r="U421" s="714"/>
      <c r="V421" s="714"/>
      <c r="W421" s="714"/>
      <c r="X421" s="714"/>
      <c r="Y421" s="714"/>
      <c r="Z421" s="714"/>
      <c r="AA421" s="714"/>
      <c r="AB421" s="714"/>
      <c r="AC421" s="714"/>
      <c r="AD421" s="714"/>
      <c r="AE421" s="714"/>
      <c r="AF421" s="714"/>
      <c r="AG421" s="714"/>
      <c r="AH421" s="714"/>
      <c r="AI421" s="714"/>
      <c r="AJ421" s="714"/>
      <c r="AK421" s="714"/>
      <c r="AL421" s="714"/>
    </row>
    <row r="422" spans="1:96" ht="13.2">
      <c r="A422" s="50" t="s">
        <v>627</v>
      </c>
      <c r="B422" s="50"/>
      <c r="C422" s="50"/>
      <c r="D422" s="50" t="s">
        <v>125</v>
      </c>
      <c r="S422" s="714"/>
      <c r="T422" s="714"/>
      <c r="U422" s="714"/>
      <c r="V422" s="714"/>
      <c r="W422" s="714"/>
      <c r="X422" s="714"/>
      <c r="Y422" s="714"/>
      <c r="Z422" s="714"/>
      <c r="AA422" s="714"/>
      <c r="AB422" s="714"/>
      <c r="AC422" s="714"/>
      <c r="AD422" s="714"/>
      <c r="AE422" s="714"/>
      <c r="AF422" s="714"/>
      <c r="AG422" s="714"/>
      <c r="AH422" s="714"/>
      <c r="AI422" s="714"/>
      <c r="AJ422" s="714"/>
      <c r="AK422" s="714"/>
      <c r="AL422" s="714"/>
    </row>
    <row r="423" spans="1:96" ht="13.2">
      <c r="E423" s="12" t="s">
        <v>126</v>
      </c>
      <c r="P423" s="2035">
        <v>23</v>
      </c>
      <c r="Q423" s="2035"/>
      <c r="S423" s="12" t="s">
        <v>195</v>
      </c>
      <c r="AE423" s="2035">
        <v>23</v>
      </c>
      <c r="AF423" s="2035"/>
    </row>
    <row r="424" spans="1:96" ht="13.2">
      <c r="E424" s="12" t="s">
        <v>196</v>
      </c>
      <c r="P424" s="2035">
        <v>0</v>
      </c>
      <c r="Q424" s="2035"/>
      <c r="S424" s="12" t="s">
        <v>136</v>
      </c>
      <c r="AE424" s="2035" t="s">
        <v>626</v>
      </c>
      <c r="AF424" s="2035"/>
    </row>
    <row r="425" spans="1:96" ht="13.2">
      <c r="F425" s="67" t="s">
        <v>137</v>
      </c>
    </row>
    <row r="426" spans="1:96" ht="13.2">
      <c r="F426" s="2083"/>
      <c r="G426" s="2083"/>
      <c r="H426" s="2083"/>
      <c r="I426" s="2083"/>
      <c r="J426" s="2083"/>
      <c r="K426" s="2083"/>
      <c r="L426" s="2083"/>
      <c r="M426" s="2083"/>
      <c r="N426" s="2083"/>
      <c r="O426" s="2083"/>
      <c r="P426" s="2083"/>
      <c r="Q426" s="2083"/>
      <c r="R426" s="2083"/>
      <c r="S426" s="2083"/>
      <c r="T426" s="2083"/>
      <c r="U426" s="2083"/>
      <c r="V426" s="2083"/>
      <c r="W426" s="2083"/>
      <c r="X426" s="2083"/>
      <c r="Y426" s="2083"/>
      <c r="Z426" s="2083"/>
      <c r="AA426" s="2083"/>
      <c r="AB426" s="2083"/>
      <c r="AC426" s="2083"/>
      <c r="AD426" s="2083"/>
      <c r="AE426" s="2083"/>
      <c r="AF426" s="2083"/>
      <c r="AG426" s="2083"/>
      <c r="AH426" s="2083"/>
    </row>
    <row r="427" spans="1:96" ht="12.75" customHeight="1">
      <c r="F427" s="2084"/>
      <c r="G427" s="2084"/>
      <c r="H427" s="2084"/>
      <c r="I427" s="2084"/>
      <c r="J427" s="2084"/>
      <c r="K427" s="2084"/>
      <c r="L427" s="2084"/>
      <c r="M427" s="2084"/>
      <c r="N427" s="2084"/>
      <c r="O427" s="2084"/>
      <c r="P427" s="2084"/>
      <c r="Q427" s="2084"/>
      <c r="R427" s="2084"/>
      <c r="S427" s="2084"/>
      <c r="T427" s="2084"/>
      <c r="U427" s="2084"/>
      <c r="V427" s="2084"/>
      <c r="W427" s="2084"/>
      <c r="X427" s="2084"/>
      <c r="Y427" s="2084"/>
      <c r="Z427" s="2084"/>
      <c r="AA427" s="2084"/>
      <c r="AB427" s="2084"/>
      <c r="AC427" s="2084"/>
      <c r="AD427" s="2084"/>
      <c r="AE427" s="2084"/>
      <c r="AF427" s="2084"/>
      <c r="AG427" s="2084"/>
      <c r="AH427" s="2084"/>
    </row>
    <row r="428" spans="1:96" ht="12.75" customHeight="1">
      <c r="E428" s="12" t="s">
        <v>643</v>
      </c>
      <c r="N428" s="39"/>
      <c r="O428" s="39"/>
      <c r="P428" s="235"/>
      <c r="Q428" s="2035" t="s">
        <v>578</v>
      </c>
      <c r="R428" s="2035"/>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5" t="s">
        <v>626</v>
      </c>
      <c r="AG429" s="2102"/>
    </row>
    <row r="430" spans="1:96" ht="12.75" customHeight="1">
      <c r="S430" s="25"/>
      <c r="T430" s="25"/>
    </row>
    <row r="431" spans="1:96" ht="12.75" customHeight="1">
      <c r="A431" s="50"/>
      <c r="B431" s="50"/>
      <c r="C431" s="50"/>
      <c r="E431" s="7" t="s">
        <v>317</v>
      </c>
      <c r="Z431" s="2035" t="s">
        <v>578</v>
      </c>
      <c r="AA431" s="203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5" t="s">
        <v>706</v>
      </c>
      <c r="AA433" s="2035"/>
    </row>
    <row r="434" spans="1:110" ht="12.75" customHeight="1"/>
    <row r="435" spans="1:110" ht="12.75" customHeight="1">
      <c r="A435" s="50" t="s">
        <v>500</v>
      </c>
      <c r="B435" s="50"/>
      <c r="C435" s="50"/>
      <c r="D435" s="50" t="s">
        <v>822</v>
      </c>
      <c r="AF435" s="80"/>
    </row>
    <row r="436" spans="1:110" ht="12.75" customHeight="1">
      <c r="D436" s="2068" t="s">
        <v>46</v>
      </c>
      <c r="E436" s="2066"/>
      <c r="F436" s="2066"/>
      <c r="G436" s="2066"/>
      <c r="H436" s="2066"/>
      <c r="I436" s="2066"/>
      <c r="J436" s="2066"/>
      <c r="K436" s="2066"/>
      <c r="L436" s="2066"/>
      <c r="M436" s="2066"/>
      <c r="N436" s="2066"/>
      <c r="O436" s="2066"/>
      <c r="P436" s="2066"/>
      <c r="Q436" s="2066"/>
      <c r="R436" s="2066"/>
      <c r="S436" s="2066"/>
      <c r="T436" s="2066"/>
      <c r="U436" s="2066"/>
      <c r="V436" s="2066"/>
      <c r="W436" s="2066"/>
      <c r="X436" s="2066"/>
      <c r="Y436" s="2066"/>
      <c r="Z436" s="2066"/>
      <c r="AA436" s="2066"/>
      <c r="AB436" s="2066"/>
      <c r="AC436" s="2066"/>
      <c r="AD436" s="2066"/>
      <c r="AE436" s="2066"/>
      <c r="AF436" s="2067"/>
      <c r="AG436" s="2051">
        <v>200</v>
      </c>
      <c r="AH436" s="2051"/>
      <c r="AI436" s="2051"/>
      <c r="AJ436" s="2051"/>
    </row>
    <row r="437" spans="1:110" ht="12.75" customHeight="1">
      <c r="D437" s="2017" t="s">
        <v>1435</v>
      </c>
      <c r="E437" s="2018"/>
      <c r="F437" s="2018"/>
      <c r="G437" s="2018"/>
      <c r="H437" s="2018"/>
      <c r="I437" s="2018"/>
      <c r="J437" s="2018"/>
      <c r="K437" s="2018"/>
      <c r="L437" s="2018"/>
      <c r="M437" s="2018"/>
      <c r="N437" s="2018"/>
      <c r="O437" s="2018"/>
      <c r="P437" s="2018"/>
      <c r="Q437" s="2018"/>
      <c r="R437" s="2018"/>
      <c r="S437" s="2018"/>
      <c r="T437" s="2018"/>
      <c r="U437" s="2018"/>
      <c r="V437" s="2018"/>
      <c r="W437" s="2018"/>
      <c r="X437" s="2018"/>
      <c r="Y437" s="2018"/>
      <c r="Z437" s="2018"/>
      <c r="AA437" s="2018"/>
      <c r="AB437" s="2018"/>
      <c r="AC437" s="2018"/>
      <c r="AD437" s="2018"/>
      <c r="AE437" s="2018"/>
      <c r="AF437" s="2019"/>
      <c r="AG437" s="2078"/>
      <c r="AH437" s="2079"/>
      <c r="AI437" s="2079"/>
      <c r="AJ437" s="2079"/>
    </row>
    <row r="438" spans="1:110" ht="12.75" customHeight="1">
      <c r="D438" s="2017" t="s">
        <v>1143</v>
      </c>
      <c r="E438" s="2018"/>
      <c r="F438" s="2018"/>
      <c r="G438" s="2018"/>
      <c r="H438" s="2018"/>
      <c r="I438" s="2018"/>
      <c r="J438" s="2018"/>
      <c r="K438" s="2018"/>
      <c r="L438" s="2018"/>
      <c r="M438" s="2018"/>
      <c r="N438" s="2018"/>
      <c r="O438" s="2018"/>
      <c r="P438" s="2018"/>
      <c r="Q438" s="2018"/>
      <c r="R438" s="2018"/>
      <c r="S438" s="2018"/>
      <c r="T438" s="2018"/>
      <c r="U438" s="2018"/>
      <c r="V438" s="2018"/>
      <c r="W438" s="2018"/>
      <c r="X438" s="2018"/>
      <c r="Y438" s="2018"/>
      <c r="Z438" s="2018"/>
      <c r="AA438" s="2018"/>
      <c r="AB438" s="2018"/>
      <c r="AC438" s="2018"/>
      <c r="AD438" s="2018"/>
      <c r="AE438" s="2018"/>
      <c r="AF438" s="2019"/>
      <c r="AG438" s="2051">
        <v>198</v>
      </c>
      <c r="AH438" s="2051"/>
      <c r="AI438" s="2051"/>
      <c r="AJ438" s="2051"/>
    </row>
    <row r="439" spans="1:110" ht="12.75" customHeight="1">
      <c r="D439" s="2017" t="s">
        <v>1144</v>
      </c>
      <c r="E439" s="2018"/>
      <c r="F439" s="2018"/>
      <c r="G439" s="2018"/>
      <c r="H439" s="2018"/>
      <c r="I439" s="2018"/>
      <c r="J439" s="2018"/>
      <c r="K439" s="2018"/>
      <c r="L439" s="2018"/>
      <c r="M439" s="2018"/>
      <c r="N439" s="2018"/>
      <c r="O439" s="2018"/>
      <c r="P439" s="2018"/>
      <c r="Q439" s="2018"/>
      <c r="R439" s="2018"/>
      <c r="S439" s="2018"/>
      <c r="T439" s="2018"/>
      <c r="U439" s="2018"/>
      <c r="V439" s="2018"/>
      <c r="W439" s="2018"/>
      <c r="X439" s="2018"/>
      <c r="Y439" s="2018"/>
      <c r="Z439" s="2018"/>
      <c r="AA439" s="2018"/>
      <c r="AB439" s="2018"/>
      <c r="AC439" s="2018"/>
      <c r="AD439" s="2018"/>
      <c r="AE439" s="2018"/>
      <c r="AF439" s="2019"/>
      <c r="AG439" s="2051">
        <v>198</v>
      </c>
      <c r="AH439" s="2051"/>
      <c r="AI439" s="2051"/>
      <c r="AJ439" s="2051"/>
    </row>
    <row r="440" spans="1:110" ht="12.75" customHeight="1">
      <c r="D440" s="2017" t="s">
        <v>1146</v>
      </c>
      <c r="E440" s="2018"/>
      <c r="F440" s="2018"/>
      <c r="G440" s="2018"/>
      <c r="H440" s="2018"/>
      <c r="I440" s="2018"/>
      <c r="J440" s="2018"/>
      <c r="K440" s="2018"/>
      <c r="L440" s="2018"/>
      <c r="M440" s="2018"/>
      <c r="N440" s="2018"/>
      <c r="O440" s="2018"/>
      <c r="P440" s="2018"/>
      <c r="Q440" s="2018"/>
      <c r="R440" s="2018"/>
      <c r="S440" s="2018"/>
      <c r="T440" s="2018"/>
      <c r="U440" s="2018"/>
      <c r="V440" s="2018"/>
      <c r="W440" s="2018"/>
      <c r="X440" s="2018"/>
      <c r="Y440" s="2018"/>
      <c r="Z440" s="2018"/>
      <c r="AA440" s="2018"/>
      <c r="AB440" s="2018"/>
      <c r="AC440" s="2018"/>
      <c r="AD440" s="2018"/>
      <c r="AE440" s="2018"/>
      <c r="AF440" s="2019"/>
      <c r="AG440" s="2070">
        <f>IF(ISERROR(AG439/AG438),"",AG439/AG438)</f>
        <v>1</v>
      </c>
      <c r="AH440" s="2070"/>
      <c r="AI440" s="2070"/>
      <c r="AJ440" s="2070"/>
    </row>
    <row r="441" spans="1:110" ht="12.75" customHeight="1">
      <c r="D441" s="2017" t="s">
        <v>1145</v>
      </c>
      <c r="E441" s="2018"/>
      <c r="F441" s="2018"/>
      <c r="G441" s="2018"/>
      <c r="H441" s="2018"/>
      <c r="I441" s="2018"/>
      <c r="J441" s="2018"/>
      <c r="K441" s="2018"/>
      <c r="L441" s="2018"/>
      <c r="M441" s="2018"/>
      <c r="N441" s="2018"/>
      <c r="O441" s="2018"/>
      <c r="P441" s="2018"/>
      <c r="Q441" s="2018"/>
      <c r="R441" s="2018"/>
      <c r="S441" s="2018"/>
      <c r="T441" s="2018"/>
      <c r="U441" s="2018"/>
      <c r="V441" s="2018"/>
      <c r="W441" s="2018"/>
      <c r="X441" s="2018"/>
      <c r="Y441" s="2018"/>
      <c r="Z441" s="2018"/>
      <c r="AA441" s="2018"/>
      <c r="AB441" s="2018"/>
      <c r="AC441" s="2018"/>
      <c r="AD441" s="2018"/>
      <c r="AE441" s="2018"/>
      <c r="AF441" s="2019"/>
      <c r="AG441" s="2069">
        <v>181758</v>
      </c>
      <c r="AH441" s="2069"/>
      <c r="AI441" s="2069"/>
      <c r="AJ441" s="2069"/>
    </row>
    <row r="442" spans="1:110" ht="12.75" customHeight="1">
      <c r="D442" s="2017" t="s">
        <v>1147</v>
      </c>
      <c r="E442" s="2018"/>
      <c r="F442" s="2018"/>
      <c r="G442" s="2018"/>
      <c r="H442" s="2018"/>
      <c r="I442" s="2018"/>
      <c r="J442" s="2018"/>
      <c r="K442" s="2018"/>
      <c r="L442" s="2018"/>
      <c r="M442" s="2018"/>
      <c r="N442" s="2018"/>
      <c r="O442" s="2018"/>
      <c r="P442" s="2018"/>
      <c r="Q442" s="2018"/>
      <c r="R442" s="2018"/>
      <c r="S442" s="2018"/>
      <c r="T442" s="2018"/>
      <c r="U442" s="2018"/>
      <c r="V442" s="2018"/>
      <c r="W442" s="2018"/>
      <c r="X442" s="2018"/>
      <c r="Y442" s="2018"/>
      <c r="Z442" s="2018"/>
      <c r="AA442" s="2018"/>
      <c r="AB442" s="2018"/>
      <c r="AC442" s="2018"/>
      <c r="AD442" s="2018"/>
      <c r="AE442" s="2018"/>
      <c r="AF442" s="2019"/>
      <c r="AG442" s="2069">
        <v>181758</v>
      </c>
      <c r="AH442" s="2069"/>
      <c r="AI442" s="2069"/>
      <c r="AJ442" s="2069"/>
    </row>
    <row r="443" spans="1:110" ht="12.75" customHeight="1">
      <c r="D443" s="2017" t="s">
        <v>1148</v>
      </c>
      <c r="E443" s="2018"/>
      <c r="F443" s="2018"/>
      <c r="G443" s="2018"/>
      <c r="H443" s="2018"/>
      <c r="I443" s="2018"/>
      <c r="J443" s="2018"/>
      <c r="K443" s="2018"/>
      <c r="L443" s="2018"/>
      <c r="M443" s="2018"/>
      <c r="N443" s="2018"/>
      <c r="O443" s="2018"/>
      <c r="P443" s="2018"/>
      <c r="Q443" s="2018"/>
      <c r="R443" s="2018"/>
      <c r="S443" s="2018"/>
      <c r="T443" s="2018"/>
      <c r="U443" s="2018"/>
      <c r="V443" s="2018"/>
      <c r="W443" s="2018"/>
      <c r="X443" s="2018"/>
      <c r="Y443" s="2018"/>
      <c r="Z443" s="2018"/>
      <c r="AA443" s="2018"/>
      <c r="AB443" s="2018"/>
      <c r="AC443" s="2018"/>
      <c r="AD443" s="2018"/>
      <c r="AE443" s="2018"/>
      <c r="AF443" s="2019"/>
      <c r="AG443" s="2070">
        <f>IF(ISERROR(AG442/AG441),"",AG442/AG441)</f>
        <v>1</v>
      </c>
      <c r="AH443" s="2070"/>
      <c r="AI443" s="2070"/>
      <c r="AJ443" s="2070"/>
    </row>
    <row r="444" spans="1:110" ht="12.75" customHeight="1">
      <c r="D444" s="2017" t="s">
        <v>1149</v>
      </c>
      <c r="E444" s="2018"/>
      <c r="F444" s="2018"/>
      <c r="G444" s="2018"/>
      <c r="H444" s="2018"/>
      <c r="I444" s="2018"/>
      <c r="J444" s="2018"/>
      <c r="K444" s="2018"/>
      <c r="L444" s="2018"/>
      <c r="M444" s="2018"/>
      <c r="N444" s="2018"/>
      <c r="O444" s="2018"/>
      <c r="P444" s="2018"/>
      <c r="Q444" s="2018"/>
      <c r="R444" s="2018"/>
      <c r="S444" s="2018"/>
      <c r="T444" s="2018"/>
      <c r="U444" s="2018"/>
      <c r="V444" s="2018"/>
      <c r="W444" s="2018"/>
      <c r="X444" s="2018"/>
      <c r="Y444" s="2018"/>
      <c r="Z444" s="2018"/>
      <c r="AA444" s="2018"/>
      <c r="AB444" s="2018"/>
      <c r="AC444" s="2018"/>
      <c r="AD444" s="2018"/>
      <c r="AE444" s="2018"/>
      <c r="AF444" s="2019"/>
      <c r="AG444" s="2070">
        <f>MIN(IF(AG440&gt;AG443,AG443,AG440),1)</f>
        <v>1</v>
      </c>
      <c r="AH444" s="2070"/>
      <c r="AI444" s="2070"/>
      <c r="AJ444" s="2070"/>
    </row>
    <row r="445" spans="1:110" ht="12.75" customHeight="1">
      <c r="D445" s="2017" t="s">
        <v>1410</v>
      </c>
      <c r="E445" s="2066"/>
      <c r="F445" s="2066"/>
      <c r="G445" s="2066"/>
      <c r="H445" s="2066"/>
      <c r="I445" s="2066"/>
      <c r="J445" s="2066"/>
      <c r="K445" s="2066"/>
      <c r="L445" s="2066"/>
      <c r="M445" s="2066"/>
      <c r="N445" s="2066"/>
      <c r="O445" s="2066"/>
      <c r="P445" s="2066"/>
      <c r="Q445" s="2066"/>
      <c r="R445" s="2066"/>
      <c r="S445" s="2066"/>
      <c r="T445" s="2066"/>
      <c r="U445" s="2066"/>
      <c r="V445" s="2066"/>
      <c r="W445" s="2066"/>
      <c r="X445" s="2066"/>
      <c r="Y445" s="2066"/>
      <c r="Z445" s="2066"/>
      <c r="AA445" s="2066"/>
      <c r="AB445" s="2066"/>
      <c r="AC445" s="2066"/>
      <c r="AD445" s="2066"/>
      <c r="AE445" s="2066"/>
      <c r="AF445" s="2067"/>
      <c r="AG445" s="2069">
        <v>5649</v>
      </c>
      <c r="AH445" s="2069"/>
      <c r="AI445" s="2069"/>
      <c r="AJ445" s="2069"/>
    </row>
    <row r="446" spans="1:110" ht="12.75" customHeight="1">
      <c r="D446" s="2068" t="s">
        <v>602</v>
      </c>
      <c r="E446" s="2066"/>
      <c r="F446" s="2066"/>
      <c r="G446" s="2066"/>
      <c r="H446" s="2066"/>
      <c r="I446" s="2066"/>
      <c r="J446" s="2066"/>
      <c r="K446" s="2066"/>
      <c r="L446" s="2066"/>
      <c r="M446" s="2066"/>
      <c r="N446" s="2066"/>
      <c r="O446" s="2066"/>
      <c r="P446" s="2066"/>
      <c r="Q446" s="2066"/>
      <c r="R446" s="2066"/>
      <c r="S446" s="2066"/>
      <c r="T446" s="2066"/>
      <c r="U446" s="2066"/>
      <c r="V446" s="2066"/>
      <c r="W446" s="2066"/>
      <c r="X446" s="2066"/>
      <c r="Y446" s="2066"/>
      <c r="Z446" s="2066"/>
      <c r="AA446" s="2066"/>
      <c r="AB446" s="2066"/>
      <c r="AC446" s="2066"/>
      <c r="AD446" s="2066"/>
      <c r="AE446" s="2066"/>
      <c r="AF446" s="2067"/>
      <c r="AG446" s="2069">
        <v>0</v>
      </c>
      <c r="AH446" s="2069"/>
      <c r="AI446" s="2069"/>
      <c r="AJ446" s="206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0"/>
      <c r="CS446" s="61"/>
      <c r="CT446" s="61"/>
      <c r="CU446" s="61"/>
      <c r="CV446" s="61"/>
      <c r="CW446" s="61"/>
      <c r="CX446" s="61"/>
      <c r="CY446" s="61"/>
      <c r="CZ446" s="61"/>
      <c r="DA446" s="61"/>
      <c r="DB446" s="61"/>
      <c r="DC446" s="61"/>
      <c r="DD446" s="61"/>
      <c r="DE446" s="61"/>
      <c r="DF446" s="61"/>
    </row>
    <row r="447" spans="1:110" ht="12.45" customHeight="1">
      <c r="D447" s="2017" t="s">
        <v>1411</v>
      </c>
      <c r="E447" s="2066"/>
      <c r="F447" s="2066"/>
      <c r="G447" s="2066"/>
      <c r="H447" s="2066"/>
      <c r="I447" s="2066"/>
      <c r="J447" s="2066"/>
      <c r="K447" s="2066"/>
      <c r="L447" s="2066"/>
      <c r="M447" s="2066"/>
      <c r="N447" s="2066"/>
      <c r="O447" s="2066"/>
      <c r="P447" s="2066"/>
      <c r="Q447" s="2066"/>
      <c r="R447" s="2066"/>
      <c r="S447" s="2066"/>
      <c r="T447" s="2066"/>
      <c r="U447" s="2066"/>
      <c r="V447" s="2066"/>
      <c r="W447" s="2066"/>
      <c r="X447" s="2066"/>
      <c r="Y447" s="2066"/>
      <c r="Z447" s="2066"/>
      <c r="AA447" s="2066"/>
      <c r="AB447" s="2066"/>
      <c r="AC447" s="2066"/>
      <c r="AD447" s="2066"/>
      <c r="AE447" s="2066"/>
      <c r="AF447" s="2067"/>
      <c r="AG447" s="2069">
        <v>5146</v>
      </c>
      <c r="AH447" s="2069"/>
      <c r="AI447" s="2069"/>
      <c r="AJ447" s="206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017" t="s">
        <v>1150</v>
      </c>
      <c r="E448" s="2066"/>
      <c r="F448" s="2066"/>
      <c r="G448" s="2066"/>
      <c r="H448" s="2066"/>
      <c r="I448" s="2066"/>
      <c r="J448" s="2066"/>
      <c r="K448" s="2066"/>
      <c r="L448" s="2066"/>
      <c r="M448" s="2066"/>
      <c r="N448" s="2066"/>
      <c r="O448" s="2066"/>
      <c r="P448" s="2066"/>
      <c r="Q448" s="2066"/>
      <c r="R448" s="2066"/>
      <c r="S448" s="2066"/>
      <c r="T448" s="2066"/>
      <c r="U448" s="2066"/>
      <c r="V448" s="2066"/>
      <c r="W448" s="2066"/>
      <c r="X448" s="2066"/>
      <c r="Y448" s="2066"/>
      <c r="Z448" s="2066"/>
      <c r="AA448" s="2066"/>
      <c r="AB448" s="2066"/>
      <c r="AC448" s="2066"/>
      <c r="AD448" s="2066"/>
      <c r="AE448" s="2066"/>
      <c r="AF448" s="2067"/>
      <c r="AG448" s="2069">
        <v>0</v>
      </c>
      <c r="AH448" s="2069"/>
      <c r="AI448" s="2069"/>
      <c r="AJ448" s="206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03" t="s">
        <v>1151</v>
      </c>
      <c r="E449" s="2204"/>
      <c r="F449" s="2204"/>
      <c r="G449" s="2204"/>
      <c r="H449" s="2204"/>
      <c r="I449" s="2204"/>
      <c r="J449" s="2204"/>
      <c r="K449" s="2204"/>
      <c r="L449" s="2204"/>
      <c r="M449" s="2204"/>
      <c r="N449" s="2204"/>
      <c r="O449" s="2204"/>
      <c r="P449" s="2204"/>
      <c r="Q449" s="2204"/>
      <c r="R449" s="2204"/>
      <c r="S449" s="2204"/>
      <c r="T449" s="2204"/>
      <c r="U449" s="2204"/>
      <c r="V449" s="2204"/>
      <c r="W449" s="2204"/>
      <c r="X449" s="2204"/>
      <c r="Y449" s="2204"/>
      <c r="Z449" s="2204"/>
      <c r="AA449" s="2204"/>
      <c r="AB449" s="2204"/>
      <c r="AC449" s="2204"/>
      <c r="AD449" s="2204"/>
      <c r="AE449" s="2204"/>
      <c r="AF449" s="2205"/>
      <c r="AG449" s="2098">
        <f>AG441+AG445+AG447+AG448</f>
        <v>192553</v>
      </c>
      <c r="AH449" s="2098"/>
      <c r="AI449" s="2098"/>
      <c r="AJ449" s="209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06" t="s">
        <v>1412</v>
      </c>
      <c r="E450" s="2206"/>
      <c r="F450" s="2206"/>
      <c r="G450" s="2206"/>
      <c r="H450" s="2206"/>
      <c r="I450" s="2206"/>
      <c r="J450" s="2206"/>
      <c r="K450" s="2206"/>
      <c r="L450" s="2206"/>
      <c r="M450" s="2206"/>
      <c r="N450" s="2206"/>
      <c r="O450" s="2206"/>
      <c r="P450" s="2206"/>
      <c r="Q450" s="2206"/>
      <c r="R450" s="2206"/>
      <c r="S450" s="2206"/>
      <c r="T450" s="2206"/>
      <c r="U450" s="2206"/>
      <c r="V450" s="2206"/>
      <c r="W450" s="2206"/>
      <c r="X450" s="2206"/>
      <c r="Y450" s="2206"/>
      <c r="Z450" s="2206"/>
      <c r="AA450" s="2206"/>
      <c r="AB450" s="2206"/>
      <c r="AC450" s="2206"/>
      <c r="AD450" s="2206"/>
      <c r="AE450" s="2206"/>
      <c r="AF450" s="2206"/>
      <c r="AG450" s="2206"/>
      <c r="AH450" s="2206"/>
      <c r="AI450" s="2206"/>
      <c r="AJ450" s="220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07"/>
      <c r="E451" s="2207"/>
      <c r="F451" s="2207"/>
      <c r="G451" s="2207"/>
      <c r="H451" s="2207"/>
      <c r="I451" s="2207"/>
      <c r="J451" s="2207"/>
      <c r="K451" s="2207"/>
      <c r="L451" s="2207"/>
      <c r="M451" s="2207"/>
      <c r="N451" s="2207"/>
      <c r="O451" s="2207"/>
      <c r="P451" s="2207"/>
      <c r="Q451" s="2207"/>
      <c r="R451" s="2207"/>
      <c r="S451" s="2207"/>
      <c r="T451" s="2207"/>
      <c r="U451" s="2207"/>
      <c r="V451" s="2207"/>
      <c r="W451" s="2207"/>
      <c r="X451" s="2207"/>
      <c r="Y451" s="2207"/>
      <c r="Z451" s="2207"/>
      <c r="AA451" s="2207"/>
      <c r="AB451" s="2207"/>
      <c r="AC451" s="2207"/>
      <c r="AD451" s="2207"/>
      <c r="AE451" s="2207"/>
      <c r="AF451" s="2207"/>
      <c r="AG451" s="2207"/>
      <c r="AH451" s="2207"/>
      <c r="AI451" s="2207"/>
      <c r="AJ451" s="220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1"/>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3"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9">
        <f>'Sources and Uses Budget'!B105/Application!AG436</f>
        <v>494144.17</v>
      </c>
      <c r="AD453" s="2099"/>
      <c r="AE453" s="2099"/>
      <c r="AF453" s="209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3"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9">
        <f>'Sources and Uses Budget'!C105/Application!AG436</f>
        <v>494144.17</v>
      </c>
      <c r="AD454" s="2099"/>
      <c r="AE454" s="2099"/>
      <c r="AF454" s="209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3"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9">
        <f>('Sources and Uses Budget'!$S$107+'Sources and Uses Budget'!$T$107)/Application!AG436</f>
        <v>451130.995</v>
      </c>
      <c r="AD455" s="2099"/>
      <c r="AE455" s="2099"/>
      <c r="AF455" s="209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3"/>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14"/>
      <c r="C458" s="714"/>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2407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2408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2409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1"/>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097" t="s">
        <v>731</v>
      </c>
      <c r="E464" s="2095"/>
      <c r="F464" s="2095"/>
      <c r="G464" s="2095"/>
      <c r="H464" s="2095"/>
      <c r="I464" s="2095"/>
      <c r="J464" s="2095"/>
      <c r="K464" s="2095"/>
      <c r="L464" s="2095"/>
      <c r="M464" s="2095"/>
      <c r="N464" s="2095"/>
      <c r="O464" s="2095"/>
      <c r="P464" s="2095"/>
      <c r="Q464" s="2095"/>
      <c r="R464" s="2095"/>
      <c r="S464" s="2095"/>
      <c r="T464" s="2095"/>
      <c r="U464" s="2095"/>
      <c r="V464" s="2096"/>
      <c r="W464" s="2208">
        <v>0</v>
      </c>
      <c r="X464" s="2092"/>
      <c r="Y464" s="209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097" t="s">
        <v>732</v>
      </c>
      <c r="E465" s="2095"/>
      <c r="F465" s="2095"/>
      <c r="G465" s="2095"/>
      <c r="H465" s="2095"/>
      <c r="I465" s="2095"/>
      <c r="J465" s="2095"/>
      <c r="K465" s="2095"/>
      <c r="L465" s="2095"/>
      <c r="M465" s="2095"/>
      <c r="N465" s="2095"/>
      <c r="O465" s="2095"/>
      <c r="P465" s="2095"/>
      <c r="Q465" s="2095"/>
      <c r="R465" s="2095"/>
      <c r="S465" s="2095"/>
      <c r="T465" s="2095"/>
      <c r="U465" s="2095"/>
      <c r="V465" s="2096"/>
      <c r="W465" s="2091">
        <v>0</v>
      </c>
      <c r="X465" s="2092"/>
      <c r="Y465" s="209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4"/>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097" t="s">
        <v>733</v>
      </c>
      <c r="E466" s="2095"/>
      <c r="F466" s="2095"/>
      <c r="G466" s="2095"/>
      <c r="H466" s="2095"/>
      <c r="I466" s="2095"/>
      <c r="J466" s="2095"/>
      <c r="K466" s="2095"/>
      <c r="L466" s="2095"/>
      <c r="M466" s="2095"/>
      <c r="N466" s="2095"/>
      <c r="O466" s="2095"/>
      <c r="P466" s="2095"/>
      <c r="Q466" s="2095"/>
      <c r="R466" s="2095"/>
      <c r="S466" s="2095"/>
      <c r="T466" s="2095"/>
      <c r="U466" s="2095"/>
      <c r="V466" s="2096"/>
      <c r="W466" s="2091">
        <v>0</v>
      </c>
      <c r="X466" s="2092"/>
      <c r="Y466" s="209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7" t="s">
        <v>734</v>
      </c>
      <c r="E467" s="2095"/>
      <c r="F467" s="2095"/>
      <c r="G467" s="2095"/>
      <c r="H467" s="2095"/>
      <c r="I467" s="2095"/>
      <c r="J467" s="2095"/>
      <c r="K467" s="2095"/>
      <c r="L467" s="2095"/>
      <c r="M467" s="2095"/>
      <c r="N467" s="2095"/>
      <c r="O467" s="2095"/>
      <c r="P467" s="2095"/>
      <c r="Q467" s="2095"/>
      <c r="R467" s="2095"/>
      <c r="S467" s="2095"/>
      <c r="T467" s="2095"/>
      <c r="U467" s="2095"/>
      <c r="V467" s="2096"/>
      <c r="W467" s="2091">
        <v>0</v>
      </c>
      <c r="X467" s="2092"/>
      <c r="Y467" s="209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7" t="s">
        <v>944</v>
      </c>
      <c r="E468" s="2095"/>
      <c r="F468" s="2095"/>
      <c r="G468" s="2095"/>
      <c r="H468" s="2095"/>
      <c r="I468" s="2095"/>
      <c r="J468" s="2095"/>
      <c r="K468" s="2095"/>
      <c r="L468" s="2095"/>
      <c r="M468" s="2095"/>
      <c r="N468" s="2095"/>
      <c r="O468" s="2095"/>
      <c r="P468" s="2095"/>
      <c r="Q468" s="2095"/>
      <c r="R468" s="2095"/>
      <c r="S468" s="2095"/>
      <c r="T468" s="2095"/>
      <c r="U468" s="2095"/>
      <c r="V468" s="2096"/>
      <c r="W468" s="2091">
        <v>0</v>
      </c>
      <c r="X468" s="2092"/>
      <c r="Y468" s="209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097" t="s">
        <v>735</v>
      </c>
      <c r="E469" s="2095"/>
      <c r="F469" s="2095"/>
      <c r="G469" s="2095"/>
      <c r="H469" s="2095"/>
      <c r="I469" s="2095"/>
      <c r="J469" s="2095"/>
      <c r="K469" s="2095"/>
      <c r="L469" s="2095"/>
      <c r="M469" s="2095"/>
      <c r="N469" s="2095"/>
      <c r="O469" s="2095"/>
      <c r="P469" s="2095"/>
      <c r="Q469" s="2095"/>
      <c r="R469" s="2095"/>
      <c r="S469" s="2095"/>
      <c r="T469" s="2095"/>
      <c r="U469" s="2095"/>
      <c r="V469" s="2096"/>
      <c r="W469" s="2091">
        <v>0</v>
      </c>
      <c r="X469" s="2092"/>
      <c r="Y469" s="209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097" t="s">
        <v>1117</v>
      </c>
      <c r="E470" s="2095"/>
      <c r="F470" s="2095"/>
      <c r="G470" s="2095"/>
      <c r="H470" s="2095"/>
      <c r="I470" s="2095"/>
      <c r="J470" s="2095"/>
      <c r="K470" s="2095"/>
      <c r="L470" s="2095"/>
      <c r="M470" s="2095"/>
      <c r="N470" s="2095"/>
      <c r="O470" s="2095"/>
      <c r="P470" s="2095"/>
      <c r="Q470" s="2095"/>
      <c r="R470" s="2095"/>
      <c r="S470" s="2095"/>
      <c r="T470" s="2095"/>
      <c r="U470" s="2095"/>
      <c r="V470" s="2096"/>
      <c r="W470" s="2091">
        <v>0</v>
      </c>
      <c r="X470" s="2092"/>
      <c r="Y470" s="209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94" t="s">
        <v>2006</v>
      </c>
      <c r="E471" s="2095"/>
      <c r="F471" s="2095"/>
      <c r="G471" s="2095"/>
      <c r="H471" s="2095"/>
      <c r="I471" s="2095"/>
      <c r="J471" s="2095"/>
      <c r="K471" s="2095"/>
      <c r="L471" s="2095"/>
      <c r="M471" s="2095"/>
      <c r="N471" s="2095"/>
      <c r="O471" s="2095"/>
      <c r="P471" s="2095"/>
      <c r="Q471" s="2095"/>
      <c r="R471" s="2095"/>
      <c r="S471" s="2095"/>
      <c r="T471" s="2095"/>
      <c r="U471" s="2095"/>
      <c r="V471" s="2096"/>
      <c r="W471" s="2091">
        <v>20</v>
      </c>
      <c r="X471" s="2092"/>
      <c r="Y471" s="209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87" t="s">
        <v>175</v>
      </c>
      <c r="E472" s="388"/>
      <c r="F472" s="389"/>
      <c r="G472" s="2088" t="s">
        <v>2595</v>
      </c>
      <c r="H472" s="2089"/>
      <c r="I472" s="2089"/>
      <c r="J472" s="2089"/>
      <c r="K472" s="2089"/>
      <c r="L472" s="2089"/>
      <c r="M472" s="2089"/>
      <c r="N472" s="2089"/>
      <c r="O472" s="2089"/>
      <c r="P472" s="2089"/>
      <c r="Q472" s="2089"/>
      <c r="R472" s="2089"/>
      <c r="S472" s="2089"/>
      <c r="T472" s="2089"/>
      <c r="U472" s="2089"/>
      <c r="V472" s="2090"/>
      <c r="W472" s="2091">
        <v>8</v>
      </c>
      <c r="X472" s="2092"/>
      <c r="Y472" s="209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0" t="s">
        <v>945</v>
      </c>
      <c r="E473" s="391"/>
      <c r="F473" s="391"/>
      <c r="G473" s="1484"/>
      <c r="H473" s="1484"/>
      <c r="I473" s="1484"/>
      <c r="J473" s="1484"/>
      <c r="K473" s="1484"/>
      <c r="L473" s="1484"/>
      <c r="M473" s="1484"/>
      <c r="N473" s="1484"/>
      <c r="O473" s="1484"/>
      <c r="P473" s="1484"/>
      <c r="Q473" s="1484"/>
      <c r="R473" s="1484"/>
      <c r="S473" s="1484"/>
      <c r="T473" s="1484"/>
      <c r="U473" s="1484"/>
      <c r="V473" s="1484"/>
      <c r="W473" s="392"/>
      <c r="X473" s="392"/>
      <c r="Y473" s="393"/>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4"/>
      <c r="E474" s="395"/>
      <c r="F474" s="395"/>
      <c r="G474" s="395"/>
      <c r="H474" s="395"/>
      <c r="I474" s="395"/>
      <c r="J474" s="395"/>
      <c r="K474" s="395"/>
      <c r="L474" s="395"/>
      <c r="M474" s="395"/>
      <c r="N474" s="395"/>
      <c r="O474" s="395"/>
      <c r="P474" s="395"/>
      <c r="Q474" s="395"/>
      <c r="R474" s="395"/>
      <c r="S474" s="395"/>
      <c r="T474" s="395"/>
      <c r="U474" s="395"/>
      <c r="V474" s="395"/>
      <c r="W474" s="396"/>
      <c r="X474" s="396"/>
      <c r="Y474" s="397"/>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79"/>
      <c r="E475" s="1478"/>
      <c r="F475" s="1478"/>
      <c r="G475" s="1478"/>
      <c r="H475" s="1478"/>
      <c r="I475" s="1478"/>
      <c r="J475" s="1478"/>
      <c r="K475" s="1478"/>
      <c r="L475" s="1478"/>
      <c r="M475" s="1478"/>
      <c r="N475" s="1478"/>
      <c r="O475" s="1478"/>
      <c r="P475" s="1478"/>
      <c r="Q475" s="1478"/>
      <c r="R475" s="1478"/>
      <c r="S475" s="1478"/>
      <c r="T475" s="1478"/>
      <c r="U475" s="1478"/>
      <c r="V475" s="1478"/>
      <c r="W475" s="396"/>
      <c r="X475" s="396"/>
      <c r="Y475" s="397"/>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79"/>
      <c r="E476" s="1478"/>
      <c r="F476" s="1478"/>
      <c r="G476" s="1478"/>
      <c r="H476" s="1478"/>
      <c r="I476" s="1478"/>
      <c r="J476" s="1478"/>
      <c r="K476" s="1478"/>
      <c r="L476" s="1478"/>
      <c r="M476" s="1478"/>
      <c r="N476" s="1478"/>
      <c r="O476" s="1478"/>
      <c r="P476" s="1478"/>
      <c r="Q476" s="1478"/>
      <c r="R476" s="1478"/>
      <c r="S476" s="1478"/>
      <c r="T476" s="1478"/>
      <c r="U476" s="1478"/>
      <c r="V476" s="1478"/>
      <c r="W476" s="396"/>
      <c r="X476" s="396"/>
      <c r="Y476" s="397"/>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80" t="s">
        <v>869</v>
      </c>
      <c r="B478" s="2080"/>
      <c r="C478" s="2080"/>
      <c r="D478" s="2080"/>
      <c r="E478" s="2080"/>
      <c r="F478" s="2080"/>
      <c r="G478" s="2080"/>
      <c r="H478" s="2080"/>
      <c r="I478" s="2080"/>
      <c r="J478" s="2080"/>
      <c r="K478" s="2080"/>
      <c r="L478" s="2080"/>
      <c r="M478" s="2080"/>
      <c r="N478" s="2080"/>
      <c r="O478" s="2080"/>
      <c r="P478" s="2080"/>
      <c r="Q478" s="2080"/>
      <c r="R478" s="2080"/>
      <c r="S478" s="2080"/>
      <c r="T478" s="2080"/>
      <c r="U478" s="2080"/>
      <c r="V478" s="2080"/>
      <c r="W478" s="2080"/>
      <c r="X478" s="2080"/>
      <c r="Y478" s="2080"/>
      <c r="Z478" s="2080"/>
      <c r="AA478" s="2080"/>
      <c r="AB478" s="2080"/>
      <c r="AC478" s="2080"/>
      <c r="AD478" s="2080"/>
      <c r="AE478" s="2080"/>
      <c r="AF478" s="2080"/>
      <c r="AG478" s="2080"/>
      <c r="AH478" s="2080"/>
      <c r="AI478" s="2080"/>
      <c r="AJ478" s="2080"/>
      <c r="AK478" s="2080"/>
      <c r="AL478" s="208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81"/>
      <c r="B479" s="2081"/>
      <c r="C479" s="2081"/>
      <c r="D479" s="2081"/>
      <c r="E479" s="2081"/>
      <c r="F479" s="2081"/>
      <c r="G479" s="2081"/>
      <c r="H479" s="2081"/>
      <c r="I479" s="2081"/>
      <c r="J479" s="2081"/>
      <c r="K479" s="2081"/>
      <c r="L479" s="2081"/>
      <c r="M479" s="2081"/>
      <c r="N479" s="2081"/>
      <c r="O479" s="2081"/>
      <c r="P479" s="2081"/>
      <c r="Q479" s="2081"/>
      <c r="R479" s="2081"/>
      <c r="S479" s="2081"/>
      <c r="T479" s="2081"/>
      <c r="U479" s="2081"/>
      <c r="V479" s="2081"/>
      <c r="W479" s="2081"/>
      <c r="X479" s="2081"/>
      <c r="Y479" s="2081"/>
      <c r="Z479" s="2081"/>
      <c r="AA479" s="2081"/>
      <c r="AB479" s="2081"/>
      <c r="AC479" s="2081"/>
      <c r="AD479" s="2081"/>
      <c r="AE479" s="2081"/>
      <c r="AF479" s="2081"/>
      <c r="AG479" s="2081"/>
      <c r="AH479" s="2081"/>
      <c r="AI479" s="2081"/>
      <c r="AJ479" s="2081"/>
      <c r="AK479" s="2081"/>
      <c r="AL479" s="208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499"/>
      <c r="C483" s="499"/>
      <c r="D483" s="499"/>
      <c r="E483" s="864"/>
      <c r="F483" s="865"/>
      <c r="G483" s="865"/>
      <c r="H483" s="865"/>
      <c r="I483" s="865"/>
      <c r="J483" s="865"/>
      <c r="K483" s="865"/>
      <c r="L483" s="865"/>
      <c r="M483" s="865"/>
      <c r="N483" s="865"/>
      <c r="O483" s="865"/>
      <c r="P483" s="865"/>
      <c r="Q483" s="865"/>
      <c r="R483" s="865"/>
      <c r="S483" s="866"/>
      <c r="T483" s="2104" t="s">
        <v>870</v>
      </c>
      <c r="U483" s="2105"/>
      <c r="V483" s="2105"/>
      <c r="W483" s="2105"/>
      <c r="X483" s="2105"/>
      <c r="Y483" s="2105"/>
      <c r="Z483" s="2105"/>
      <c r="AA483" s="2105"/>
      <c r="AB483" s="2105"/>
      <c r="AC483" s="2105"/>
      <c r="AD483" s="2105"/>
      <c r="AE483" s="2105"/>
      <c r="AF483" s="2105"/>
      <c r="AG483" s="2105"/>
      <c r="AH483" s="2106"/>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67"/>
      <c r="F484" s="676"/>
      <c r="G484" s="676"/>
      <c r="H484" s="676"/>
      <c r="I484" s="676"/>
      <c r="J484" s="676"/>
      <c r="K484" s="676"/>
      <c r="L484" s="676"/>
      <c r="M484" s="676"/>
      <c r="N484" s="676"/>
      <c r="O484" s="676"/>
      <c r="P484" s="676"/>
      <c r="Q484" s="676"/>
      <c r="R484" s="676"/>
      <c r="S484" s="868"/>
      <c r="T484" s="2190" t="s">
        <v>36</v>
      </c>
      <c r="U484" s="2190"/>
      <c r="V484" s="2190"/>
      <c r="W484" s="2190"/>
      <c r="X484" s="2190"/>
      <c r="Y484" s="2190" t="s">
        <v>37</v>
      </c>
      <c r="Z484" s="2190"/>
      <c r="AA484" s="2190"/>
      <c r="AB484" s="2190"/>
      <c r="AC484" s="2190"/>
      <c r="AD484" s="2190" t="s">
        <v>348</v>
      </c>
      <c r="AE484" s="2190"/>
      <c r="AF484" s="2190"/>
      <c r="AG484" s="2190"/>
      <c r="AH484" s="219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69"/>
      <c r="F485" s="870"/>
      <c r="G485" s="870"/>
      <c r="H485" s="870"/>
      <c r="I485" s="870"/>
      <c r="J485" s="870"/>
      <c r="K485" s="870"/>
      <c r="L485" s="870"/>
      <c r="M485" s="870"/>
      <c r="N485" s="870"/>
      <c r="O485" s="870"/>
      <c r="P485" s="870"/>
      <c r="Q485" s="870"/>
      <c r="R485" s="870"/>
      <c r="S485" s="871"/>
      <c r="T485" s="2190"/>
      <c r="U485" s="2190"/>
      <c r="V485" s="2190"/>
      <c r="W485" s="2190"/>
      <c r="X485" s="2190"/>
      <c r="Y485" s="2190"/>
      <c r="Z485" s="2190"/>
      <c r="AA485" s="2190"/>
      <c r="AB485" s="2190"/>
      <c r="AC485" s="2190"/>
      <c r="AD485" s="2190"/>
      <c r="AE485" s="2190"/>
      <c r="AF485" s="2190"/>
      <c r="AG485" s="2190"/>
      <c r="AH485" s="219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027" t="s">
        <v>2573</v>
      </c>
      <c r="U486" s="2027"/>
      <c r="V486" s="2027"/>
      <c r="W486" s="2027"/>
      <c r="X486" s="2027"/>
      <c r="Y486" s="2027" t="s">
        <v>626</v>
      </c>
      <c r="Z486" s="2027"/>
      <c r="AA486" s="2027"/>
      <c r="AB486" s="2027"/>
      <c r="AC486" s="2027"/>
      <c r="AD486" s="2027" t="s">
        <v>626</v>
      </c>
      <c r="AE486" s="2027"/>
      <c r="AF486" s="2027"/>
      <c r="AG486" s="2027"/>
      <c r="AH486" s="202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027" t="s">
        <v>2573</v>
      </c>
      <c r="U487" s="2027"/>
      <c r="V487" s="2027"/>
      <c r="W487" s="2027"/>
      <c r="X487" s="2027"/>
      <c r="Y487" s="2027" t="s">
        <v>626</v>
      </c>
      <c r="Z487" s="2027"/>
      <c r="AA487" s="2027"/>
      <c r="AB487" s="2027"/>
      <c r="AC487" s="2027"/>
      <c r="AD487" s="2027" t="s">
        <v>626</v>
      </c>
      <c r="AE487" s="2027"/>
      <c r="AF487" s="2027"/>
      <c r="AG487" s="2027"/>
      <c r="AH487" s="202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027" t="s">
        <v>2573</v>
      </c>
      <c r="U488" s="2027"/>
      <c r="V488" s="2027"/>
      <c r="W488" s="2027"/>
      <c r="X488" s="2027"/>
      <c r="Y488" s="2027" t="s">
        <v>626</v>
      </c>
      <c r="Z488" s="2027"/>
      <c r="AA488" s="2027"/>
      <c r="AB488" s="2027"/>
      <c r="AC488" s="2027"/>
      <c r="AD488" s="2027" t="s">
        <v>626</v>
      </c>
      <c r="AE488" s="2027"/>
      <c r="AF488" s="2027"/>
      <c r="AG488" s="2027"/>
      <c r="AH488" s="202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027" t="s">
        <v>2573</v>
      </c>
      <c r="U489" s="2027"/>
      <c r="V489" s="2027"/>
      <c r="W489" s="2027"/>
      <c r="X489" s="2027"/>
      <c r="Y489" s="2027" t="s">
        <v>626</v>
      </c>
      <c r="Z489" s="2027"/>
      <c r="AA489" s="2027"/>
      <c r="AB489" s="2027"/>
      <c r="AC489" s="2027"/>
      <c r="AD489" s="2027" t="s">
        <v>626</v>
      </c>
      <c r="AE489" s="2027"/>
      <c r="AF489" s="2027"/>
      <c r="AG489" s="2027"/>
      <c r="AH489" s="202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027" t="s">
        <v>2573</v>
      </c>
      <c r="U490" s="2027"/>
      <c r="V490" s="2027"/>
      <c r="W490" s="2027"/>
      <c r="X490" s="2027"/>
      <c r="Y490" s="2027" t="s">
        <v>626</v>
      </c>
      <c r="Z490" s="2027"/>
      <c r="AA490" s="2027"/>
      <c r="AB490" s="2027"/>
      <c r="AC490" s="2027"/>
      <c r="AD490" s="2027" t="s">
        <v>626</v>
      </c>
      <c r="AE490" s="2027"/>
      <c r="AF490" s="2027"/>
      <c r="AG490" s="2027"/>
      <c r="AH490" s="202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027" t="s">
        <v>2573</v>
      </c>
      <c r="U491" s="2027"/>
      <c r="V491" s="2027"/>
      <c r="W491" s="2027"/>
      <c r="X491" s="2027"/>
      <c r="Y491" s="2027" t="s">
        <v>626</v>
      </c>
      <c r="Z491" s="2027"/>
      <c r="AA491" s="2027"/>
      <c r="AB491" s="2027"/>
      <c r="AC491" s="2027"/>
      <c r="AD491" s="2027" t="s">
        <v>626</v>
      </c>
      <c r="AE491" s="2027"/>
      <c r="AF491" s="2027"/>
      <c r="AG491" s="2027"/>
      <c r="AH491" s="202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027">
        <v>44146</v>
      </c>
      <c r="U492" s="2027"/>
      <c r="V492" s="2027"/>
      <c r="W492" s="2027"/>
      <c r="X492" s="2027"/>
      <c r="Y492" s="2027">
        <v>0</v>
      </c>
      <c r="Z492" s="2027"/>
      <c r="AA492" s="2027"/>
      <c r="AB492" s="2027"/>
      <c r="AC492" s="2027"/>
      <c r="AD492" s="2027">
        <v>44298</v>
      </c>
      <c r="AE492" s="2027"/>
      <c r="AF492" s="2027"/>
      <c r="AG492" s="2027"/>
      <c r="AH492" s="202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027" t="s">
        <v>2573</v>
      </c>
      <c r="U493" s="2027"/>
      <c r="V493" s="2027"/>
      <c r="W493" s="2027"/>
      <c r="X493" s="2027"/>
      <c r="Y493" s="2027" t="s">
        <v>626</v>
      </c>
      <c r="Z493" s="2027"/>
      <c r="AA493" s="2027"/>
      <c r="AB493" s="2027"/>
      <c r="AC493" s="2027"/>
      <c r="AD493" s="2027" t="s">
        <v>626</v>
      </c>
      <c r="AE493" s="2027"/>
      <c r="AF493" s="2027"/>
      <c r="AG493" s="2027"/>
      <c r="AH493" s="202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027" t="s">
        <v>2573</v>
      </c>
      <c r="U494" s="2027"/>
      <c r="V494" s="2027"/>
      <c r="W494" s="2027"/>
      <c r="X494" s="2027"/>
      <c r="Y494" s="2027" t="s">
        <v>626</v>
      </c>
      <c r="Z494" s="2027"/>
      <c r="AA494" s="2027"/>
      <c r="AB494" s="2027"/>
      <c r="AC494" s="2027"/>
      <c r="AD494" s="2027" t="s">
        <v>626</v>
      </c>
      <c r="AE494" s="2027"/>
      <c r="AF494" s="2027"/>
      <c r="AG494" s="2027"/>
      <c r="AH494" s="202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1091</v>
      </c>
      <c r="F495" s="80"/>
      <c r="G495" s="80"/>
      <c r="H495" s="80"/>
      <c r="I495" s="80"/>
      <c r="J495" s="80"/>
      <c r="K495" s="80"/>
      <c r="L495" s="80"/>
      <c r="M495" s="80"/>
      <c r="N495" s="80"/>
      <c r="O495" s="80"/>
      <c r="P495" s="80"/>
      <c r="Q495" s="80"/>
      <c r="R495" s="80"/>
      <c r="S495" s="80"/>
      <c r="T495" s="2027" t="s">
        <v>2573</v>
      </c>
      <c r="U495" s="2027"/>
      <c r="V495" s="2027"/>
      <c r="W495" s="2027"/>
      <c r="X495" s="2027"/>
      <c r="Y495" s="2027" t="s">
        <v>626</v>
      </c>
      <c r="Z495" s="2027"/>
      <c r="AA495" s="2027"/>
      <c r="AB495" s="2027"/>
      <c r="AC495" s="2027"/>
      <c r="AD495" s="2027" t="s">
        <v>626</v>
      </c>
      <c r="AE495" s="2027"/>
      <c r="AF495" s="2027"/>
      <c r="AG495" s="2027"/>
      <c r="AH495" s="202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47" t="s">
        <v>414</v>
      </c>
      <c r="R497" s="2148"/>
      <c r="S497" s="2148"/>
      <c r="T497" s="2148"/>
      <c r="U497" s="2148"/>
      <c r="V497" s="2148"/>
      <c r="W497" s="2148"/>
      <c r="X497" s="2148"/>
      <c r="Y497" s="2148"/>
      <c r="Z497" s="2148"/>
      <c r="AA497" s="2148"/>
      <c r="AB497" s="2148"/>
      <c r="AC497" s="2148"/>
      <c r="AD497" s="2148"/>
      <c r="AE497" s="2148"/>
      <c r="AF497" s="2148"/>
      <c r="AG497" s="2148"/>
      <c r="AH497" s="2148"/>
      <c r="AI497" s="2148"/>
      <c r="AJ497" s="2148"/>
      <c r="AK497" s="214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107" t="s">
        <v>2596</v>
      </c>
      <c r="R498" s="2038"/>
      <c r="S498" s="2038"/>
      <c r="T498" s="2038"/>
      <c r="U498" s="2038"/>
      <c r="V498" s="2038"/>
      <c r="W498" s="2038"/>
      <c r="X498" s="2038"/>
      <c r="Y498" s="2038"/>
      <c r="Z498" s="2038"/>
      <c r="AA498" s="2038"/>
      <c r="AB498" s="2038"/>
      <c r="AC498" s="2038"/>
      <c r="AD498" s="2038"/>
      <c r="AE498" s="2038"/>
      <c r="AF498" s="2038"/>
      <c r="AG498" s="2038"/>
      <c r="AH498" s="2038"/>
      <c r="AI498" s="2038"/>
      <c r="AJ498" s="2038"/>
      <c r="AK498" s="210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107">
        <v>110</v>
      </c>
      <c r="R499" s="2038"/>
      <c r="S499" s="2038"/>
      <c r="T499" s="2038"/>
      <c r="U499" s="2038"/>
      <c r="V499" s="2038"/>
      <c r="W499" s="2038"/>
      <c r="X499" s="2038"/>
      <c r="Y499" s="2038"/>
      <c r="Z499" s="2038"/>
      <c r="AA499" s="2038"/>
      <c r="AB499" s="2038"/>
      <c r="AC499" s="2038"/>
      <c r="AD499" s="2038"/>
      <c r="AE499" s="2038"/>
      <c r="AF499" s="2038"/>
      <c r="AG499" s="2038"/>
      <c r="AH499" s="2038"/>
      <c r="AI499" s="2038"/>
      <c r="AJ499" s="2038"/>
      <c r="AK499" s="2108"/>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107" t="s">
        <v>626</v>
      </c>
      <c r="R500" s="2038"/>
      <c r="S500" s="2038"/>
      <c r="T500" s="2038"/>
      <c r="U500" s="2038"/>
      <c r="V500" s="2038"/>
      <c r="W500" s="2038"/>
      <c r="X500" s="2038"/>
      <c r="Y500" s="2038"/>
      <c r="Z500" s="2038"/>
      <c r="AA500" s="2038"/>
      <c r="AB500" s="2038"/>
      <c r="AC500" s="2038"/>
      <c r="AD500" s="2038"/>
      <c r="AE500" s="2038"/>
      <c r="AF500" s="2038"/>
      <c r="AG500" s="2038"/>
      <c r="AH500" s="2038"/>
      <c r="AI500" s="2038"/>
      <c r="AJ500" s="2038"/>
      <c r="AK500" s="210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91" t="s">
        <v>418</v>
      </c>
      <c r="C501" s="2192"/>
      <c r="D501" s="2192"/>
      <c r="E501" s="2192"/>
      <c r="F501" s="2192"/>
      <c r="G501" s="2192"/>
      <c r="H501" s="2192"/>
      <c r="I501" s="2192"/>
      <c r="J501" s="2192"/>
      <c r="K501" s="2192"/>
      <c r="L501" s="2192"/>
      <c r="M501" s="2192"/>
      <c r="N501" s="2192"/>
      <c r="O501" s="2192"/>
      <c r="P501" s="2193"/>
      <c r="Q501" s="2168" t="s">
        <v>706</v>
      </c>
      <c r="R501" s="2169"/>
      <c r="S501" s="2396" t="s">
        <v>171</v>
      </c>
      <c r="T501" s="2397"/>
      <c r="U501" s="2397"/>
      <c r="V501" s="2397"/>
      <c r="W501" s="2397"/>
      <c r="X501" s="2397"/>
      <c r="Y501" s="2397"/>
      <c r="Z501" s="2397"/>
      <c r="AA501" s="2397"/>
      <c r="AB501" s="2397"/>
      <c r="AC501" s="2397"/>
      <c r="AD501" s="2397"/>
      <c r="AE501" s="2397"/>
      <c r="AF501" s="2397"/>
      <c r="AG501" s="2397"/>
      <c r="AH501" s="2397"/>
      <c r="AI501" s="2397"/>
      <c r="AJ501" s="2397"/>
      <c r="AK501" s="239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194"/>
      <c r="C502" s="2195"/>
      <c r="D502" s="2195"/>
      <c r="E502" s="2195"/>
      <c r="F502" s="2195"/>
      <c r="G502" s="2195"/>
      <c r="H502" s="2195"/>
      <c r="I502" s="2195"/>
      <c r="J502" s="2195"/>
      <c r="K502" s="2195"/>
      <c r="L502" s="2195"/>
      <c r="M502" s="2195"/>
      <c r="N502" s="2195"/>
      <c r="O502" s="2195"/>
      <c r="P502" s="2196"/>
      <c r="Q502" s="2170"/>
      <c r="R502" s="2171"/>
      <c r="S502" s="2399"/>
      <c r="T502" s="2400"/>
      <c r="U502" s="2400"/>
      <c r="V502" s="2400"/>
      <c r="W502" s="2400"/>
      <c r="X502" s="2400"/>
      <c r="Y502" s="2400"/>
      <c r="Z502" s="2400"/>
      <c r="AA502" s="2400"/>
      <c r="AB502" s="2400"/>
      <c r="AC502" s="2400"/>
      <c r="AD502" s="2400"/>
      <c r="AE502" s="2400"/>
      <c r="AF502" s="2400"/>
      <c r="AG502" s="2400"/>
      <c r="AH502" s="2400"/>
      <c r="AI502" s="2400"/>
      <c r="AJ502" s="2400"/>
      <c r="AK502" s="240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4" customFormat="1" ht="12.45" customHeight="1">
      <c r="B503" s="1517" t="s">
        <v>2026</v>
      </c>
      <c r="C503" s="1485"/>
      <c r="D503" s="1485"/>
      <c r="E503" s="1485"/>
      <c r="F503" s="1485"/>
      <c r="G503" s="1485"/>
      <c r="H503" s="1485"/>
      <c r="I503" s="1485"/>
      <c r="J503" s="1485"/>
      <c r="K503" s="1485"/>
      <c r="L503" s="1485"/>
      <c r="M503" s="1485"/>
      <c r="N503" s="1485"/>
      <c r="O503" s="1485"/>
      <c r="P503" s="1485"/>
      <c r="Q503" s="2075" t="s">
        <v>2597</v>
      </c>
      <c r="R503" s="2076"/>
      <c r="S503" s="2076"/>
      <c r="T503" s="2076"/>
      <c r="U503" s="2076"/>
      <c r="V503" s="2076"/>
      <c r="W503" s="2076"/>
      <c r="X503" s="2076"/>
      <c r="Y503" s="2076"/>
      <c r="Z503" s="2076"/>
      <c r="AA503" s="2076"/>
      <c r="AB503" s="2076"/>
      <c r="AC503" s="2076"/>
      <c r="AD503" s="2076"/>
      <c r="AE503" s="2076"/>
      <c r="AF503" s="2076"/>
      <c r="AG503" s="2076"/>
      <c r="AH503" s="2076"/>
      <c r="AI503" s="2076"/>
      <c r="AJ503" s="2076"/>
      <c r="AK503" s="207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419</v>
      </c>
      <c r="C504" s="77"/>
      <c r="D504" s="77"/>
      <c r="E504" s="77"/>
      <c r="F504" s="77"/>
      <c r="G504" s="77"/>
      <c r="H504" s="77"/>
      <c r="I504" s="77"/>
      <c r="J504" s="77"/>
      <c r="K504" s="77"/>
      <c r="L504" s="77"/>
      <c r="M504" s="77"/>
      <c r="N504" s="77"/>
      <c r="O504" s="77"/>
      <c r="P504" s="77"/>
      <c r="Q504" s="2107" t="s">
        <v>2669</v>
      </c>
      <c r="R504" s="2038"/>
      <c r="S504" s="2038"/>
      <c r="T504" s="2038"/>
      <c r="U504" s="2038"/>
      <c r="V504" s="2038"/>
      <c r="W504" s="2038"/>
      <c r="X504" s="2038"/>
      <c r="Y504" s="2038"/>
      <c r="Z504" s="2038"/>
      <c r="AA504" s="2038"/>
      <c r="AB504" s="2038"/>
      <c r="AC504" s="2038"/>
      <c r="AD504" s="2038"/>
      <c r="AE504" s="2038"/>
      <c r="AF504" s="2038"/>
      <c r="AG504" s="2038"/>
      <c r="AH504" s="2038"/>
      <c r="AI504" s="2038"/>
      <c r="AJ504" s="2038"/>
      <c r="AK504" s="210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107" t="s">
        <v>2598</v>
      </c>
      <c r="R505" s="2038"/>
      <c r="S505" s="2038"/>
      <c r="T505" s="2038"/>
      <c r="U505" s="2038"/>
      <c r="V505" s="2038"/>
      <c r="W505" s="2038"/>
      <c r="X505" s="2038"/>
      <c r="Y505" s="2038"/>
      <c r="Z505" s="2038"/>
      <c r="AA505" s="2038"/>
      <c r="AB505" s="2038"/>
      <c r="AC505" s="2038"/>
      <c r="AD505" s="2038"/>
      <c r="AE505" s="2038"/>
      <c r="AF505" s="2038"/>
      <c r="AG505" s="2038"/>
      <c r="AH505" s="2038"/>
      <c r="AI505" s="2038"/>
      <c r="AJ505" s="2038"/>
      <c r="AK505" s="210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2023</v>
      </c>
      <c r="C506" s="77"/>
      <c r="D506" s="77"/>
      <c r="E506" s="77"/>
      <c r="F506" s="77"/>
      <c r="G506" s="77"/>
      <c r="H506" s="77"/>
      <c r="I506" s="77"/>
      <c r="J506" s="77"/>
      <c r="K506" s="77"/>
      <c r="L506" s="77"/>
      <c r="M506" s="77"/>
      <c r="N506" s="77"/>
      <c r="O506" s="77"/>
      <c r="P506" s="77"/>
      <c r="Q506" s="2107">
        <v>296</v>
      </c>
      <c r="R506" s="2038"/>
      <c r="S506" s="2038"/>
      <c r="T506" s="2038"/>
      <c r="U506" s="2038"/>
      <c r="V506" s="2038"/>
      <c r="W506" s="2038"/>
      <c r="X506" s="2038"/>
      <c r="Y506" s="2038"/>
      <c r="Z506" s="2038"/>
      <c r="AA506" s="2038"/>
      <c r="AB506" s="2038"/>
      <c r="AC506" s="2038"/>
      <c r="AD506" s="2038"/>
      <c r="AE506" s="2038"/>
      <c r="AF506" s="2038"/>
      <c r="AG506" s="2038"/>
      <c r="AH506" s="2038"/>
      <c r="AI506" s="2038"/>
      <c r="AJ506" s="2038"/>
      <c r="AK506" s="210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4" customFormat="1" ht="13.2">
      <c r="B507" s="185" t="s">
        <v>2024</v>
      </c>
      <c r="C507" s="77"/>
      <c r="D507" s="77"/>
      <c r="E507" s="77"/>
      <c r="F507" s="77"/>
      <c r="G507" s="77"/>
      <c r="H507" s="77"/>
      <c r="I507" s="77"/>
      <c r="J507" s="77"/>
      <c r="K507" s="77"/>
      <c r="L507" s="77"/>
      <c r="M507" s="2128">
        <v>171</v>
      </c>
      <c r="N507" s="2129"/>
      <c r="O507" s="2129"/>
      <c r="P507" s="2130"/>
      <c r="Q507" s="1515" t="s">
        <v>2025</v>
      </c>
      <c r="R507" s="1516"/>
      <c r="S507" s="1516"/>
      <c r="T507" s="1516"/>
      <c r="U507" s="1516"/>
      <c r="V507" s="1516"/>
      <c r="W507" s="1516"/>
      <c r="X507" s="1516"/>
      <c r="Y507" s="1516"/>
      <c r="Z507" s="1516"/>
      <c r="AA507" s="1516"/>
      <c r="AB507" s="1516"/>
      <c r="AC507" s="1516"/>
      <c r="AD507" s="1516"/>
      <c r="AE507" s="1516"/>
      <c r="AF507" s="1516"/>
      <c r="AG507" s="1516"/>
      <c r="AH507" s="2128">
        <v>125</v>
      </c>
      <c r="AI507" s="2129"/>
      <c r="AJ507" s="2129"/>
      <c r="AK507" s="213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2"/>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6"/>
      <c r="AN508" s="676"/>
      <c r="AO508" s="676"/>
      <c r="AP508" s="676"/>
      <c r="AQ508" s="676"/>
      <c r="AR508" s="676"/>
      <c r="AS508" s="676"/>
      <c r="AT508" s="676"/>
      <c r="AU508" s="676"/>
      <c r="AV508" s="676"/>
      <c r="AW508" s="676"/>
      <c r="AX508" s="676"/>
      <c r="AY508" s="676"/>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6"/>
      <c r="AN509" s="676"/>
      <c r="AO509" s="676"/>
      <c r="AP509" s="676"/>
      <c r="AQ509" s="676"/>
      <c r="AR509" s="676"/>
      <c r="AS509" s="676"/>
      <c r="AT509" s="676"/>
      <c r="AU509" s="676"/>
      <c r="AV509" s="676"/>
      <c r="AW509" s="676"/>
      <c r="AX509" s="676"/>
      <c r="AY509" s="676"/>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07"/>
      <c r="C510" s="916"/>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6"/>
      <c r="AN510" s="676"/>
      <c r="AO510" s="676"/>
      <c r="AP510" s="676"/>
      <c r="AQ510" s="676"/>
      <c r="AR510" s="676"/>
      <c r="AS510" s="676"/>
      <c r="AT510" s="676"/>
      <c r="AU510" s="676"/>
      <c r="AV510" s="676"/>
      <c r="AW510" s="676"/>
      <c r="AX510" s="676"/>
      <c r="AY510" s="676"/>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7" t="s">
        <v>422</v>
      </c>
      <c r="AD511" s="2148"/>
      <c r="AE511" s="2148"/>
      <c r="AF511" s="2148"/>
      <c r="AG511" s="2148"/>
      <c r="AH511" s="2148"/>
      <c r="AI511" s="2148"/>
      <c r="AJ511" s="2148"/>
      <c r="AK511" s="214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4" t="s">
        <v>423</v>
      </c>
      <c r="AD512" s="2105"/>
      <c r="AE512" s="2105"/>
      <c r="AF512" s="2105"/>
      <c r="AG512" s="82" t="s">
        <v>424</v>
      </c>
      <c r="AH512" s="2105" t="s">
        <v>425</v>
      </c>
      <c r="AI512" s="2105"/>
      <c r="AJ512" s="2105"/>
      <c r="AK512" s="2106"/>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20" t="s">
        <v>426</v>
      </c>
      <c r="C513" s="2021"/>
      <c r="D513" s="2021"/>
      <c r="E513" s="2021"/>
      <c r="F513" s="2021"/>
      <c r="G513" s="2021"/>
      <c r="H513" s="2022"/>
      <c r="I513" s="72" t="s">
        <v>427</v>
      </c>
      <c r="J513" s="72"/>
      <c r="K513" s="72"/>
      <c r="L513" s="72"/>
      <c r="M513" s="72"/>
      <c r="N513" s="72"/>
      <c r="O513" s="72"/>
      <c r="P513" s="72"/>
      <c r="Q513" s="72"/>
      <c r="R513" s="72"/>
      <c r="S513" s="72"/>
      <c r="T513" s="72"/>
      <c r="U513" s="72"/>
      <c r="V513" s="72"/>
      <c r="W513" s="72"/>
      <c r="X513" s="25"/>
      <c r="Y513" s="25"/>
      <c r="AC513" s="2158" t="s">
        <v>626</v>
      </c>
      <c r="AD513" s="2059"/>
      <c r="AE513" s="2059"/>
      <c r="AF513" s="2059"/>
      <c r="AG513" s="75" t="s">
        <v>424</v>
      </c>
      <c r="AH513" s="2055">
        <v>0</v>
      </c>
      <c r="AI513" s="2055"/>
      <c r="AJ513" s="2055"/>
      <c r="AK513" s="205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23"/>
      <c r="C514" s="2024"/>
      <c r="D514" s="2024"/>
      <c r="E514" s="2024"/>
      <c r="F514" s="2024"/>
      <c r="G514" s="2024"/>
      <c r="H514" s="2025"/>
      <c r="I514" s="80" t="s">
        <v>428</v>
      </c>
      <c r="J514" s="80"/>
      <c r="K514" s="80"/>
      <c r="L514" s="80"/>
      <c r="M514" s="80"/>
      <c r="N514" s="80"/>
      <c r="O514" s="80"/>
      <c r="P514" s="80"/>
      <c r="Q514" s="80"/>
      <c r="R514" s="80"/>
      <c r="S514" s="80"/>
      <c r="T514" s="80"/>
      <c r="U514" s="80"/>
      <c r="V514" s="80"/>
      <c r="W514" s="80"/>
      <c r="X514" s="80"/>
      <c r="Y514" s="80"/>
      <c r="Z514" s="80"/>
      <c r="AA514" s="80"/>
      <c r="AB514" s="80"/>
      <c r="AC514" s="2158">
        <v>9</v>
      </c>
      <c r="AD514" s="2059"/>
      <c r="AE514" s="2059"/>
      <c r="AF514" s="2059"/>
      <c r="AG514" s="65" t="s">
        <v>424</v>
      </c>
      <c r="AH514" s="2055">
        <v>2021</v>
      </c>
      <c r="AI514" s="2055"/>
      <c r="AJ514" s="2055"/>
      <c r="AK514" s="205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20" t="s">
        <v>429</v>
      </c>
      <c r="C515" s="2021"/>
      <c r="D515" s="2021"/>
      <c r="E515" s="2021"/>
      <c r="F515" s="2021"/>
      <c r="G515" s="2021"/>
      <c r="H515" s="2022"/>
      <c r="I515" s="72" t="s">
        <v>430</v>
      </c>
      <c r="J515" s="72"/>
      <c r="K515" s="72"/>
      <c r="L515" s="72"/>
      <c r="M515" s="72"/>
      <c r="N515" s="72"/>
      <c r="O515" s="72"/>
      <c r="P515" s="72"/>
      <c r="Q515" s="72"/>
      <c r="R515" s="72"/>
      <c r="S515" s="72"/>
      <c r="T515" s="72"/>
      <c r="U515" s="72"/>
      <c r="V515" s="72"/>
      <c r="W515" s="72"/>
      <c r="X515" s="25"/>
      <c r="Y515" s="25"/>
      <c r="AC515" s="2158" t="s">
        <v>626</v>
      </c>
      <c r="AD515" s="2059"/>
      <c r="AE515" s="2059"/>
      <c r="AF515" s="2059"/>
      <c r="AG515" s="75" t="s">
        <v>424</v>
      </c>
      <c r="AH515" s="2055"/>
      <c r="AI515" s="2055"/>
      <c r="AJ515" s="2055"/>
      <c r="AK515" s="205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23"/>
      <c r="C516" s="2024"/>
      <c r="D516" s="2024"/>
      <c r="E516" s="2024"/>
      <c r="F516" s="2024"/>
      <c r="G516" s="2024"/>
      <c r="H516" s="2025"/>
      <c r="I516" s="25" t="s">
        <v>431</v>
      </c>
      <c r="J516" s="25"/>
      <c r="K516" s="25"/>
      <c r="L516" s="25"/>
      <c r="M516" s="25"/>
      <c r="N516" s="25"/>
      <c r="O516" s="25"/>
      <c r="P516" s="25"/>
      <c r="Q516" s="25"/>
      <c r="R516" s="25"/>
      <c r="S516" s="25"/>
      <c r="T516" s="25"/>
      <c r="U516" s="25"/>
      <c r="V516" s="25"/>
      <c r="W516" s="25"/>
      <c r="X516" s="25"/>
      <c r="Y516" s="25"/>
      <c r="AC516" s="2158" t="s">
        <v>626</v>
      </c>
      <c r="AD516" s="2059"/>
      <c r="AE516" s="2059"/>
      <c r="AF516" s="2059"/>
      <c r="AG516" s="75" t="s">
        <v>424</v>
      </c>
      <c r="AH516" s="2055"/>
      <c r="AI516" s="2055"/>
      <c r="AJ516" s="2055"/>
      <c r="AK516" s="205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3"/>
      <c r="C517" s="2024"/>
      <c r="D517" s="2024"/>
      <c r="E517" s="2024"/>
      <c r="F517" s="2024"/>
      <c r="G517" s="2024"/>
      <c r="H517" s="2025"/>
      <c r="I517" s="25" t="s">
        <v>432</v>
      </c>
      <c r="J517" s="25"/>
      <c r="K517" s="25"/>
      <c r="L517" s="25"/>
      <c r="M517" s="25"/>
      <c r="N517" s="25"/>
      <c r="O517" s="25"/>
      <c r="P517" s="25"/>
      <c r="Q517" s="25"/>
      <c r="R517" s="25"/>
      <c r="S517" s="25"/>
      <c r="T517" s="25"/>
      <c r="U517" s="25"/>
      <c r="V517" s="25"/>
      <c r="W517" s="25"/>
      <c r="X517" s="25"/>
      <c r="Y517" s="25"/>
      <c r="AC517" s="2158">
        <v>4</v>
      </c>
      <c r="AD517" s="2059"/>
      <c r="AE517" s="2059"/>
      <c r="AF517" s="2059"/>
      <c r="AG517" s="75" t="s">
        <v>424</v>
      </c>
      <c r="AH517" s="2055">
        <v>2021</v>
      </c>
      <c r="AI517" s="2055"/>
      <c r="AJ517" s="2055"/>
      <c r="AK517" s="205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4" customFormat="1" ht="12.75" customHeight="1">
      <c r="B518" s="2023"/>
      <c r="C518" s="2024"/>
      <c r="D518" s="2024"/>
      <c r="E518" s="2024"/>
      <c r="F518" s="2024"/>
      <c r="G518" s="2024"/>
      <c r="H518" s="2025"/>
      <c r="I518" s="25" t="s">
        <v>433</v>
      </c>
      <c r="J518" s="25"/>
      <c r="K518" s="25"/>
      <c r="L518" s="25"/>
      <c r="M518" s="25"/>
      <c r="N518" s="25"/>
      <c r="O518" s="25"/>
      <c r="P518" s="25"/>
      <c r="Q518" s="25"/>
      <c r="R518" s="25"/>
      <c r="S518" s="25"/>
      <c r="T518" s="25"/>
      <c r="U518" s="25"/>
      <c r="V518" s="25"/>
      <c r="W518" s="25"/>
      <c r="X518" s="25"/>
      <c r="Y518" s="25"/>
      <c r="AC518" s="2158">
        <v>2</v>
      </c>
      <c r="AD518" s="2059"/>
      <c r="AE518" s="2059"/>
      <c r="AF518" s="2059"/>
      <c r="AG518" s="75" t="s">
        <v>424</v>
      </c>
      <c r="AH518" s="2055">
        <v>2022</v>
      </c>
      <c r="AI518" s="2055"/>
      <c r="AJ518" s="2055"/>
      <c r="AK518" s="205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23"/>
      <c r="C519" s="2024"/>
      <c r="D519" s="2024"/>
      <c r="E519" s="2024"/>
      <c r="F519" s="2024"/>
      <c r="G519" s="2024"/>
      <c r="H519" s="2025"/>
      <c r="I519" s="177" t="s">
        <v>434</v>
      </c>
      <c r="J519" s="25"/>
      <c r="K519" s="25"/>
      <c r="L519" s="25"/>
      <c r="M519" s="25"/>
      <c r="N519" s="25"/>
      <c r="O519" s="25"/>
      <c r="P519" s="25"/>
      <c r="Q519" s="25"/>
      <c r="R519" s="25"/>
      <c r="S519" s="25"/>
      <c r="T519" s="25"/>
      <c r="U519" s="25"/>
      <c r="V519" s="25"/>
      <c r="W519" s="25"/>
      <c r="X519" s="25"/>
      <c r="Y519" s="25"/>
      <c r="AC519" s="2042">
        <v>2</v>
      </c>
      <c r="AD519" s="2043"/>
      <c r="AE519" s="2043"/>
      <c r="AF519" s="2043"/>
      <c r="AG519" s="75" t="s">
        <v>424</v>
      </c>
      <c r="AH519" s="2055">
        <v>2022</v>
      </c>
      <c r="AI519" s="2055"/>
      <c r="AJ519" s="2055"/>
      <c r="AK519" s="205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23"/>
      <c r="C520" s="2024"/>
      <c r="D520" s="2024"/>
      <c r="E520" s="2024"/>
      <c r="F520" s="2024"/>
      <c r="G520" s="2024"/>
      <c r="H520" s="2025"/>
      <c r="I520" s="1518" t="s">
        <v>175</v>
      </c>
      <c r="J520" s="80"/>
      <c r="K520" s="80"/>
      <c r="L520" s="2156" t="s">
        <v>343</v>
      </c>
      <c r="M520" s="2100"/>
      <c r="N520" s="2100"/>
      <c r="O520" s="2100"/>
      <c r="P520" s="2100"/>
      <c r="Q520" s="2100"/>
      <c r="R520" s="2100"/>
      <c r="S520" s="2100"/>
      <c r="T520" s="2100"/>
      <c r="U520" s="2100"/>
      <c r="V520" s="2100"/>
      <c r="W520" s="2100"/>
      <c r="X520" s="2100"/>
      <c r="Y520" s="2100"/>
      <c r="Z520" s="2100"/>
      <c r="AA520" s="2100"/>
      <c r="AB520" s="2157"/>
      <c r="AC520" s="2158" t="s">
        <v>626</v>
      </c>
      <c r="AD520" s="2059"/>
      <c r="AE520" s="2059"/>
      <c r="AF520" s="2059"/>
      <c r="AG520" s="1489" t="s">
        <v>424</v>
      </c>
      <c r="AH520" s="2055"/>
      <c r="AI520" s="2055"/>
      <c r="AJ520" s="2055"/>
      <c r="AK520" s="205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4" customFormat="1" ht="18" customHeight="1">
      <c r="B521" s="1480"/>
      <c r="C521" s="1481"/>
      <c r="D521" s="1481"/>
      <c r="E521" s="1481"/>
      <c r="F521" s="1481"/>
      <c r="G521" s="1481"/>
      <c r="H521" s="1482"/>
      <c r="I521" s="240" t="s">
        <v>2030</v>
      </c>
      <c r="J521" s="25"/>
      <c r="K521" s="25"/>
      <c r="L521" s="25"/>
      <c r="M521" s="25"/>
      <c r="N521" s="25"/>
      <c r="O521" s="25"/>
      <c r="P521" s="25"/>
      <c r="Q521" s="25"/>
      <c r="R521" s="25"/>
      <c r="S521" s="25"/>
      <c r="T521" s="25"/>
      <c r="U521" s="25"/>
      <c r="V521" s="25"/>
      <c r="W521" s="25"/>
      <c r="X521" s="25"/>
      <c r="Y521" s="25"/>
      <c r="AC521" s="2051" t="s">
        <v>706</v>
      </c>
      <c r="AD521" s="2051"/>
      <c r="AE521" s="2051"/>
      <c r="AF521" s="2051"/>
      <c r="AG521" s="1771"/>
      <c r="AH521" s="2040"/>
      <c r="AI521" s="2040"/>
      <c r="AJ521" s="2040"/>
      <c r="AK521" s="204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4" customFormat="1" ht="13.2">
      <c r="B522" s="1480"/>
      <c r="C522" s="1481"/>
      <c r="D522" s="1481"/>
      <c r="E522" s="1481"/>
      <c r="F522" s="1481"/>
      <c r="G522" s="1481"/>
      <c r="H522" s="1482"/>
      <c r="I522" s="682" t="s">
        <v>2027</v>
      </c>
      <c r="J522" s="25"/>
      <c r="K522" s="25"/>
      <c r="L522" s="25"/>
      <c r="M522" s="25"/>
      <c r="N522" s="25"/>
      <c r="O522" s="25"/>
      <c r="P522" s="25"/>
      <c r="Q522" s="25"/>
      <c r="R522" s="25"/>
      <c r="S522" s="25"/>
      <c r="T522" s="25"/>
      <c r="U522" s="25"/>
      <c r="V522" s="25"/>
      <c r="W522" s="25"/>
      <c r="X522" s="25"/>
      <c r="Y522" s="25"/>
      <c r="AC522" s="2042"/>
      <c r="AD522" s="2043"/>
      <c r="AE522" s="2043"/>
      <c r="AF522" s="2044"/>
      <c r="AG522" s="1771"/>
      <c r="AH522" s="2040"/>
      <c r="AI522" s="2040"/>
      <c r="AJ522" s="2040"/>
      <c r="AK522" s="204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4" customFormat="1" ht="13.2">
      <c r="B523" s="1480"/>
      <c r="C523" s="1481"/>
      <c r="D523" s="1481"/>
      <c r="E523" s="1481"/>
      <c r="F523" s="1481"/>
      <c r="G523" s="1481"/>
      <c r="H523" s="1482"/>
      <c r="I523" s="682" t="s">
        <v>2028</v>
      </c>
      <c r="J523" s="25"/>
      <c r="K523" s="25"/>
      <c r="L523" s="25"/>
      <c r="M523" s="25"/>
      <c r="N523" s="25"/>
      <c r="O523" s="25"/>
      <c r="P523" s="25"/>
      <c r="Q523" s="25"/>
      <c r="R523" s="25"/>
      <c r="S523" s="25"/>
      <c r="T523" s="25"/>
      <c r="U523" s="25"/>
      <c r="V523" s="25"/>
      <c r="W523" s="25"/>
      <c r="X523" s="25"/>
      <c r="Y523" s="25"/>
      <c r="AC523" s="1507"/>
      <c r="AD523" s="1508"/>
      <c r="AE523" s="1508"/>
      <c r="AF523" s="1509"/>
      <c r="AG523" s="20"/>
      <c r="AH523" s="1768"/>
      <c r="AI523" s="1768"/>
      <c r="AJ523" s="1768"/>
      <c r="AK523" s="176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4" customFormat="1" ht="13.2">
      <c r="B524" s="1480"/>
      <c r="C524" s="1481"/>
      <c r="D524" s="1481"/>
      <c r="E524" s="1481"/>
      <c r="F524" s="1481"/>
      <c r="G524" s="1481"/>
      <c r="H524" s="1482"/>
      <c r="I524" s="1519" t="s">
        <v>2029</v>
      </c>
      <c r="J524" s="80"/>
      <c r="K524" s="80"/>
      <c r="L524" s="80"/>
      <c r="M524" s="80"/>
      <c r="N524" s="80"/>
      <c r="O524" s="80"/>
      <c r="P524" s="80"/>
      <c r="Q524" s="80"/>
      <c r="R524" s="80"/>
      <c r="S524" s="80"/>
      <c r="T524" s="80"/>
      <c r="U524" s="80"/>
      <c r="V524" s="80"/>
      <c r="W524" s="80"/>
      <c r="X524" s="80"/>
      <c r="Y524" s="80"/>
      <c r="Z524" s="80"/>
      <c r="AA524" s="80"/>
      <c r="AB524" s="80"/>
      <c r="AC524" s="2045">
        <v>0.25</v>
      </c>
      <c r="AD524" s="2046"/>
      <c r="AE524" s="2046"/>
      <c r="AF524" s="2047"/>
      <c r="AG524" s="1772"/>
      <c r="AH524" s="2048"/>
      <c r="AI524" s="2048"/>
      <c r="AJ524" s="2048"/>
      <c r="AK524" s="204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4" customFormat="1" ht="13.2">
      <c r="B525" s="1480"/>
      <c r="C525" s="1481"/>
      <c r="D525" s="1481"/>
      <c r="E525" s="1481"/>
      <c r="F525" s="1481"/>
      <c r="G525" s="1481"/>
      <c r="H525" s="1482"/>
      <c r="I525" s="177"/>
      <c r="J525" s="676"/>
      <c r="K525" s="676"/>
      <c r="L525" s="14"/>
      <c r="M525" s="14"/>
      <c r="N525" s="14"/>
      <c r="O525" s="14"/>
      <c r="P525" s="14"/>
      <c r="Q525" s="14"/>
      <c r="R525" s="14"/>
      <c r="S525" s="14"/>
      <c r="T525" s="14"/>
      <c r="U525" s="14"/>
      <c r="V525" s="14"/>
      <c r="W525" s="14"/>
      <c r="X525" s="1770"/>
      <c r="Y525" s="1770"/>
      <c r="Z525" s="1770"/>
      <c r="AA525" s="1770"/>
      <c r="AB525" s="1792"/>
      <c r="AC525" s="2150" t="s">
        <v>423</v>
      </c>
      <c r="AD525" s="2151"/>
      <c r="AE525" s="2151"/>
      <c r="AF525" s="2151"/>
      <c r="AG525" s="1772" t="s">
        <v>424</v>
      </c>
      <c r="AH525" s="2151" t="s">
        <v>425</v>
      </c>
      <c r="AI525" s="2151"/>
      <c r="AJ525" s="2151"/>
      <c r="AK525" s="215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0" t="s">
        <v>435</v>
      </c>
      <c r="C526" s="2021"/>
      <c r="D526" s="2021"/>
      <c r="E526" s="2021"/>
      <c r="F526" s="2021"/>
      <c r="G526" s="2021"/>
      <c r="H526" s="2022"/>
      <c r="I526" s="72" t="s">
        <v>436</v>
      </c>
      <c r="J526" s="72"/>
      <c r="K526" s="72"/>
      <c r="L526" s="72"/>
      <c r="M526" s="72"/>
      <c r="N526" s="72"/>
      <c r="O526" s="72"/>
      <c r="P526" s="72"/>
      <c r="Q526" s="72"/>
      <c r="R526" s="72"/>
      <c r="S526" s="72"/>
      <c r="T526" s="72"/>
      <c r="U526" s="72"/>
      <c r="V526" s="72"/>
      <c r="W526" s="72"/>
      <c r="X526" s="25"/>
      <c r="Y526" s="25"/>
      <c r="AC526" s="2158">
        <v>3</v>
      </c>
      <c r="AD526" s="2059"/>
      <c r="AE526" s="2059"/>
      <c r="AF526" s="2059"/>
      <c r="AG526" s="75" t="s">
        <v>424</v>
      </c>
      <c r="AH526" s="2055">
        <v>2021</v>
      </c>
      <c r="AI526" s="2055"/>
      <c r="AJ526" s="2055"/>
      <c r="AK526" s="205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8" customHeight="1">
      <c r="B527" s="2023"/>
      <c r="C527" s="2024"/>
      <c r="D527" s="2024"/>
      <c r="E527" s="2024"/>
      <c r="F527" s="2024"/>
      <c r="G527" s="2024"/>
      <c r="H527" s="2025"/>
      <c r="I527" s="25" t="s">
        <v>437</v>
      </c>
      <c r="J527" s="25"/>
      <c r="K527" s="25"/>
      <c r="L527" s="25"/>
      <c r="M527" s="25"/>
      <c r="N527" s="25"/>
      <c r="O527" s="25"/>
      <c r="P527" s="25"/>
      <c r="Q527" s="25"/>
      <c r="R527" s="25"/>
      <c r="S527" s="25"/>
      <c r="T527" s="25"/>
      <c r="U527" s="25"/>
      <c r="V527" s="25"/>
      <c r="W527" s="25"/>
      <c r="X527" s="25"/>
      <c r="Y527" s="25"/>
      <c r="AC527" s="2158">
        <v>5</v>
      </c>
      <c r="AD527" s="2059"/>
      <c r="AE527" s="2059"/>
      <c r="AF527" s="2059"/>
      <c r="AG527" s="75" t="s">
        <v>424</v>
      </c>
      <c r="AH527" s="2055">
        <v>2021</v>
      </c>
      <c r="AI527" s="2055"/>
      <c r="AJ527" s="2055"/>
      <c r="AK527" s="205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23"/>
      <c r="C528" s="2024"/>
      <c r="D528" s="2024"/>
      <c r="E528" s="2024"/>
      <c r="F528" s="2024"/>
      <c r="G528" s="2024"/>
      <c r="H528" s="2025"/>
      <c r="I528" s="80" t="s">
        <v>438</v>
      </c>
      <c r="J528" s="80"/>
      <c r="K528" s="80"/>
      <c r="L528" s="80"/>
      <c r="M528" s="80"/>
      <c r="N528" s="80"/>
      <c r="O528" s="80"/>
      <c r="P528" s="80"/>
      <c r="Q528" s="80"/>
      <c r="R528" s="80"/>
      <c r="S528" s="80"/>
      <c r="T528" s="80"/>
      <c r="U528" s="80"/>
      <c r="V528" s="80"/>
      <c r="W528" s="80"/>
      <c r="X528" s="80"/>
      <c r="Y528" s="80"/>
      <c r="Z528" s="80"/>
      <c r="AA528" s="80"/>
      <c r="AB528" s="80"/>
      <c r="AC528" s="2158">
        <v>2</v>
      </c>
      <c r="AD528" s="2059"/>
      <c r="AE528" s="2059"/>
      <c r="AF528" s="2059"/>
      <c r="AG528" s="65" t="s">
        <v>424</v>
      </c>
      <c r="AH528" s="2055">
        <v>2022</v>
      </c>
      <c r="AI528" s="2055"/>
      <c r="AJ528" s="2055"/>
      <c r="AK528" s="205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20" t="s">
        <v>439</v>
      </c>
      <c r="C529" s="2021"/>
      <c r="D529" s="2021"/>
      <c r="E529" s="2021"/>
      <c r="F529" s="2021"/>
      <c r="G529" s="2021"/>
      <c r="H529" s="2022"/>
      <c r="I529" s="72" t="s">
        <v>436</v>
      </c>
      <c r="J529" s="72"/>
      <c r="K529" s="72"/>
      <c r="L529" s="72"/>
      <c r="M529" s="72"/>
      <c r="N529" s="72"/>
      <c r="O529" s="72"/>
      <c r="P529" s="72"/>
      <c r="Q529" s="72"/>
      <c r="R529" s="72"/>
      <c r="S529" s="72"/>
      <c r="T529" s="72"/>
      <c r="U529" s="72"/>
      <c r="V529" s="72"/>
      <c r="W529" s="72"/>
      <c r="X529" s="72"/>
      <c r="Y529" s="72"/>
      <c r="Z529" s="72"/>
      <c r="AA529" s="72"/>
      <c r="AB529" s="72"/>
      <c r="AC529" s="2042">
        <v>5</v>
      </c>
      <c r="AD529" s="2043"/>
      <c r="AE529" s="2043"/>
      <c r="AF529" s="2043"/>
      <c r="AG529" s="196" t="s">
        <v>424</v>
      </c>
      <c r="AH529" s="2055">
        <v>2021</v>
      </c>
      <c r="AI529" s="2055"/>
      <c r="AJ529" s="2055"/>
      <c r="AK529" s="205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23"/>
      <c r="C530" s="2024"/>
      <c r="D530" s="2024"/>
      <c r="E530" s="2024"/>
      <c r="F530" s="2024"/>
      <c r="G530" s="2024"/>
      <c r="H530" s="2025"/>
      <c r="I530" s="25" t="s">
        <v>437</v>
      </c>
      <c r="J530" s="25"/>
      <c r="K530" s="25"/>
      <c r="L530" s="25"/>
      <c r="M530" s="25"/>
      <c r="N530" s="25"/>
      <c r="O530" s="25"/>
      <c r="P530" s="25"/>
      <c r="Q530" s="25"/>
      <c r="R530" s="25"/>
      <c r="S530" s="25"/>
      <c r="T530" s="25"/>
      <c r="U530" s="25"/>
      <c r="V530" s="25"/>
      <c r="W530" s="25"/>
      <c r="X530" s="25"/>
      <c r="Y530" s="25"/>
      <c r="Z530" s="25"/>
      <c r="AA530" s="25"/>
      <c r="AB530" s="25"/>
      <c r="AC530" s="2158">
        <v>5</v>
      </c>
      <c r="AD530" s="2059"/>
      <c r="AE530" s="2059"/>
      <c r="AF530" s="2059"/>
      <c r="AG530" s="75" t="s">
        <v>424</v>
      </c>
      <c r="AH530" s="2055">
        <v>2021</v>
      </c>
      <c r="AI530" s="2055"/>
      <c r="AJ530" s="2055"/>
      <c r="AK530" s="205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74"/>
      <c r="C531" s="2175"/>
      <c r="D531" s="2175"/>
      <c r="E531" s="2175"/>
      <c r="F531" s="2175"/>
      <c r="G531" s="2175"/>
      <c r="H531" s="2176"/>
      <c r="I531" s="80" t="s">
        <v>438</v>
      </c>
      <c r="J531" s="80"/>
      <c r="K531" s="80"/>
      <c r="L531" s="80"/>
      <c r="M531" s="80"/>
      <c r="N531" s="80"/>
      <c r="O531" s="80"/>
      <c r="P531" s="80"/>
      <c r="Q531" s="80"/>
      <c r="R531" s="80"/>
      <c r="S531" s="80"/>
      <c r="T531" s="80"/>
      <c r="U531" s="80"/>
      <c r="V531" s="80"/>
      <c r="W531" s="80"/>
      <c r="X531" s="80"/>
      <c r="Y531" s="80"/>
      <c r="Z531" s="80"/>
      <c r="AA531" s="80"/>
      <c r="AB531" s="80"/>
      <c r="AC531" s="2158">
        <v>5</v>
      </c>
      <c r="AD531" s="2059"/>
      <c r="AE531" s="2059"/>
      <c r="AF531" s="2059"/>
      <c r="AG531" s="65" t="s">
        <v>424</v>
      </c>
      <c r="AH531" s="2055">
        <v>2023</v>
      </c>
      <c r="AI531" s="2055"/>
      <c r="AJ531" s="2055"/>
      <c r="AK531" s="205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20" t="s">
        <v>440</v>
      </c>
      <c r="C532" s="2021"/>
      <c r="D532" s="2021"/>
      <c r="E532" s="2021"/>
      <c r="F532" s="2021"/>
      <c r="G532" s="2021"/>
      <c r="H532" s="2022"/>
      <c r="I532" s="71" t="s">
        <v>441</v>
      </c>
      <c r="J532" s="72"/>
      <c r="K532" s="72"/>
      <c r="L532" s="72"/>
      <c r="M532" s="72"/>
      <c r="N532" s="72"/>
      <c r="O532" s="2038" t="s">
        <v>2599</v>
      </c>
      <c r="P532" s="2038"/>
      <c r="Q532" s="2038"/>
      <c r="R532" s="2038"/>
      <c r="S532" s="2038"/>
      <c r="T532" s="2038"/>
      <c r="U532" s="2038"/>
      <c r="V532" s="2038"/>
      <c r="W532" s="2038"/>
      <c r="X532" s="2038"/>
      <c r="Y532" s="2038"/>
      <c r="Z532" s="2038"/>
      <c r="AA532" s="2038"/>
      <c r="AB532" s="94"/>
      <c r="AC532" s="2042" t="s">
        <v>626</v>
      </c>
      <c r="AD532" s="2043"/>
      <c r="AE532" s="2043"/>
      <c r="AF532" s="2043"/>
      <c r="AG532" s="196" t="s">
        <v>424</v>
      </c>
      <c r="AH532" s="2055"/>
      <c r="AI532" s="2055"/>
      <c r="AJ532" s="2055"/>
      <c r="AK532" s="205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23"/>
      <c r="C533" s="2024"/>
      <c r="D533" s="2024"/>
      <c r="E533" s="2024"/>
      <c r="F533" s="2024"/>
      <c r="G533" s="2024"/>
      <c r="H533" s="2025"/>
      <c r="I533" s="171" t="s">
        <v>442</v>
      </c>
      <c r="J533" s="25"/>
      <c r="K533" s="25"/>
      <c r="L533" s="25"/>
      <c r="M533" s="25"/>
      <c r="N533" s="25"/>
      <c r="O533" s="25"/>
      <c r="P533" s="25"/>
      <c r="Q533" s="25"/>
      <c r="R533" s="25"/>
      <c r="S533" s="25"/>
      <c r="T533" s="25"/>
      <c r="U533" s="25"/>
      <c r="V533" s="25"/>
      <c r="W533" s="25"/>
      <c r="X533" s="25"/>
      <c r="Y533" s="25"/>
      <c r="Z533" s="25"/>
      <c r="AA533" s="25"/>
      <c r="AB533" s="101"/>
      <c r="AC533" s="2158">
        <v>3</v>
      </c>
      <c r="AD533" s="2059"/>
      <c r="AE533" s="2059"/>
      <c r="AF533" s="2059"/>
      <c r="AG533" s="75" t="s">
        <v>424</v>
      </c>
      <c r="AH533" s="2055">
        <v>2021</v>
      </c>
      <c r="AI533" s="2055"/>
      <c r="AJ533" s="2055"/>
      <c r="AK533" s="205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23"/>
      <c r="C534" s="2024"/>
      <c r="D534" s="2024"/>
      <c r="E534" s="2024"/>
      <c r="F534" s="2024"/>
      <c r="G534" s="2024"/>
      <c r="H534" s="2025"/>
      <c r="I534" s="79" t="s">
        <v>443</v>
      </c>
      <c r="J534" s="80"/>
      <c r="K534" s="80"/>
      <c r="L534" s="80"/>
      <c r="M534" s="80"/>
      <c r="N534" s="80"/>
      <c r="O534" s="80"/>
      <c r="P534" s="80"/>
      <c r="Q534" s="80"/>
      <c r="R534" s="80"/>
      <c r="S534" s="80"/>
      <c r="T534" s="80"/>
      <c r="U534" s="80"/>
      <c r="V534" s="80"/>
      <c r="W534" s="80"/>
      <c r="X534" s="80"/>
      <c r="Y534" s="80"/>
      <c r="Z534" s="80"/>
      <c r="AA534" s="80"/>
      <c r="AB534" s="81"/>
      <c r="AC534" s="2158">
        <v>5</v>
      </c>
      <c r="AD534" s="2059"/>
      <c r="AE534" s="2059"/>
      <c r="AF534" s="2059"/>
      <c r="AG534" s="65" t="s">
        <v>424</v>
      </c>
      <c r="AH534" s="2055">
        <v>2021</v>
      </c>
      <c r="AI534" s="2055"/>
      <c r="AJ534" s="2055"/>
      <c r="AK534" s="205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23"/>
      <c r="C535" s="2024"/>
      <c r="D535" s="2024"/>
      <c r="E535" s="2024"/>
      <c r="F535" s="2024"/>
      <c r="G535" s="2024"/>
      <c r="H535" s="2025"/>
      <c r="I535" s="72" t="s">
        <v>444</v>
      </c>
      <c r="J535" s="72"/>
      <c r="K535" s="72"/>
      <c r="L535" s="72"/>
      <c r="M535" s="72"/>
      <c r="N535" s="72"/>
      <c r="O535" s="2036" t="s">
        <v>2600</v>
      </c>
      <c r="P535" s="2036"/>
      <c r="Q535" s="2036"/>
      <c r="R535" s="2036"/>
      <c r="S535" s="2036"/>
      <c r="T535" s="2036"/>
      <c r="U535" s="2036"/>
      <c r="V535" s="2036"/>
      <c r="W535" s="2036"/>
      <c r="X535" s="2036"/>
      <c r="Y535" s="2036"/>
      <c r="Z535" s="2036"/>
      <c r="AA535" s="2036"/>
      <c r="AC535" s="2158" t="s">
        <v>626</v>
      </c>
      <c r="AD535" s="2059"/>
      <c r="AE535" s="2059"/>
      <c r="AF535" s="2059"/>
      <c r="AG535" s="75" t="s">
        <v>424</v>
      </c>
      <c r="AH535" s="2055"/>
      <c r="AI535" s="2055"/>
      <c r="AJ535" s="2055"/>
      <c r="AK535" s="205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23"/>
      <c r="C536" s="2024"/>
      <c r="D536" s="2024"/>
      <c r="E536" s="2024"/>
      <c r="F536" s="2024"/>
      <c r="G536" s="2024"/>
      <c r="H536" s="2025"/>
      <c r="I536" s="25" t="s">
        <v>442</v>
      </c>
      <c r="J536" s="25"/>
      <c r="K536" s="25"/>
      <c r="L536" s="25"/>
      <c r="M536" s="25"/>
      <c r="N536" s="25"/>
      <c r="O536" s="25"/>
      <c r="P536" s="25"/>
      <c r="Q536" s="25"/>
      <c r="R536" s="25"/>
      <c r="S536" s="25"/>
      <c r="T536" s="25"/>
      <c r="U536" s="25"/>
      <c r="V536" s="25"/>
      <c r="W536" s="25"/>
      <c r="X536" s="25"/>
      <c r="Y536" s="25"/>
      <c r="AC536" s="2158">
        <v>4</v>
      </c>
      <c r="AD536" s="2059"/>
      <c r="AE536" s="2059"/>
      <c r="AF536" s="2059"/>
      <c r="AG536" s="75" t="s">
        <v>424</v>
      </c>
      <c r="AH536" s="2055">
        <v>2021</v>
      </c>
      <c r="AI536" s="2055"/>
      <c r="AJ536" s="2055"/>
      <c r="AK536" s="205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23"/>
      <c r="C537" s="2024"/>
      <c r="D537" s="2024"/>
      <c r="E537" s="2024"/>
      <c r="F537" s="2024"/>
      <c r="G537" s="2024"/>
      <c r="H537" s="2025"/>
      <c r="I537" s="80" t="s">
        <v>443</v>
      </c>
      <c r="J537" s="80"/>
      <c r="K537" s="80"/>
      <c r="L537" s="80"/>
      <c r="M537" s="80"/>
      <c r="N537" s="80"/>
      <c r="O537" s="80"/>
      <c r="P537" s="80"/>
      <c r="Q537" s="80"/>
      <c r="R537" s="80"/>
      <c r="S537" s="80"/>
      <c r="T537" s="80"/>
      <c r="U537" s="80"/>
      <c r="V537" s="80"/>
      <c r="W537" s="80"/>
      <c r="X537" s="80"/>
      <c r="Y537" s="80"/>
      <c r="Z537" s="80"/>
      <c r="AA537" s="80"/>
      <c r="AB537" s="80"/>
      <c r="AC537" s="2158">
        <v>5</v>
      </c>
      <c r="AD537" s="2059"/>
      <c r="AE537" s="2059"/>
      <c r="AF537" s="2059"/>
      <c r="AG537" s="65" t="s">
        <v>424</v>
      </c>
      <c r="AH537" s="2055">
        <v>2021</v>
      </c>
      <c r="AI537" s="2055"/>
      <c r="AJ537" s="2055"/>
      <c r="AK537" s="205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23"/>
      <c r="C538" s="2024"/>
      <c r="D538" s="2024"/>
      <c r="E538" s="2024"/>
      <c r="F538" s="2024"/>
      <c r="G538" s="2024"/>
      <c r="H538" s="2025"/>
      <c r="I538" s="72" t="s">
        <v>444</v>
      </c>
      <c r="J538" s="72"/>
      <c r="K538" s="72"/>
      <c r="L538" s="72"/>
      <c r="M538" s="72"/>
      <c r="N538" s="72"/>
      <c r="O538" s="2036" t="s">
        <v>343</v>
      </c>
      <c r="P538" s="2036"/>
      <c r="Q538" s="2036"/>
      <c r="R538" s="2036"/>
      <c r="S538" s="2036"/>
      <c r="T538" s="2036"/>
      <c r="U538" s="2036"/>
      <c r="V538" s="2036"/>
      <c r="W538" s="2036"/>
      <c r="X538" s="2036"/>
      <c r="Y538" s="2036"/>
      <c r="Z538" s="2036"/>
      <c r="AA538" s="2036"/>
      <c r="AC538" s="2158" t="s">
        <v>626</v>
      </c>
      <c r="AD538" s="2059"/>
      <c r="AE538" s="2059"/>
      <c r="AF538" s="2059"/>
      <c r="AG538" s="75" t="s">
        <v>424</v>
      </c>
      <c r="AH538" s="2055"/>
      <c r="AI538" s="2055"/>
      <c r="AJ538" s="2055"/>
      <c r="AK538" s="205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23"/>
      <c r="C539" s="2024"/>
      <c r="D539" s="2024"/>
      <c r="E539" s="2024"/>
      <c r="F539" s="2024"/>
      <c r="G539" s="2024"/>
      <c r="H539" s="2025"/>
      <c r="I539" s="25" t="s">
        <v>442</v>
      </c>
      <c r="J539" s="25"/>
      <c r="K539" s="25"/>
      <c r="L539" s="25"/>
      <c r="M539" s="25"/>
      <c r="N539" s="25"/>
      <c r="O539" s="25"/>
      <c r="P539" s="25"/>
      <c r="Q539" s="25"/>
      <c r="R539" s="25"/>
      <c r="S539" s="25"/>
      <c r="T539" s="25"/>
      <c r="U539" s="25"/>
      <c r="V539" s="25"/>
      <c r="W539" s="25"/>
      <c r="X539" s="25"/>
      <c r="Y539" s="25"/>
      <c r="AC539" s="2158" t="s">
        <v>626</v>
      </c>
      <c r="AD539" s="2059"/>
      <c r="AE539" s="2059"/>
      <c r="AF539" s="2059"/>
      <c r="AG539" s="75" t="s">
        <v>424</v>
      </c>
      <c r="AH539" s="2055"/>
      <c r="AI539" s="2055"/>
      <c r="AJ539" s="2055"/>
      <c r="AK539" s="205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23"/>
      <c r="C540" s="2024"/>
      <c r="D540" s="2024"/>
      <c r="E540" s="2024"/>
      <c r="F540" s="2024"/>
      <c r="G540" s="2024"/>
      <c r="H540" s="2025"/>
      <c r="I540" s="80" t="s">
        <v>443</v>
      </c>
      <c r="J540" s="80"/>
      <c r="K540" s="80"/>
      <c r="L540" s="80"/>
      <c r="M540" s="80"/>
      <c r="N540" s="80"/>
      <c r="O540" s="80"/>
      <c r="P540" s="80"/>
      <c r="Q540" s="80"/>
      <c r="R540" s="80"/>
      <c r="S540" s="80"/>
      <c r="T540" s="80"/>
      <c r="U540" s="80"/>
      <c r="V540" s="80"/>
      <c r="W540" s="80"/>
      <c r="X540" s="80"/>
      <c r="Y540" s="80"/>
      <c r="Z540" s="80"/>
      <c r="AA540" s="80"/>
      <c r="AB540" s="80"/>
      <c r="AC540" s="2158" t="s">
        <v>626</v>
      </c>
      <c r="AD540" s="2059"/>
      <c r="AE540" s="2059"/>
      <c r="AF540" s="2059"/>
      <c r="AG540" s="65" t="s">
        <v>424</v>
      </c>
      <c r="AH540" s="2055"/>
      <c r="AI540" s="2055"/>
      <c r="AJ540" s="2055"/>
      <c r="AK540" s="205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23"/>
      <c r="C541" s="2024"/>
      <c r="D541" s="2024"/>
      <c r="E541" s="2024"/>
      <c r="F541" s="2024"/>
      <c r="G541" s="2024"/>
      <c r="H541" s="2025"/>
      <c r="I541" s="72" t="s">
        <v>444</v>
      </c>
      <c r="J541" s="72"/>
      <c r="K541" s="72"/>
      <c r="L541" s="72"/>
      <c r="M541" s="72"/>
      <c r="N541" s="72"/>
      <c r="O541" s="2036" t="s">
        <v>343</v>
      </c>
      <c r="P541" s="2036"/>
      <c r="Q541" s="2036"/>
      <c r="R541" s="2036"/>
      <c r="S541" s="2036"/>
      <c r="T541" s="2036"/>
      <c r="U541" s="2036"/>
      <c r="V541" s="2036"/>
      <c r="W541" s="2036"/>
      <c r="X541" s="2036"/>
      <c r="Y541" s="2036"/>
      <c r="Z541" s="2036"/>
      <c r="AA541" s="2036"/>
      <c r="AC541" s="2158" t="s">
        <v>626</v>
      </c>
      <c r="AD541" s="2059"/>
      <c r="AE541" s="2059"/>
      <c r="AF541" s="2059"/>
      <c r="AG541" s="75" t="s">
        <v>424</v>
      </c>
      <c r="AH541" s="2055"/>
      <c r="AI541" s="2055"/>
      <c r="AJ541" s="2055"/>
      <c r="AK541" s="205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23"/>
      <c r="C542" s="2024"/>
      <c r="D542" s="2024"/>
      <c r="E542" s="2024"/>
      <c r="F542" s="2024"/>
      <c r="G542" s="2024"/>
      <c r="H542" s="2025"/>
      <c r="I542" s="25" t="s">
        <v>442</v>
      </c>
      <c r="J542" s="25"/>
      <c r="K542" s="25"/>
      <c r="L542" s="25"/>
      <c r="M542" s="25"/>
      <c r="N542" s="25"/>
      <c r="O542" s="25"/>
      <c r="P542" s="25"/>
      <c r="Q542" s="25"/>
      <c r="R542" s="25"/>
      <c r="S542" s="25"/>
      <c r="T542" s="25"/>
      <c r="U542" s="25"/>
      <c r="V542" s="25"/>
      <c r="W542" s="25"/>
      <c r="X542" s="25"/>
      <c r="Y542" s="25"/>
      <c r="AC542" s="2158" t="s">
        <v>626</v>
      </c>
      <c r="AD542" s="2059"/>
      <c r="AE542" s="2059"/>
      <c r="AF542" s="2059"/>
      <c r="AG542" s="75" t="s">
        <v>424</v>
      </c>
      <c r="AH542" s="2055"/>
      <c r="AI542" s="2055"/>
      <c r="AJ542" s="2055"/>
      <c r="AK542" s="205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23"/>
      <c r="C543" s="2024"/>
      <c r="D543" s="2024"/>
      <c r="E543" s="2024"/>
      <c r="F543" s="2024"/>
      <c r="G543" s="2024"/>
      <c r="H543" s="2025"/>
      <c r="I543" s="80" t="s">
        <v>443</v>
      </c>
      <c r="J543" s="80"/>
      <c r="K543" s="80"/>
      <c r="L543" s="80"/>
      <c r="M543" s="80"/>
      <c r="N543" s="80"/>
      <c r="O543" s="80"/>
      <c r="P543" s="80"/>
      <c r="Q543" s="80"/>
      <c r="R543" s="80"/>
      <c r="S543" s="80"/>
      <c r="T543" s="80"/>
      <c r="U543" s="80"/>
      <c r="V543" s="80"/>
      <c r="W543" s="80"/>
      <c r="X543" s="80"/>
      <c r="Y543" s="80"/>
      <c r="Z543" s="80"/>
      <c r="AA543" s="80"/>
      <c r="AB543" s="80"/>
      <c r="AC543" s="2158" t="s">
        <v>626</v>
      </c>
      <c r="AD543" s="2059"/>
      <c r="AE543" s="2059"/>
      <c r="AF543" s="2059"/>
      <c r="AG543" s="65" t="s">
        <v>424</v>
      </c>
      <c r="AH543" s="2055"/>
      <c r="AI543" s="2055"/>
      <c r="AJ543" s="2055"/>
      <c r="AK543" s="205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23"/>
      <c r="C544" s="2024"/>
      <c r="D544" s="2024"/>
      <c r="E544" s="2024"/>
      <c r="F544" s="2024"/>
      <c r="G544" s="2024"/>
      <c r="H544" s="2025"/>
      <c r="I544" s="72" t="s">
        <v>444</v>
      </c>
      <c r="J544" s="72"/>
      <c r="K544" s="72"/>
      <c r="L544" s="72"/>
      <c r="M544" s="72"/>
      <c r="N544" s="72"/>
      <c r="O544" s="2036" t="s">
        <v>343</v>
      </c>
      <c r="P544" s="2036"/>
      <c r="Q544" s="2036"/>
      <c r="R544" s="2036"/>
      <c r="S544" s="2036"/>
      <c r="T544" s="2036"/>
      <c r="U544" s="2036"/>
      <c r="V544" s="2036"/>
      <c r="W544" s="2036"/>
      <c r="X544" s="2036"/>
      <c r="Y544" s="2036"/>
      <c r="Z544" s="2036"/>
      <c r="AA544" s="2036"/>
      <c r="AC544" s="2158" t="s">
        <v>626</v>
      </c>
      <c r="AD544" s="2059"/>
      <c r="AE544" s="2059"/>
      <c r="AF544" s="2059"/>
      <c r="AG544" s="75" t="s">
        <v>424</v>
      </c>
      <c r="AH544" s="2055"/>
      <c r="AI544" s="2055"/>
      <c r="AJ544" s="2055"/>
      <c r="AK544" s="205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23"/>
      <c r="C545" s="2024"/>
      <c r="D545" s="2024"/>
      <c r="E545" s="2024"/>
      <c r="F545" s="2024"/>
      <c r="G545" s="2024"/>
      <c r="H545" s="2025"/>
      <c r="I545" s="25" t="s">
        <v>442</v>
      </c>
      <c r="J545" s="25"/>
      <c r="K545" s="25"/>
      <c r="L545" s="25"/>
      <c r="M545" s="25"/>
      <c r="N545" s="25"/>
      <c r="O545" s="25"/>
      <c r="P545" s="25"/>
      <c r="Q545" s="25"/>
      <c r="R545" s="25"/>
      <c r="S545" s="25"/>
      <c r="T545" s="25"/>
      <c r="U545" s="25"/>
      <c r="V545" s="25"/>
      <c r="W545" s="25"/>
      <c r="X545" s="25"/>
      <c r="Y545" s="25"/>
      <c r="AC545" s="2158" t="s">
        <v>626</v>
      </c>
      <c r="AD545" s="2059"/>
      <c r="AE545" s="2059"/>
      <c r="AF545" s="2059"/>
      <c r="AG545" s="65" t="s">
        <v>424</v>
      </c>
      <c r="AH545" s="2055"/>
      <c r="AI545" s="2055"/>
      <c r="AJ545" s="2055"/>
      <c r="AK545" s="205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23"/>
      <c r="C546" s="2024"/>
      <c r="D546" s="2024"/>
      <c r="E546" s="2024"/>
      <c r="F546" s="2024"/>
      <c r="G546" s="2024"/>
      <c r="H546" s="2025"/>
      <c r="I546" s="80" t="s">
        <v>443</v>
      </c>
      <c r="J546" s="80"/>
      <c r="K546" s="80"/>
      <c r="L546" s="80"/>
      <c r="M546" s="80"/>
      <c r="N546" s="80"/>
      <c r="O546" s="80"/>
      <c r="P546" s="80"/>
      <c r="Q546" s="80"/>
      <c r="R546" s="80"/>
      <c r="S546" s="80"/>
      <c r="T546" s="80"/>
      <c r="U546" s="80"/>
      <c r="V546" s="80"/>
      <c r="W546" s="80"/>
      <c r="X546" s="80"/>
      <c r="Y546" s="80"/>
      <c r="Z546" s="80"/>
      <c r="AA546" s="80"/>
      <c r="AB546" s="80"/>
      <c r="AC546" s="2158" t="s">
        <v>626</v>
      </c>
      <c r="AD546" s="2059"/>
      <c r="AE546" s="2059"/>
      <c r="AF546" s="2059"/>
      <c r="AG546" s="75" t="s">
        <v>424</v>
      </c>
      <c r="AH546" s="2055"/>
      <c r="AI546" s="2055"/>
      <c r="AJ546" s="2055"/>
      <c r="AK546" s="205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23"/>
      <c r="C547" s="2024"/>
      <c r="D547" s="2024"/>
      <c r="E547" s="2024"/>
      <c r="F547" s="2024"/>
      <c r="G547" s="2024"/>
      <c r="H547" s="2025"/>
      <c r="I547" s="72" t="s">
        <v>444</v>
      </c>
      <c r="J547" s="72"/>
      <c r="K547" s="72"/>
      <c r="L547" s="72"/>
      <c r="M547" s="72"/>
      <c r="N547" s="72"/>
      <c r="O547" s="2036" t="s">
        <v>343</v>
      </c>
      <c r="P547" s="2036"/>
      <c r="Q547" s="2036"/>
      <c r="R547" s="2036"/>
      <c r="S547" s="2036"/>
      <c r="T547" s="2036"/>
      <c r="U547" s="2036"/>
      <c r="V547" s="2036"/>
      <c r="W547" s="2036"/>
      <c r="X547" s="2036"/>
      <c r="Y547" s="2036"/>
      <c r="Z547" s="2036"/>
      <c r="AA547" s="2036"/>
      <c r="AC547" s="2158" t="s">
        <v>626</v>
      </c>
      <c r="AD547" s="2059"/>
      <c r="AE547" s="2059"/>
      <c r="AF547" s="2059"/>
      <c r="AG547" s="65" t="s">
        <v>424</v>
      </c>
      <c r="AH547" s="2055"/>
      <c r="AI547" s="2055"/>
      <c r="AJ547" s="2055"/>
      <c r="AK547" s="205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23"/>
      <c r="C548" s="2024"/>
      <c r="D548" s="2024"/>
      <c r="E548" s="2024"/>
      <c r="F548" s="2024"/>
      <c r="G548" s="2024"/>
      <c r="H548" s="2025"/>
      <c r="I548" s="25" t="s">
        <v>442</v>
      </c>
      <c r="J548" s="25"/>
      <c r="K548" s="25"/>
      <c r="L548" s="25"/>
      <c r="M548" s="25"/>
      <c r="N548" s="25"/>
      <c r="O548" s="25"/>
      <c r="P548" s="25"/>
      <c r="Q548" s="25"/>
      <c r="R548" s="25"/>
      <c r="S548" s="25"/>
      <c r="T548" s="25"/>
      <c r="U548" s="25"/>
      <c r="V548" s="25"/>
      <c r="W548" s="25"/>
      <c r="X548" s="25"/>
      <c r="Y548" s="25"/>
      <c r="AC548" s="2158" t="s">
        <v>626</v>
      </c>
      <c r="AD548" s="2059"/>
      <c r="AE548" s="2059"/>
      <c r="AF548" s="2059"/>
      <c r="AG548" s="75" t="s">
        <v>424</v>
      </c>
      <c r="AH548" s="2055"/>
      <c r="AI548" s="2055"/>
      <c r="AJ548" s="2055"/>
      <c r="AK548" s="205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23"/>
      <c r="C549" s="2024"/>
      <c r="D549" s="2024"/>
      <c r="E549" s="2024"/>
      <c r="F549" s="2024"/>
      <c r="G549" s="2024"/>
      <c r="H549" s="2025"/>
      <c r="I549" s="80" t="s">
        <v>443</v>
      </c>
      <c r="J549" s="80"/>
      <c r="K549" s="80"/>
      <c r="L549" s="80"/>
      <c r="M549" s="80"/>
      <c r="N549" s="80"/>
      <c r="O549" s="80"/>
      <c r="P549" s="80"/>
      <c r="Q549" s="80"/>
      <c r="R549" s="80"/>
      <c r="S549" s="80"/>
      <c r="T549" s="80"/>
      <c r="U549" s="80"/>
      <c r="V549" s="80"/>
      <c r="W549" s="80"/>
      <c r="X549" s="80"/>
      <c r="Y549" s="80"/>
      <c r="Z549" s="80"/>
      <c r="AA549" s="80"/>
      <c r="AB549" s="80"/>
      <c r="AC549" s="2158" t="s">
        <v>626</v>
      </c>
      <c r="AD549" s="2059"/>
      <c r="AE549" s="2059"/>
      <c r="AF549" s="2059"/>
      <c r="AG549" s="65" t="s">
        <v>424</v>
      </c>
      <c r="AH549" s="2055"/>
      <c r="AI549" s="2055"/>
      <c r="AJ549" s="2055"/>
      <c r="AK549" s="205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23"/>
      <c r="C550" s="2024"/>
      <c r="D550" s="2024"/>
      <c r="E550" s="2024"/>
      <c r="F550" s="2024"/>
      <c r="G550" s="2024"/>
      <c r="H550" s="2025"/>
      <c r="I550" s="72" t="s">
        <v>595</v>
      </c>
      <c r="J550" s="72"/>
      <c r="K550" s="72"/>
      <c r="L550" s="72"/>
      <c r="M550" s="72"/>
      <c r="N550" s="72"/>
      <c r="O550" s="72"/>
      <c r="P550" s="72"/>
      <c r="Q550" s="72"/>
      <c r="R550" s="72"/>
      <c r="S550" s="72"/>
      <c r="T550" s="72"/>
      <c r="U550" s="72"/>
      <c r="V550" s="72"/>
      <c r="W550" s="72"/>
      <c r="X550" s="25"/>
      <c r="Y550" s="25"/>
      <c r="AC550" s="2158">
        <v>8</v>
      </c>
      <c r="AD550" s="2059"/>
      <c r="AE550" s="2059"/>
      <c r="AF550" s="2059"/>
      <c r="AG550" s="65" t="s">
        <v>424</v>
      </c>
      <c r="AH550" s="2055">
        <v>2022</v>
      </c>
      <c r="AI550" s="2055"/>
      <c r="AJ550" s="2055"/>
      <c r="AK550" s="205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23"/>
      <c r="C551" s="2024"/>
      <c r="D551" s="2024"/>
      <c r="E551" s="2024"/>
      <c r="F551" s="2024"/>
      <c r="G551" s="2024"/>
      <c r="H551" s="2025"/>
      <c r="I551" s="25" t="s">
        <v>596</v>
      </c>
      <c r="J551" s="25"/>
      <c r="K551" s="25"/>
      <c r="L551" s="25"/>
      <c r="M551" s="25"/>
      <c r="N551" s="25"/>
      <c r="O551" s="25"/>
      <c r="P551" s="25"/>
      <c r="Q551" s="25"/>
      <c r="R551" s="25"/>
      <c r="S551" s="25"/>
      <c r="T551" s="25"/>
      <c r="U551" s="25"/>
      <c r="V551" s="25"/>
      <c r="W551" s="25"/>
      <c r="X551" s="25"/>
      <c r="Y551" s="25"/>
      <c r="AC551" s="2158">
        <v>2</v>
      </c>
      <c r="AD551" s="2059"/>
      <c r="AE551" s="2059"/>
      <c r="AF551" s="2059"/>
      <c r="AG551" s="75" t="s">
        <v>424</v>
      </c>
      <c r="AH551" s="2055">
        <v>2022</v>
      </c>
      <c r="AI551" s="2055"/>
      <c r="AJ551" s="2055"/>
      <c r="AK551" s="205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23"/>
      <c r="C552" s="2024"/>
      <c r="D552" s="2024"/>
      <c r="E552" s="2024"/>
      <c r="F552" s="2024"/>
      <c r="G552" s="2024"/>
      <c r="H552" s="2025"/>
      <c r="I552" s="25" t="s">
        <v>597</v>
      </c>
      <c r="J552" s="25"/>
      <c r="K552" s="25"/>
      <c r="L552" s="25"/>
      <c r="M552" s="25"/>
      <c r="N552" s="25"/>
      <c r="O552" s="25"/>
      <c r="P552" s="25"/>
      <c r="Q552" s="25"/>
      <c r="R552" s="25"/>
      <c r="S552" s="25"/>
      <c r="T552" s="25"/>
      <c r="U552" s="25"/>
      <c r="V552" s="25"/>
      <c r="W552" s="25"/>
      <c r="X552" s="25"/>
      <c r="Y552" s="25"/>
      <c r="AC552" s="2158">
        <v>8</v>
      </c>
      <c r="AD552" s="2059"/>
      <c r="AE552" s="2059"/>
      <c r="AF552" s="2059"/>
      <c r="AG552" s="65" t="s">
        <v>424</v>
      </c>
      <c r="AH552" s="2055">
        <v>2023</v>
      </c>
      <c r="AI552" s="2055"/>
      <c r="AJ552" s="2055"/>
      <c r="AK552" s="205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23"/>
      <c r="C553" s="2024"/>
      <c r="D553" s="2024"/>
      <c r="E553" s="2024"/>
      <c r="F553" s="2024"/>
      <c r="G553" s="2024"/>
      <c r="H553" s="2025"/>
      <c r="I553" s="25" t="s">
        <v>598</v>
      </c>
      <c r="J553" s="25"/>
      <c r="K553" s="25"/>
      <c r="L553" s="25"/>
      <c r="M553" s="25"/>
      <c r="N553" s="25"/>
      <c r="O553" s="25"/>
      <c r="P553" s="25"/>
      <c r="Q553" s="25"/>
      <c r="R553" s="25"/>
      <c r="S553" s="25"/>
      <c r="T553" s="25"/>
      <c r="U553" s="25"/>
      <c r="V553" s="25"/>
      <c r="W553" s="25"/>
      <c r="X553" s="25"/>
      <c r="Y553" s="25"/>
      <c r="AC553" s="2158">
        <v>8</v>
      </c>
      <c r="AD553" s="2059"/>
      <c r="AE553" s="2059"/>
      <c r="AF553" s="2059"/>
      <c r="AG553" s="65" t="s">
        <v>424</v>
      </c>
      <c r="AH553" s="2055">
        <v>2023</v>
      </c>
      <c r="AI553" s="2055"/>
      <c r="AJ553" s="2055"/>
      <c r="AK553" s="205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74"/>
      <c r="C554" s="2175"/>
      <c r="D554" s="2175"/>
      <c r="E554" s="2175"/>
      <c r="F554" s="2175"/>
      <c r="G554" s="2175"/>
      <c r="H554" s="2176"/>
      <c r="I554" s="80" t="s">
        <v>482</v>
      </c>
      <c r="J554" s="80"/>
      <c r="K554" s="80"/>
      <c r="L554" s="80"/>
      <c r="M554" s="80"/>
      <c r="N554" s="80"/>
      <c r="O554" s="80"/>
      <c r="P554" s="80"/>
      <c r="Q554" s="80"/>
      <c r="R554" s="80"/>
      <c r="S554" s="80"/>
      <c r="T554" s="80"/>
      <c r="U554" s="80"/>
      <c r="V554" s="80"/>
      <c r="W554" s="80"/>
      <c r="X554" s="80"/>
      <c r="Y554" s="80"/>
      <c r="Z554" s="80"/>
      <c r="AA554" s="80"/>
      <c r="AB554" s="80"/>
      <c r="AC554" s="2158">
        <v>2</v>
      </c>
      <c r="AD554" s="2059"/>
      <c r="AE554" s="2059"/>
      <c r="AF554" s="2059"/>
      <c r="AG554" s="65" t="s">
        <v>424</v>
      </c>
      <c r="AH554" s="2055">
        <v>2024</v>
      </c>
      <c r="AI554" s="2055"/>
      <c r="AJ554" s="2055"/>
      <c r="AK554" s="205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3"/>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6"/>
      <c r="AN555" s="676"/>
      <c r="AO555" s="676"/>
      <c r="AP555" s="676"/>
      <c r="AQ555" s="676"/>
      <c r="AR555" s="676"/>
      <c r="AS555" s="676"/>
      <c r="AT555" s="676"/>
      <c r="AU555" s="676"/>
      <c r="AV555" s="676"/>
      <c r="AW555" s="676"/>
      <c r="AX555" s="676"/>
      <c r="AY555" s="676"/>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8" t="s">
        <v>576</v>
      </c>
      <c r="B556" s="1868"/>
      <c r="C556" s="1868"/>
      <c r="D556" s="1868"/>
      <c r="E556" s="1868"/>
      <c r="F556" s="1868"/>
      <c r="G556" s="1868"/>
      <c r="H556" s="1868"/>
      <c r="I556" s="1868"/>
      <c r="J556" s="1868"/>
      <c r="K556" s="1868"/>
      <c r="L556" s="1868"/>
      <c r="M556" s="1868"/>
      <c r="N556" s="1868"/>
      <c r="O556" s="1868"/>
      <c r="P556" s="1868"/>
      <c r="Q556" s="1868"/>
      <c r="R556" s="1868"/>
      <c r="S556" s="1868"/>
      <c r="T556" s="1868"/>
      <c r="U556" s="1868"/>
      <c r="V556" s="1868"/>
      <c r="W556" s="1868"/>
      <c r="X556" s="1868"/>
      <c r="Y556" s="1868"/>
      <c r="Z556" s="1868"/>
      <c r="AA556" s="1868"/>
      <c r="AB556" s="1868"/>
      <c r="AC556" s="1868"/>
      <c r="AD556" s="1868"/>
      <c r="AE556" s="1868"/>
      <c r="AF556" s="1868"/>
      <c r="AG556" s="1868"/>
      <c r="AH556" s="1868"/>
      <c r="AI556" s="1868"/>
      <c r="AJ556" s="1868"/>
      <c r="AK556" s="1868"/>
      <c r="AL556" s="1868"/>
      <c r="AM556" s="1868"/>
      <c r="AN556" s="1868"/>
      <c r="AO556" s="1868"/>
      <c r="AP556" s="1868"/>
      <c r="AQ556" s="1868"/>
      <c r="AR556" s="1868"/>
      <c r="AS556" s="1868"/>
      <c r="AT556" s="1566"/>
      <c r="AU556" s="1566"/>
      <c r="AV556" s="1566"/>
      <c r="AW556" s="1566"/>
      <c r="AX556" s="1566"/>
      <c r="AY556" s="156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8"/>
      <c r="B557" s="1868"/>
      <c r="C557" s="1868"/>
      <c r="D557" s="1868"/>
      <c r="E557" s="1868"/>
      <c r="F557" s="1868"/>
      <c r="G557" s="1868"/>
      <c r="H557" s="1868"/>
      <c r="I557" s="1868"/>
      <c r="J557" s="1868"/>
      <c r="K557" s="1868"/>
      <c r="L557" s="1868"/>
      <c r="M557" s="1868"/>
      <c r="N557" s="1868"/>
      <c r="O557" s="1868"/>
      <c r="P557" s="1868"/>
      <c r="Q557" s="1868"/>
      <c r="R557" s="1868"/>
      <c r="S557" s="1868"/>
      <c r="T557" s="1868"/>
      <c r="U557" s="1868"/>
      <c r="V557" s="1868"/>
      <c r="W557" s="1868"/>
      <c r="X557" s="1868"/>
      <c r="Y557" s="1868"/>
      <c r="Z557" s="1868"/>
      <c r="AA557" s="1868"/>
      <c r="AB557" s="1868"/>
      <c r="AC557" s="1868"/>
      <c r="AD557" s="1868"/>
      <c r="AE557" s="1868"/>
      <c r="AF557" s="1868"/>
      <c r="AG557" s="1868"/>
      <c r="AH557" s="1868"/>
      <c r="AI557" s="1868"/>
      <c r="AJ557" s="1868"/>
      <c r="AK557" s="1868"/>
      <c r="AL557" s="1868"/>
      <c r="AM557" s="1868"/>
      <c r="AN557" s="1868"/>
      <c r="AO557" s="1868"/>
      <c r="AP557" s="1868"/>
      <c r="AQ557" s="1868"/>
      <c r="AR557" s="1868"/>
      <c r="AS557" s="1868"/>
      <c r="AT557" s="1566"/>
      <c r="AU557" s="1566"/>
      <c r="AV557" s="1566"/>
      <c r="AW557" s="1566"/>
      <c r="AX557" s="1566"/>
      <c r="AY557" s="156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09"/>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2" t="s">
        <v>484</v>
      </c>
      <c r="C563" s="2163"/>
      <c r="D563" s="2163"/>
      <c r="E563" s="2163"/>
      <c r="F563" s="2163"/>
      <c r="G563" s="2163"/>
      <c r="H563" s="2163"/>
      <c r="I563" s="2163"/>
      <c r="J563" s="2163"/>
      <c r="K563" s="2163"/>
      <c r="L563" s="2163"/>
      <c r="M563" s="2163"/>
      <c r="N563" s="2163"/>
      <c r="O563" s="2163"/>
      <c r="P563" s="2164"/>
      <c r="Q563" s="2162" t="s">
        <v>2374</v>
      </c>
      <c r="R563" s="2172"/>
      <c r="S563" s="2173"/>
      <c r="T563" s="2162" t="s">
        <v>2372</v>
      </c>
      <c r="U563" s="2172"/>
      <c r="V563" s="2173"/>
      <c r="W563" s="2162" t="s">
        <v>485</v>
      </c>
      <c r="X563" s="2172"/>
      <c r="Y563" s="2173"/>
      <c r="Z563" s="2162" t="s">
        <v>2373</v>
      </c>
      <c r="AA563" s="2172"/>
      <c r="AB563" s="2172"/>
      <c r="AC563" s="2172"/>
      <c r="AD563" s="2172"/>
      <c r="AE563" s="2162" t="s">
        <v>2146</v>
      </c>
      <c r="AF563" s="2172"/>
      <c r="AG563" s="2172"/>
      <c r="AH563" s="2173"/>
      <c r="AI563" s="2162" t="s">
        <v>2147</v>
      </c>
      <c r="AJ563" s="2172"/>
      <c r="AK563" s="2172"/>
      <c r="AL563" s="2173"/>
      <c r="AM563" s="2162" t="s">
        <v>486</v>
      </c>
      <c r="AN563" s="2172"/>
      <c r="AO563" s="2172"/>
      <c r="AP563" s="2172"/>
      <c r="AQ563" s="2172"/>
      <c r="AR563" s="2172"/>
      <c r="AS563" s="217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60" t="s">
        <v>2624</v>
      </c>
      <c r="D564" s="2160"/>
      <c r="E564" s="2160"/>
      <c r="F564" s="2160"/>
      <c r="G564" s="2160"/>
      <c r="H564" s="2160"/>
      <c r="I564" s="2160"/>
      <c r="J564" s="2160"/>
      <c r="K564" s="2160"/>
      <c r="L564" s="2160"/>
      <c r="M564" s="2160"/>
      <c r="N564" s="2160"/>
      <c r="O564" s="2160"/>
      <c r="P564" s="2161"/>
      <c r="Q564" s="2154">
        <v>28</v>
      </c>
      <c r="R564" s="2154"/>
      <c r="S564" s="2155"/>
      <c r="T564" s="2153"/>
      <c r="U564" s="2154"/>
      <c r="V564" s="2155"/>
      <c r="W564" s="2165">
        <v>3.4500000000000003E-2</v>
      </c>
      <c r="X564" s="2166"/>
      <c r="Y564" s="2167"/>
      <c r="Z564" s="2050" t="s">
        <v>2601</v>
      </c>
      <c r="AA564" s="2050"/>
      <c r="AB564" s="2050"/>
      <c r="AC564" s="2050"/>
      <c r="AD564" s="2050"/>
      <c r="AE564" s="2031">
        <v>1</v>
      </c>
      <c r="AF564" s="2032"/>
      <c r="AG564" s="2032"/>
      <c r="AH564" s="2033"/>
      <c r="AI564" s="2052" t="s">
        <v>2602</v>
      </c>
      <c r="AJ564" s="2053"/>
      <c r="AK564" s="2053"/>
      <c r="AL564" s="2054"/>
      <c r="AM564" s="2028">
        <v>52125000</v>
      </c>
      <c r="AN564" s="2029"/>
      <c r="AO564" s="2029"/>
      <c r="AP564" s="2029"/>
      <c r="AQ564" s="2029"/>
      <c r="AR564" s="2029"/>
      <c r="AS564" s="2030"/>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0" t="s">
        <v>2625</v>
      </c>
      <c r="D565" s="2160"/>
      <c r="E565" s="2160"/>
      <c r="F565" s="2160"/>
      <c r="G565" s="2160"/>
      <c r="H565" s="2160"/>
      <c r="I565" s="2160"/>
      <c r="J565" s="2160"/>
      <c r="K565" s="2160"/>
      <c r="L565" s="2160"/>
      <c r="M565" s="2160"/>
      <c r="N565" s="2160"/>
      <c r="O565" s="2160"/>
      <c r="P565" s="2161"/>
      <c r="Q565" s="2153">
        <v>28</v>
      </c>
      <c r="R565" s="2154"/>
      <c r="S565" s="2155"/>
      <c r="T565" s="2153"/>
      <c r="U565" s="2154"/>
      <c r="V565" s="2155"/>
      <c r="W565" s="2165">
        <v>3.4500000000000003E-2</v>
      </c>
      <c r="X565" s="2166"/>
      <c r="Y565" s="2167"/>
      <c r="Z565" s="2050" t="s">
        <v>2601</v>
      </c>
      <c r="AA565" s="2050"/>
      <c r="AB565" s="2050"/>
      <c r="AC565" s="2050"/>
      <c r="AD565" s="2050"/>
      <c r="AE565" s="2031">
        <v>2</v>
      </c>
      <c r="AF565" s="2032"/>
      <c r="AG565" s="2032"/>
      <c r="AH565" s="2033"/>
      <c r="AI565" s="2052" t="s">
        <v>2602</v>
      </c>
      <c r="AJ565" s="2053"/>
      <c r="AK565" s="2053"/>
      <c r="AL565" s="2054"/>
      <c r="AM565" s="2028">
        <v>14842534</v>
      </c>
      <c r="AN565" s="2029"/>
      <c r="AO565" s="2029"/>
      <c r="AP565" s="2029"/>
      <c r="AQ565" s="2029"/>
      <c r="AR565" s="2029"/>
      <c r="AS565" s="203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60" t="s">
        <v>2626</v>
      </c>
      <c r="D566" s="2160"/>
      <c r="E566" s="2160"/>
      <c r="F566" s="2160"/>
      <c r="G566" s="2160"/>
      <c r="H566" s="2160"/>
      <c r="I566" s="2160"/>
      <c r="J566" s="2160"/>
      <c r="K566" s="2160"/>
      <c r="L566" s="2160"/>
      <c r="M566" s="2160"/>
      <c r="N566" s="2160"/>
      <c r="O566" s="2160"/>
      <c r="P566" s="2161"/>
      <c r="Q566" s="2153">
        <v>28</v>
      </c>
      <c r="R566" s="2154"/>
      <c r="S566" s="2155"/>
      <c r="T566" s="2153"/>
      <c r="U566" s="2154"/>
      <c r="V566" s="2155"/>
      <c r="W566" s="2165">
        <v>0.03</v>
      </c>
      <c r="X566" s="2166"/>
      <c r="Y566" s="2167"/>
      <c r="Z566" s="2050" t="s">
        <v>2603</v>
      </c>
      <c r="AA566" s="2050"/>
      <c r="AB566" s="2050"/>
      <c r="AC566" s="2050"/>
      <c r="AD566" s="2050"/>
      <c r="AE566" s="2031">
        <v>3</v>
      </c>
      <c r="AF566" s="2032"/>
      <c r="AG566" s="2032"/>
      <c r="AH566" s="2033"/>
      <c r="AI566" s="2052" t="s">
        <v>490</v>
      </c>
      <c r="AJ566" s="2053"/>
      <c r="AK566" s="2053"/>
      <c r="AL566" s="2054"/>
      <c r="AM566" s="2028">
        <v>4500000</v>
      </c>
      <c r="AN566" s="2029"/>
      <c r="AO566" s="2029"/>
      <c r="AP566" s="2029"/>
      <c r="AQ566" s="2029"/>
      <c r="AR566" s="2029"/>
      <c r="AS566" s="203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2160" t="s">
        <v>2675</v>
      </c>
      <c r="D567" s="2160"/>
      <c r="E567" s="2160"/>
      <c r="F567" s="2160"/>
      <c r="G567" s="2160"/>
      <c r="H567" s="2160"/>
      <c r="I567" s="2160"/>
      <c r="J567" s="2160"/>
      <c r="K567" s="2160"/>
      <c r="L567" s="2160"/>
      <c r="M567" s="2160"/>
      <c r="N567" s="2160"/>
      <c r="O567" s="2160"/>
      <c r="P567" s="2161"/>
      <c r="Q567" s="2153">
        <v>28</v>
      </c>
      <c r="R567" s="2154"/>
      <c r="S567" s="2155"/>
      <c r="T567" s="2153"/>
      <c r="U567" s="2154"/>
      <c r="V567" s="2155"/>
      <c r="W567" s="2165">
        <v>0.03</v>
      </c>
      <c r="X567" s="2166"/>
      <c r="Y567" s="2167"/>
      <c r="Z567" s="2050" t="s">
        <v>2603</v>
      </c>
      <c r="AA567" s="2050"/>
      <c r="AB567" s="2050"/>
      <c r="AC567" s="2050"/>
      <c r="AD567" s="2050"/>
      <c r="AE567" s="2031">
        <v>4</v>
      </c>
      <c r="AF567" s="2032"/>
      <c r="AG567" s="2032"/>
      <c r="AH567" s="2033"/>
      <c r="AI567" s="2052" t="s">
        <v>490</v>
      </c>
      <c r="AJ567" s="2053"/>
      <c r="AK567" s="2053"/>
      <c r="AL567" s="2054"/>
      <c r="AM567" s="2028">
        <v>9000000</v>
      </c>
      <c r="AN567" s="2029"/>
      <c r="AO567" s="2029"/>
      <c r="AP567" s="2029"/>
      <c r="AQ567" s="2029"/>
      <c r="AR567" s="2029"/>
      <c r="AS567" s="203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2160" t="s">
        <v>2604</v>
      </c>
      <c r="D568" s="2160"/>
      <c r="E568" s="2160"/>
      <c r="F568" s="2160"/>
      <c r="G568" s="2160"/>
      <c r="H568" s="2160"/>
      <c r="I568" s="2160"/>
      <c r="J568" s="2160"/>
      <c r="K568" s="2160"/>
      <c r="L568" s="2160"/>
      <c r="M568" s="2160"/>
      <c r="N568" s="2160"/>
      <c r="O568" s="2160"/>
      <c r="P568" s="2161"/>
      <c r="Q568" s="2153"/>
      <c r="R568" s="2154"/>
      <c r="S568" s="2155"/>
      <c r="T568" s="2153"/>
      <c r="U568" s="2154"/>
      <c r="V568" s="2155"/>
      <c r="W568" s="2165"/>
      <c r="X568" s="2166"/>
      <c r="Y568" s="2167"/>
      <c r="Z568" s="2050" t="s">
        <v>626</v>
      </c>
      <c r="AA568" s="2050"/>
      <c r="AB568" s="2050"/>
      <c r="AC568" s="2050"/>
      <c r="AD568" s="2050"/>
      <c r="AE568" s="2031"/>
      <c r="AF568" s="2032"/>
      <c r="AG568" s="2032"/>
      <c r="AH568" s="2033"/>
      <c r="AI568" s="2052" t="s">
        <v>491</v>
      </c>
      <c r="AJ568" s="2053"/>
      <c r="AK568" s="2053"/>
      <c r="AL568" s="2054"/>
      <c r="AM568" s="2028">
        <f>3300000+6268635</f>
        <v>9568635</v>
      </c>
      <c r="AN568" s="2029"/>
      <c r="AO568" s="2029"/>
      <c r="AP568" s="2029"/>
      <c r="AQ568" s="2029"/>
      <c r="AR568" s="2029"/>
      <c r="AS568" s="203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2160" t="s">
        <v>2605</v>
      </c>
      <c r="D569" s="2160"/>
      <c r="E569" s="2160"/>
      <c r="F569" s="2160"/>
      <c r="G569" s="2160"/>
      <c r="H569" s="2160"/>
      <c r="I569" s="2160"/>
      <c r="J569" s="2160"/>
      <c r="K569" s="2160"/>
      <c r="L569" s="2160"/>
      <c r="M569" s="2160"/>
      <c r="N569" s="2160"/>
      <c r="O569" s="2160"/>
      <c r="P569" s="2161"/>
      <c r="Q569" s="2153"/>
      <c r="R569" s="2154"/>
      <c r="S569" s="2155"/>
      <c r="T569" s="2153"/>
      <c r="U569" s="2154"/>
      <c r="V569" s="2155"/>
      <c r="W569" s="2165"/>
      <c r="X569" s="2166"/>
      <c r="Y569" s="2167"/>
      <c r="Z569" s="2050" t="s">
        <v>626</v>
      </c>
      <c r="AA569" s="2050"/>
      <c r="AB569" s="2050"/>
      <c r="AC569" s="2050"/>
      <c r="AD569" s="2050"/>
      <c r="AE569" s="2031"/>
      <c r="AF569" s="2032"/>
      <c r="AG569" s="2032"/>
      <c r="AH569" s="2033"/>
      <c r="AI569" s="2052" t="s">
        <v>491</v>
      </c>
      <c r="AJ569" s="2053"/>
      <c r="AK569" s="2053"/>
      <c r="AL569" s="2054"/>
      <c r="AM569" s="2028">
        <v>500622</v>
      </c>
      <c r="AN569" s="2029"/>
      <c r="AO569" s="2029"/>
      <c r="AP569" s="2029"/>
      <c r="AQ569" s="2029"/>
      <c r="AR569" s="2029"/>
      <c r="AS569" s="203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2160" t="s">
        <v>2606</v>
      </c>
      <c r="D570" s="2160"/>
      <c r="E570" s="2160"/>
      <c r="F570" s="2160"/>
      <c r="G570" s="2160"/>
      <c r="H570" s="2160"/>
      <c r="I570" s="2160"/>
      <c r="J570" s="2160"/>
      <c r="K570" s="2160"/>
      <c r="L570" s="2160"/>
      <c r="M570" s="2160"/>
      <c r="N570" s="2160"/>
      <c r="O570" s="2160"/>
      <c r="P570" s="2161"/>
      <c r="Q570" s="2153"/>
      <c r="R570" s="2154"/>
      <c r="S570" s="2155"/>
      <c r="T570" s="2153"/>
      <c r="U570" s="2154"/>
      <c r="V570" s="2155"/>
      <c r="W570" s="2165"/>
      <c r="X570" s="2166"/>
      <c r="Y570" s="2167"/>
      <c r="Z570" s="2050" t="s">
        <v>626</v>
      </c>
      <c r="AA570" s="2050"/>
      <c r="AB570" s="2050"/>
      <c r="AC570" s="2050"/>
      <c r="AD570" s="2050"/>
      <c r="AE570" s="2031"/>
      <c r="AF570" s="2032"/>
      <c r="AG570" s="2032"/>
      <c r="AH570" s="2033"/>
      <c r="AI570" s="2052" t="s">
        <v>706</v>
      </c>
      <c r="AJ570" s="2053"/>
      <c r="AK570" s="2053"/>
      <c r="AL570" s="2054"/>
      <c r="AM570" s="2028">
        <v>6119558</v>
      </c>
      <c r="AN570" s="2029"/>
      <c r="AO570" s="2029"/>
      <c r="AP570" s="2029"/>
      <c r="AQ570" s="2029"/>
      <c r="AR570" s="2029"/>
      <c r="AS570" s="203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2160" t="s">
        <v>2607</v>
      </c>
      <c r="D571" s="2160"/>
      <c r="E571" s="2160"/>
      <c r="F571" s="2160"/>
      <c r="G571" s="2160"/>
      <c r="H571" s="2160"/>
      <c r="I571" s="2160"/>
      <c r="J571" s="2160"/>
      <c r="K571" s="2160"/>
      <c r="L571" s="2160"/>
      <c r="M571" s="2160"/>
      <c r="N571" s="2160"/>
      <c r="O571" s="2160"/>
      <c r="P571" s="2161"/>
      <c r="Q571" s="2153"/>
      <c r="R571" s="2154"/>
      <c r="S571" s="2155"/>
      <c r="T571" s="2153"/>
      <c r="U571" s="2154"/>
      <c r="V571" s="2155"/>
      <c r="W571" s="2165"/>
      <c r="X571" s="2166"/>
      <c r="Y571" s="2167"/>
      <c r="Z571" s="2050" t="s">
        <v>626</v>
      </c>
      <c r="AA571" s="2050"/>
      <c r="AB571" s="2050"/>
      <c r="AC571" s="2050"/>
      <c r="AD571" s="2050"/>
      <c r="AE571" s="2031"/>
      <c r="AF571" s="2032"/>
      <c r="AG571" s="2032"/>
      <c r="AH571" s="2033"/>
      <c r="AI571" s="2052" t="s">
        <v>491</v>
      </c>
      <c r="AJ571" s="2053"/>
      <c r="AK571" s="2053"/>
      <c r="AL571" s="2054"/>
      <c r="AM571" s="2028">
        <v>2172485</v>
      </c>
      <c r="AN571" s="2029"/>
      <c r="AO571" s="2029"/>
      <c r="AP571" s="2029"/>
      <c r="AQ571" s="2029"/>
      <c r="AR571" s="2029"/>
      <c r="AS571" s="2030"/>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2160"/>
      <c r="D572" s="2160"/>
      <c r="E572" s="2160"/>
      <c r="F572" s="2160"/>
      <c r="G572" s="2160"/>
      <c r="H572" s="2160"/>
      <c r="I572" s="2160"/>
      <c r="J572" s="2160"/>
      <c r="K572" s="2160"/>
      <c r="L572" s="2160"/>
      <c r="M572" s="2160"/>
      <c r="N572" s="2160"/>
      <c r="O572" s="2160"/>
      <c r="P572" s="2161"/>
      <c r="Q572" s="2153"/>
      <c r="R572" s="2154"/>
      <c r="S572" s="2155"/>
      <c r="T572" s="2153"/>
      <c r="U572" s="2154"/>
      <c r="V572" s="2155"/>
      <c r="W572" s="2165"/>
      <c r="X572" s="2166"/>
      <c r="Y572" s="2167"/>
      <c r="Z572" s="2050"/>
      <c r="AA572" s="2050"/>
      <c r="AB572" s="2050"/>
      <c r="AC572" s="2050"/>
      <c r="AD572" s="2050"/>
      <c r="AE572" s="2031"/>
      <c r="AF572" s="2032"/>
      <c r="AG572" s="2032"/>
      <c r="AH572" s="2033"/>
      <c r="AI572" s="2052"/>
      <c r="AJ572" s="2053"/>
      <c r="AK572" s="2053"/>
      <c r="AL572" s="2054"/>
      <c r="AM572" s="2028"/>
      <c r="AN572" s="2029"/>
      <c r="AO572" s="2029"/>
      <c r="AP572" s="2029"/>
      <c r="AQ572" s="2029"/>
      <c r="AR572" s="2029"/>
      <c r="AS572" s="2030"/>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60"/>
      <c r="D573" s="2160"/>
      <c r="E573" s="2160"/>
      <c r="F573" s="2160"/>
      <c r="G573" s="2160"/>
      <c r="H573" s="2160"/>
      <c r="I573" s="2160"/>
      <c r="J573" s="2160"/>
      <c r="K573" s="2160"/>
      <c r="L573" s="2160"/>
      <c r="M573" s="2160"/>
      <c r="N573" s="2160"/>
      <c r="O573" s="2160"/>
      <c r="P573" s="2161"/>
      <c r="Q573" s="2153"/>
      <c r="R573" s="2154"/>
      <c r="S573" s="2155"/>
      <c r="T573" s="2153"/>
      <c r="U573" s="2154"/>
      <c r="V573" s="2155"/>
      <c r="W573" s="2165"/>
      <c r="X573" s="2166"/>
      <c r="Y573" s="2167"/>
      <c r="Z573" s="2050"/>
      <c r="AA573" s="2050"/>
      <c r="AB573" s="2050"/>
      <c r="AC573" s="2050"/>
      <c r="AD573" s="2050"/>
      <c r="AE573" s="2031"/>
      <c r="AF573" s="2032"/>
      <c r="AG573" s="2032"/>
      <c r="AH573" s="2033"/>
      <c r="AI573" s="2052"/>
      <c r="AJ573" s="2053"/>
      <c r="AK573" s="2053"/>
      <c r="AL573" s="2054"/>
      <c r="AM573" s="2028"/>
      <c r="AN573" s="2029"/>
      <c r="AO573" s="2029"/>
      <c r="AP573" s="2029"/>
      <c r="AQ573" s="2029"/>
      <c r="AR573" s="2029"/>
      <c r="AS573" s="203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160"/>
      <c r="D574" s="2160"/>
      <c r="E574" s="2160"/>
      <c r="F574" s="2160"/>
      <c r="G574" s="2160"/>
      <c r="H574" s="2160"/>
      <c r="I574" s="2160"/>
      <c r="J574" s="2160"/>
      <c r="K574" s="2160"/>
      <c r="L574" s="2160"/>
      <c r="M574" s="2160"/>
      <c r="N574" s="2160"/>
      <c r="O574" s="2160"/>
      <c r="P574" s="2161"/>
      <c r="Q574" s="2153"/>
      <c r="R574" s="2154"/>
      <c r="S574" s="2155"/>
      <c r="T574" s="2153"/>
      <c r="U574" s="2154"/>
      <c r="V574" s="2155"/>
      <c r="W574" s="2165"/>
      <c r="X574" s="2166"/>
      <c r="Y574" s="2167"/>
      <c r="Z574" s="2050"/>
      <c r="AA574" s="2050"/>
      <c r="AB574" s="2050"/>
      <c r="AC574" s="2050"/>
      <c r="AD574" s="2050"/>
      <c r="AE574" s="2031"/>
      <c r="AF574" s="2032"/>
      <c r="AG574" s="2032"/>
      <c r="AH574" s="2033"/>
      <c r="AI574" s="2052"/>
      <c r="AJ574" s="2053"/>
      <c r="AK574" s="2053"/>
      <c r="AL574" s="2054"/>
      <c r="AM574" s="2028"/>
      <c r="AN574" s="2029"/>
      <c r="AO574" s="2029"/>
      <c r="AP574" s="2029"/>
      <c r="AQ574" s="2029"/>
      <c r="AR574" s="2029"/>
      <c r="AS574" s="203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160"/>
      <c r="D575" s="2160"/>
      <c r="E575" s="2160"/>
      <c r="F575" s="2160"/>
      <c r="G575" s="2160"/>
      <c r="H575" s="2160"/>
      <c r="I575" s="2160"/>
      <c r="J575" s="2160"/>
      <c r="K575" s="2160"/>
      <c r="L575" s="2160"/>
      <c r="M575" s="2160"/>
      <c r="N575" s="2160"/>
      <c r="O575" s="2160"/>
      <c r="P575" s="2161"/>
      <c r="Q575" s="2153"/>
      <c r="R575" s="2154"/>
      <c r="S575" s="2155"/>
      <c r="T575" s="2153"/>
      <c r="U575" s="2154"/>
      <c r="V575" s="2155"/>
      <c r="W575" s="2165"/>
      <c r="X575" s="2166"/>
      <c r="Y575" s="2167"/>
      <c r="Z575" s="2050"/>
      <c r="AA575" s="2050"/>
      <c r="AB575" s="2050"/>
      <c r="AC575" s="2050"/>
      <c r="AD575" s="2050"/>
      <c r="AE575" s="2031"/>
      <c r="AF575" s="2032"/>
      <c r="AG575" s="2032"/>
      <c r="AH575" s="2033"/>
      <c r="AI575" s="2052"/>
      <c r="AJ575" s="2053"/>
      <c r="AK575" s="2053"/>
      <c r="AL575" s="2054"/>
      <c r="AM575" s="2028"/>
      <c r="AN575" s="2029"/>
      <c r="AO575" s="2029"/>
      <c r="AP575" s="2029"/>
      <c r="AQ575" s="2029"/>
      <c r="AR575" s="2029"/>
      <c r="AS575" s="203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80" t="s">
        <v>132</v>
      </c>
      <c r="C576" s="2181"/>
      <c r="D576" s="2181"/>
      <c r="E576" s="2181"/>
      <c r="F576" s="2181"/>
      <c r="G576" s="2181"/>
      <c r="H576" s="2181"/>
      <c r="I576" s="2181"/>
      <c r="J576" s="2181"/>
      <c r="K576" s="2181"/>
      <c r="L576" s="2181"/>
      <c r="M576" s="2181"/>
      <c r="N576" s="2181"/>
      <c r="O576" s="2181"/>
      <c r="P576" s="2181"/>
      <c r="Q576" s="2181"/>
      <c r="R576" s="2181"/>
      <c r="S576" s="2181"/>
      <c r="T576" s="2181"/>
      <c r="U576" s="2182"/>
      <c r="V576" s="2181"/>
      <c r="W576" s="2181"/>
      <c r="X576" s="2181"/>
      <c r="Y576" s="2181"/>
      <c r="Z576" s="2181"/>
      <c r="AA576" s="2181"/>
      <c r="AB576" s="2181"/>
      <c r="AC576" s="2181"/>
      <c r="AD576" s="2181"/>
      <c r="AE576" s="2181"/>
      <c r="AF576" s="2181"/>
      <c r="AG576" s="2181"/>
      <c r="AH576" s="2181"/>
      <c r="AI576" s="2181"/>
      <c r="AJ576" s="2181"/>
      <c r="AK576" s="2181"/>
      <c r="AL576" s="2183"/>
      <c r="AM576" s="2133">
        <f>SUM(AM564:AS575)</f>
        <v>98828834</v>
      </c>
      <c r="AN576" s="2134"/>
      <c r="AO576" s="2134"/>
      <c r="AP576" s="2134"/>
      <c r="AQ576" s="2134"/>
      <c r="AR576" s="2134"/>
      <c r="AS576" s="213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2037" t="str">
        <f>C564</f>
        <v xml:space="preserve">Wells Fargo Tax-Exempt Construction Loan </v>
      </c>
      <c r="H578" s="2037"/>
      <c r="I578" s="2037"/>
      <c r="J578" s="2037"/>
      <c r="K578" s="2037"/>
      <c r="L578" s="2037"/>
      <c r="M578" s="2037"/>
      <c r="N578" s="2037"/>
      <c r="O578" s="2037"/>
      <c r="P578" s="2037"/>
      <c r="Q578" s="2037"/>
      <c r="R578" s="2037"/>
      <c r="S578" s="14"/>
      <c r="T578" s="87" t="s">
        <v>118</v>
      </c>
      <c r="U578" s="12" t="s">
        <v>496</v>
      </c>
      <c r="Z578" s="2037" t="str">
        <f>C565</f>
        <v xml:space="preserve">Wells Fargo Taxable Construction Loan </v>
      </c>
      <c r="AA578" s="2037"/>
      <c r="AB578" s="2037"/>
      <c r="AC578" s="2037"/>
      <c r="AD578" s="2037"/>
      <c r="AE578" s="2037"/>
      <c r="AF578" s="2037"/>
      <c r="AG578" s="2037"/>
      <c r="AH578" s="2037"/>
      <c r="AI578" s="2037"/>
      <c r="AJ578" s="2037"/>
      <c r="AK578" s="203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36" t="s">
        <v>2654</v>
      </c>
      <c r="H579" s="2036"/>
      <c r="I579" s="2036"/>
      <c r="J579" s="2036"/>
      <c r="K579" s="2036"/>
      <c r="L579" s="2036"/>
      <c r="M579" s="2036"/>
      <c r="N579" s="2036"/>
      <c r="O579" s="2036"/>
      <c r="P579" s="2036"/>
      <c r="Q579" s="2036"/>
      <c r="R579" s="2036"/>
      <c r="S579" s="14"/>
      <c r="T579" s="35"/>
      <c r="U579" s="12" t="s">
        <v>90</v>
      </c>
      <c r="Z579" s="2036" t="s">
        <v>2654</v>
      </c>
      <c r="AA579" s="2036"/>
      <c r="AB579" s="2036"/>
      <c r="AC579" s="2036"/>
      <c r="AD579" s="2036"/>
      <c r="AE579" s="2036"/>
      <c r="AF579" s="2036"/>
      <c r="AG579" s="2036"/>
      <c r="AH579" s="2036"/>
      <c r="AI579" s="2036"/>
      <c r="AJ579" s="2036"/>
      <c r="AK579" s="2036"/>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2036" t="s">
        <v>771</v>
      </c>
      <c r="H580" s="2036"/>
      <c r="I580" s="2036"/>
      <c r="J580" s="2036"/>
      <c r="K580" s="2036"/>
      <c r="L580" s="2036"/>
      <c r="M580" s="2036"/>
      <c r="N580" s="2036"/>
      <c r="O580" s="2036"/>
      <c r="P580" s="2036"/>
      <c r="Q580" s="2036"/>
      <c r="R580" s="2036"/>
      <c r="S580" s="88"/>
      <c r="T580" s="35"/>
      <c r="U580" s="12" t="s">
        <v>615</v>
      </c>
      <c r="Z580" s="2038" t="s">
        <v>771</v>
      </c>
      <c r="AA580" s="2038"/>
      <c r="AB580" s="2038"/>
      <c r="AC580" s="2038"/>
      <c r="AD580" s="2038"/>
      <c r="AE580" s="2038"/>
      <c r="AF580" s="2038"/>
      <c r="AG580" s="2038"/>
      <c r="AH580" s="2038"/>
      <c r="AI580" s="2038"/>
      <c r="AJ580" s="2038"/>
      <c r="AK580" s="2038"/>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6" t="s">
        <v>2676</v>
      </c>
      <c r="H581" s="2036"/>
      <c r="I581" s="2036"/>
      <c r="J581" s="2036"/>
      <c r="K581" s="2036"/>
      <c r="L581" s="2036"/>
      <c r="M581" s="2036"/>
      <c r="N581" s="2036"/>
      <c r="O581" s="2036"/>
      <c r="P581" s="2036"/>
      <c r="Q581" s="2036"/>
      <c r="R581" s="2036"/>
      <c r="S581" s="14"/>
      <c r="T581" s="35"/>
      <c r="U581" s="12" t="s">
        <v>17</v>
      </c>
      <c r="Z581" s="2038" t="s">
        <v>2676</v>
      </c>
      <c r="AA581" s="2038"/>
      <c r="AB581" s="2038"/>
      <c r="AC581" s="2038"/>
      <c r="AD581" s="2038"/>
      <c r="AE581" s="2038"/>
      <c r="AF581" s="2038"/>
      <c r="AG581" s="2038"/>
      <c r="AH581" s="2038"/>
      <c r="AI581" s="2038"/>
      <c r="AJ581" s="2038"/>
      <c r="AK581" s="203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59" t="s">
        <v>2655</v>
      </c>
      <c r="H582" s="2060"/>
      <c r="I582" s="2060"/>
      <c r="J582" s="2060"/>
      <c r="K582" s="2060"/>
      <c r="L582" s="2060"/>
      <c r="O582" s="137" t="s">
        <v>212</v>
      </c>
      <c r="P582" s="2026"/>
      <c r="Q582" s="2026"/>
      <c r="R582" s="2026"/>
      <c r="S582" s="16"/>
      <c r="T582" s="35"/>
      <c r="U582" s="12" t="s">
        <v>325</v>
      </c>
      <c r="Z582" s="2159" t="s">
        <v>2655</v>
      </c>
      <c r="AA582" s="2060"/>
      <c r="AB582" s="2060"/>
      <c r="AC582" s="2060"/>
      <c r="AD582" s="2060"/>
      <c r="AE582" s="2060"/>
      <c r="AH582" s="137" t="s">
        <v>212</v>
      </c>
      <c r="AI582" s="2026"/>
      <c r="AJ582" s="2026"/>
      <c r="AK582" s="202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6" t="s">
        <v>2608</v>
      </c>
      <c r="I583" s="2036"/>
      <c r="J583" s="2036"/>
      <c r="K583" s="2036"/>
      <c r="L583" s="2036"/>
      <c r="M583" s="2036"/>
      <c r="N583" s="2036"/>
      <c r="O583" s="2036"/>
      <c r="P583" s="2036"/>
      <c r="Q583" s="2036"/>
      <c r="R583" s="2036"/>
      <c r="S583" s="14"/>
      <c r="T583" s="35"/>
      <c r="U583" s="12" t="s">
        <v>18</v>
      </c>
      <c r="AA583" s="2036" t="s">
        <v>2608</v>
      </c>
      <c r="AB583" s="2036"/>
      <c r="AC583" s="2036"/>
      <c r="AD583" s="2036"/>
      <c r="AE583" s="2036"/>
      <c r="AF583" s="2036"/>
      <c r="AG583" s="2036"/>
      <c r="AH583" s="2036"/>
      <c r="AI583" s="2036"/>
      <c r="AJ583" s="2036"/>
      <c r="AK583" s="203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4" t="s">
        <v>1383</v>
      </c>
      <c r="C584" s="714"/>
      <c r="D584" s="714"/>
      <c r="E584" s="714"/>
      <c r="F584" s="714"/>
      <c r="G584" s="714"/>
      <c r="H584" s="14"/>
      <c r="I584" s="14"/>
      <c r="J584" s="14"/>
      <c r="K584" s="14"/>
      <c r="L584" s="14"/>
      <c r="M584" s="2184" t="s">
        <v>2656</v>
      </c>
      <c r="N584" s="2184"/>
      <c r="O584" s="2184"/>
      <c r="P584" s="2184"/>
      <c r="Q584" s="2184"/>
      <c r="R584" s="2184"/>
      <c r="S584" s="14"/>
      <c r="T584" s="35"/>
      <c r="U584" s="504" t="s">
        <v>1383</v>
      </c>
      <c r="V584" s="714"/>
      <c r="W584" s="714"/>
      <c r="X584" s="714"/>
      <c r="Y584" s="714"/>
      <c r="Z584" s="714"/>
      <c r="AA584" s="14"/>
      <c r="AB584" s="14"/>
      <c r="AC584" s="14"/>
      <c r="AD584" s="14"/>
      <c r="AE584" s="14"/>
      <c r="AF584" s="2184" t="s">
        <v>2656</v>
      </c>
      <c r="AG584" s="2184"/>
      <c r="AH584" s="2184"/>
      <c r="AI584" s="2184"/>
      <c r="AJ584" s="2184"/>
      <c r="AK584" s="2184"/>
      <c r="AL584" s="714"/>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5" t="s">
        <v>578</v>
      </c>
      <c r="O585" s="2035"/>
      <c r="T585" s="35"/>
      <c r="U585" s="12" t="s">
        <v>20</v>
      </c>
      <c r="AG585" s="2035" t="s">
        <v>578</v>
      </c>
      <c r="AH585" s="203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37" t="str">
        <f>C566</f>
        <v>SHRA - Housing Trust Fund + MIHF</v>
      </c>
      <c r="H587" s="2037"/>
      <c r="I587" s="2037"/>
      <c r="J587" s="2037"/>
      <c r="K587" s="2037"/>
      <c r="L587" s="2037"/>
      <c r="M587" s="2037"/>
      <c r="N587" s="2037"/>
      <c r="O587" s="2037"/>
      <c r="P587" s="2037"/>
      <c r="Q587" s="2037"/>
      <c r="R587" s="2037"/>
      <c r="T587" s="87" t="s">
        <v>616</v>
      </c>
      <c r="U587" s="12" t="s">
        <v>496</v>
      </c>
      <c r="Z587" s="2037" t="str">
        <f>C567</f>
        <v xml:space="preserve">SHRA/City of Sacramento Loan </v>
      </c>
      <c r="AA587" s="2037"/>
      <c r="AB587" s="2037"/>
      <c r="AC587" s="2037"/>
      <c r="AD587" s="2037"/>
      <c r="AE587" s="2037"/>
      <c r="AF587" s="2037"/>
      <c r="AG587" s="2037"/>
      <c r="AH587" s="2037"/>
      <c r="AI587" s="2037"/>
      <c r="AJ587" s="2037"/>
      <c r="AK587" s="203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6" t="s">
        <v>2609</v>
      </c>
      <c r="H588" s="2036"/>
      <c r="I588" s="2036"/>
      <c r="J588" s="2036"/>
      <c r="K588" s="2036"/>
      <c r="L588" s="2036"/>
      <c r="M588" s="2036"/>
      <c r="N588" s="2036"/>
      <c r="O588" s="2036"/>
      <c r="P588" s="2036"/>
      <c r="Q588" s="2036"/>
      <c r="R588" s="2036"/>
      <c r="T588" s="35"/>
      <c r="U588" s="12" t="s">
        <v>90</v>
      </c>
      <c r="Z588" s="2036" t="s">
        <v>2613</v>
      </c>
      <c r="AA588" s="2036"/>
      <c r="AB588" s="2036"/>
      <c r="AC588" s="2036"/>
      <c r="AD588" s="2036"/>
      <c r="AE588" s="2036"/>
      <c r="AF588" s="2036"/>
      <c r="AG588" s="2036"/>
      <c r="AH588" s="2036"/>
      <c r="AI588" s="2036"/>
      <c r="AJ588" s="2036"/>
      <c r="AK588" s="203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8" t="s">
        <v>2519</v>
      </c>
      <c r="H589" s="2038"/>
      <c r="I589" s="2038"/>
      <c r="J589" s="2038"/>
      <c r="K589" s="2038"/>
      <c r="L589" s="2038"/>
      <c r="M589" s="2038"/>
      <c r="N589" s="2038"/>
      <c r="O589" s="2038"/>
      <c r="P589" s="2038"/>
      <c r="Q589" s="2038"/>
      <c r="R589" s="2038"/>
      <c r="T589" s="35"/>
      <c r="U589" s="12" t="s">
        <v>615</v>
      </c>
      <c r="Z589" s="2038" t="s">
        <v>2519</v>
      </c>
      <c r="AA589" s="2038"/>
      <c r="AB589" s="2038"/>
      <c r="AC589" s="2038"/>
      <c r="AD589" s="2038"/>
      <c r="AE589" s="2038"/>
      <c r="AF589" s="2038"/>
      <c r="AG589" s="2038"/>
      <c r="AH589" s="2038"/>
      <c r="AI589" s="2038"/>
      <c r="AJ589" s="2038"/>
      <c r="AK589" s="203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8" t="s">
        <v>2610</v>
      </c>
      <c r="H590" s="2038"/>
      <c r="I590" s="2038"/>
      <c r="J590" s="2038"/>
      <c r="K590" s="2038"/>
      <c r="L590" s="2038"/>
      <c r="M590" s="2038"/>
      <c r="N590" s="2038"/>
      <c r="O590" s="2038"/>
      <c r="P590" s="2038"/>
      <c r="Q590" s="2038"/>
      <c r="R590" s="2038"/>
      <c r="T590" s="35"/>
      <c r="U590" s="12" t="s">
        <v>17</v>
      </c>
      <c r="Z590" s="2038" t="s">
        <v>2614</v>
      </c>
      <c r="AA590" s="2038"/>
      <c r="AB590" s="2038"/>
      <c r="AC590" s="2038"/>
      <c r="AD590" s="2038"/>
      <c r="AE590" s="2038"/>
      <c r="AF590" s="2038"/>
      <c r="AG590" s="2038"/>
      <c r="AH590" s="2038"/>
      <c r="AI590" s="2038"/>
      <c r="AJ590" s="2038"/>
      <c r="AK590" s="203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59" t="s">
        <v>2611</v>
      </c>
      <c r="H591" s="2060"/>
      <c r="I591" s="2060"/>
      <c r="J591" s="2060"/>
      <c r="K591" s="2060"/>
      <c r="L591" s="2060"/>
      <c r="O591" s="137" t="s">
        <v>212</v>
      </c>
      <c r="P591" s="2026"/>
      <c r="Q591" s="2026"/>
      <c r="R591" s="2026"/>
      <c r="T591" s="35"/>
      <c r="U591" s="12" t="s">
        <v>325</v>
      </c>
      <c r="Z591" s="2159" t="s">
        <v>2615</v>
      </c>
      <c r="AA591" s="2060"/>
      <c r="AB591" s="2060"/>
      <c r="AC591" s="2060"/>
      <c r="AD591" s="2060"/>
      <c r="AE591" s="2060"/>
      <c r="AH591" s="137" t="s">
        <v>212</v>
      </c>
      <c r="AI591" s="2026"/>
      <c r="AJ591" s="2026"/>
      <c r="AK591" s="202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6" t="s">
        <v>2612</v>
      </c>
      <c r="I592" s="2036"/>
      <c r="J592" s="2036"/>
      <c r="K592" s="2036"/>
      <c r="L592" s="2036"/>
      <c r="M592" s="2036"/>
      <c r="N592" s="2036"/>
      <c r="O592" s="2036"/>
      <c r="P592" s="2036"/>
      <c r="Q592" s="2036"/>
      <c r="R592" s="2036"/>
      <c r="T592" s="35"/>
      <c r="U592" s="12" t="s">
        <v>18</v>
      </c>
      <c r="AA592" s="2036" t="s">
        <v>2612</v>
      </c>
      <c r="AB592" s="2036"/>
      <c r="AC592" s="2036"/>
      <c r="AD592" s="2036"/>
      <c r="AE592" s="2036"/>
      <c r="AF592" s="2036"/>
      <c r="AG592" s="2036"/>
      <c r="AH592" s="2036"/>
      <c r="AI592" s="2036"/>
      <c r="AJ592" s="2036"/>
      <c r="AK592" s="203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4" t="s">
        <v>578</v>
      </c>
      <c r="O593" s="2035"/>
      <c r="T593" s="35"/>
      <c r="U593" s="12" t="s">
        <v>20</v>
      </c>
      <c r="AG593" s="2034" t="s">
        <v>578</v>
      </c>
      <c r="AH593" s="203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37" t="str">
        <f>C568</f>
        <v>Defered Developer Fee</v>
      </c>
      <c r="H595" s="2037"/>
      <c r="I595" s="2037"/>
      <c r="J595" s="2037"/>
      <c r="K595" s="2037"/>
      <c r="L595" s="2037"/>
      <c r="M595" s="2037"/>
      <c r="N595" s="2037"/>
      <c r="O595" s="2037"/>
      <c r="P595" s="2037"/>
      <c r="Q595" s="2037"/>
      <c r="R595" s="2037"/>
      <c r="T595" s="87" t="s">
        <v>619</v>
      </c>
      <c r="U595" s="12" t="s">
        <v>496</v>
      </c>
      <c r="Z595" s="2037" t="str">
        <f>C569</f>
        <v xml:space="preserve">Accrued/Deferred Interest </v>
      </c>
      <c r="AA595" s="2037"/>
      <c r="AB595" s="2037"/>
      <c r="AC595" s="2037"/>
      <c r="AD595" s="2037"/>
      <c r="AE595" s="2037"/>
      <c r="AF595" s="2037"/>
      <c r="AG595" s="2037"/>
      <c r="AH595" s="2037"/>
      <c r="AI595" s="2037"/>
      <c r="AJ595" s="2037"/>
      <c r="AK595" s="203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6" t="s">
        <v>2529</v>
      </c>
      <c r="H596" s="2036"/>
      <c r="I596" s="2036"/>
      <c r="J596" s="2036"/>
      <c r="K596" s="2036"/>
      <c r="L596" s="2036"/>
      <c r="M596" s="2036"/>
      <c r="N596" s="2036"/>
      <c r="O596" s="2036"/>
      <c r="P596" s="2036"/>
      <c r="Q596" s="2036"/>
      <c r="R596" s="2036"/>
      <c r="T596" s="35"/>
      <c r="U596" s="12" t="s">
        <v>90</v>
      </c>
      <c r="Z596" s="2036" t="s">
        <v>2529</v>
      </c>
      <c r="AA596" s="2036"/>
      <c r="AB596" s="2036"/>
      <c r="AC596" s="2036"/>
      <c r="AD596" s="2036"/>
      <c r="AE596" s="2036"/>
      <c r="AF596" s="2036"/>
      <c r="AG596" s="2036"/>
      <c r="AH596" s="2036"/>
      <c r="AI596" s="2036"/>
      <c r="AJ596" s="2036"/>
      <c r="AK596" s="203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6" t="s">
        <v>2519</v>
      </c>
      <c r="H597" s="2036"/>
      <c r="I597" s="2036"/>
      <c r="J597" s="2036"/>
      <c r="K597" s="2036"/>
      <c r="L597" s="2036"/>
      <c r="M597" s="2036"/>
      <c r="N597" s="2036"/>
      <c r="O597" s="2036"/>
      <c r="P597" s="2036"/>
      <c r="Q597" s="2036"/>
      <c r="R597" s="2036"/>
      <c r="T597" s="35"/>
      <c r="U597" s="12" t="s">
        <v>615</v>
      </c>
      <c r="Z597" s="2038" t="s">
        <v>2519</v>
      </c>
      <c r="AA597" s="2038"/>
      <c r="AB597" s="2038"/>
      <c r="AC597" s="2038"/>
      <c r="AD597" s="2038"/>
      <c r="AE597" s="2038"/>
      <c r="AF597" s="2038"/>
      <c r="AG597" s="2038"/>
      <c r="AH597" s="2038"/>
      <c r="AI597" s="2038"/>
      <c r="AJ597" s="2038"/>
      <c r="AK597" s="2038"/>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6" t="s">
        <v>2531</v>
      </c>
      <c r="H598" s="2036"/>
      <c r="I598" s="2036"/>
      <c r="J598" s="2036"/>
      <c r="K598" s="2036"/>
      <c r="L598" s="2036"/>
      <c r="M598" s="2036"/>
      <c r="N598" s="2036"/>
      <c r="O598" s="2036"/>
      <c r="P598" s="2036"/>
      <c r="Q598" s="2036"/>
      <c r="R598" s="2036"/>
      <c r="T598" s="35"/>
      <c r="U598" s="12" t="s">
        <v>17</v>
      </c>
      <c r="Z598" s="2038" t="s">
        <v>2531</v>
      </c>
      <c r="AA598" s="2038"/>
      <c r="AB598" s="2038"/>
      <c r="AC598" s="2038"/>
      <c r="AD598" s="2038"/>
      <c r="AE598" s="2038"/>
      <c r="AF598" s="2038"/>
      <c r="AG598" s="2038"/>
      <c r="AH598" s="2038"/>
      <c r="AI598" s="2038"/>
      <c r="AJ598" s="2038"/>
      <c r="AK598" s="2038"/>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59" t="s">
        <v>2616</v>
      </c>
      <c r="H599" s="2060"/>
      <c r="I599" s="2060"/>
      <c r="J599" s="2060"/>
      <c r="K599" s="2060"/>
      <c r="L599" s="2060"/>
      <c r="O599" s="137" t="s">
        <v>212</v>
      </c>
      <c r="P599" s="2026"/>
      <c r="Q599" s="2026"/>
      <c r="R599" s="2026"/>
      <c r="T599" s="35"/>
      <c r="U599" s="12" t="s">
        <v>325</v>
      </c>
      <c r="Z599" s="2159" t="s">
        <v>2616</v>
      </c>
      <c r="AA599" s="2060"/>
      <c r="AB599" s="2060"/>
      <c r="AC599" s="2060"/>
      <c r="AD599" s="2060"/>
      <c r="AE599" s="2060"/>
      <c r="AH599" s="137" t="s">
        <v>212</v>
      </c>
      <c r="AI599" s="2026"/>
      <c r="AJ599" s="2026"/>
      <c r="AK599" s="202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6"/>
      <c r="I600" s="2036"/>
      <c r="J600" s="2036"/>
      <c r="K600" s="2036"/>
      <c r="L600" s="2036"/>
      <c r="M600" s="2036"/>
      <c r="N600" s="2036"/>
      <c r="O600" s="2036"/>
      <c r="P600" s="2036"/>
      <c r="Q600" s="2036"/>
      <c r="R600" s="2036"/>
      <c r="T600" s="35"/>
      <c r="U600" s="12" t="s">
        <v>18</v>
      </c>
      <c r="AA600" s="2036"/>
      <c r="AB600" s="2036"/>
      <c r="AC600" s="2036"/>
      <c r="AD600" s="2036"/>
      <c r="AE600" s="2036"/>
      <c r="AF600" s="2036"/>
      <c r="AG600" s="2036"/>
      <c r="AH600" s="2036"/>
      <c r="AI600" s="2036"/>
      <c r="AJ600" s="2036"/>
      <c r="AK600" s="203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34" t="s">
        <v>578</v>
      </c>
      <c r="O601" s="2035"/>
      <c r="T601" s="35"/>
      <c r="U601" s="12" t="s">
        <v>20</v>
      </c>
      <c r="AG601" s="2034" t="s">
        <v>578</v>
      </c>
      <c r="AH601" s="2035"/>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2037" t="str">
        <f>C570</f>
        <v xml:space="preserve">LP Equity </v>
      </c>
      <c r="H603" s="2037"/>
      <c r="I603" s="2037"/>
      <c r="J603" s="2037"/>
      <c r="K603" s="2037"/>
      <c r="L603" s="2037"/>
      <c r="M603" s="2037"/>
      <c r="N603" s="2037"/>
      <c r="O603" s="2037"/>
      <c r="P603" s="2037"/>
      <c r="Q603" s="2037"/>
      <c r="R603" s="2037"/>
      <c r="T603" s="87" t="s">
        <v>488</v>
      </c>
      <c r="U603" s="12" t="s">
        <v>496</v>
      </c>
      <c r="Z603" s="2037" t="str">
        <f>C571</f>
        <v xml:space="preserve">Costs Deferred til Perm Conversion </v>
      </c>
      <c r="AA603" s="2037"/>
      <c r="AB603" s="2037"/>
      <c r="AC603" s="2037"/>
      <c r="AD603" s="2037"/>
      <c r="AE603" s="2037"/>
      <c r="AF603" s="2037"/>
      <c r="AG603" s="2037"/>
      <c r="AH603" s="2037"/>
      <c r="AI603" s="2037"/>
      <c r="AJ603" s="2037"/>
      <c r="AK603" s="203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36" t="s">
        <v>2546</v>
      </c>
      <c r="H604" s="2036"/>
      <c r="I604" s="2036"/>
      <c r="J604" s="2036"/>
      <c r="K604" s="2036"/>
      <c r="L604" s="2036"/>
      <c r="M604" s="2036"/>
      <c r="N604" s="2036"/>
      <c r="O604" s="2036"/>
      <c r="P604" s="2036"/>
      <c r="Q604" s="2036"/>
      <c r="R604" s="2036"/>
      <c r="T604" s="35"/>
      <c r="U604" s="12" t="s">
        <v>90</v>
      </c>
      <c r="Z604" s="2036" t="s">
        <v>2640</v>
      </c>
      <c r="AA604" s="2036"/>
      <c r="AB604" s="2036"/>
      <c r="AC604" s="2036"/>
      <c r="AD604" s="2036"/>
      <c r="AE604" s="2036"/>
      <c r="AF604" s="2036"/>
      <c r="AG604" s="2036"/>
      <c r="AH604" s="2036"/>
      <c r="AI604" s="2036"/>
      <c r="AJ604" s="2036"/>
      <c r="AK604" s="203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6"/>
      <c r="H605" s="2036"/>
      <c r="I605" s="2036"/>
      <c r="J605" s="2036"/>
      <c r="K605" s="2036"/>
      <c r="L605" s="2036"/>
      <c r="M605" s="2036"/>
      <c r="N605" s="2036"/>
      <c r="O605" s="2036"/>
      <c r="P605" s="2036"/>
      <c r="Q605" s="2036"/>
      <c r="R605" s="2036"/>
      <c r="T605" s="35"/>
      <c r="U605" s="12" t="s">
        <v>615</v>
      </c>
      <c r="Z605" s="2038"/>
      <c r="AA605" s="2038"/>
      <c r="AB605" s="2038"/>
      <c r="AC605" s="2038"/>
      <c r="AD605" s="2038"/>
      <c r="AE605" s="2038"/>
      <c r="AF605" s="2038"/>
      <c r="AG605" s="2038"/>
      <c r="AH605" s="2038"/>
      <c r="AI605" s="2038"/>
      <c r="AJ605" s="2038"/>
      <c r="AK605" s="2038"/>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36"/>
      <c r="H606" s="2036"/>
      <c r="I606" s="2036"/>
      <c r="J606" s="2036"/>
      <c r="K606" s="2036"/>
      <c r="L606" s="2036"/>
      <c r="M606" s="2036"/>
      <c r="N606" s="2036"/>
      <c r="O606" s="2036"/>
      <c r="P606" s="2036"/>
      <c r="Q606" s="2036"/>
      <c r="R606" s="2036"/>
      <c r="T606" s="35"/>
      <c r="U606" s="12" t="s">
        <v>17</v>
      </c>
      <c r="Z606" s="2038"/>
      <c r="AA606" s="2038"/>
      <c r="AB606" s="2038"/>
      <c r="AC606" s="2038"/>
      <c r="AD606" s="2038"/>
      <c r="AE606" s="2038"/>
      <c r="AF606" s="2038"/>
      <c r="AG606" s="2038"/>
      <c r="AH606" s="2038"/>
      <c r="AI606" s="2038"/>
      <c r="AJ606" s="2038"/>
      <c r="AK606" s="2038"/>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0"/>
      <c r="H607" s="2060"/>
      <c r="I607" s="2060"/>
      <c r="J607" s="2060"/>
      <c r="K607" s="2060"/>
      <c r="L607" s="2060"/>
      <c r="M607" s="12"/>
      <c r="N607" s="12"/>
      <c r="O607" s="137" t="s">
        <v>212</v>
      </c>
      <c r="P607" s="2026"/>
      <c r="Q607" s="2026"/>
      <c r="R607" s="2026"/>
      <c r="S607" s="12"/>
      <c r="T607" s="35"/>
      <c r="U607" s="12" t="s">
        <v>325</v>
      </c>
      <c r="V607" s="12"/>
      <c r="W607" s="12"/>
      <c r="X607" s="12"/>
      <c r="Y607" s="12"/>
      <c r="Z607" s="2060"/>
      <c r="AA607" s="2060"/>
      <c r="AB607" s="2060"/>
      <c r="AC607" s="2060"/>
      <c r="AD607" s="2060"/>
      <c r="AE607" s="2060"/>
      <c r="AF607" s="12"/>
      <c r="AG607" s="12"/>
      <c r="AH607" s="137" t="s">
        <v>212</v>
      </c>
      <c r="AI607" s="2026"/>
      <c r="AJ607" s="2026"/>
      <c r="AK607" s="202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36"/>
      <c r="I608" s="2036"/>
      <c r="J608" s="2036"/>
      <c r="K608" s="2036"/>
      <c r="L608" s="2036"/>
      <c r="M608" s="2036"/>
      <c r="N608" s="2036"/>
      <c r="O608" s="2036"/>
      <c r="P608" s="2036"/>
      <c r="Q608" s="2036"/>
      <c r="R608" s="2036"/>
      <c r="S608" s="12"/>
      <c r="T608" s="35"/>
      <c r="U608" s="12" t="s">
        <v>18</v>
      </c>
      <c r="V608" s="12"/>
      <c r="W608" s="12"/>
      <c r="X608" s="12"/>
      <c r="Y608" s="12"/>
      <c r="Z608" s="12"/>
      <c r="AA608" s="2036"/>
      <c r="AB608" s="2036"/>
      <c r="AC608" s="2036"/>
      <c r="AD608" s="2036"/>
      <c r="AE608" s="2036"/>
      <c r="AF608" s="2036"/>
      <c r="AG608" s="2036"/>
      <c r="AH608" s="2036"/>
      <c r="AI608" s="2036"/>
      <c r="AJ608" s="2036"/>
      <c r="AK608" s="203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34" t="s">
        <v>706</v>
      </c>
      <c r="O609" s="2035"/>
      <c r="P609" s="12"/>
      <c r="Q609" s="12"/>
      <c r="R609" s="12"/>
      <c r="S609" s="12"/>
      <c r="T609" s="35"/>
      <c r="U609" s="12" t="s">
        <v>20</v>
      </c>
      <c r="V609" s="12"/>
      <c r="W609" s="12"/>
      <c r="X609" s="12"/>
      <c r="Y609" s="12"/>
      <c r="Z609" s="12"/>
      <c r="AA609" s="12"/>
      <c r="AB609" s="12"/>
      <c r="AC609" s="12"/>
      <c r="AD609" s="12"/>
      <c r="AE609" s="12"/>
      <c r="AF609" s="12"/>
      <c r="AG609" s="2035" t="s">
        <v>706</v>
      </c>
      <c r="AH609" s="203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2"/>
      <c r="BH609" s="2014"/>
      <c r="BI609" s="185" t="s">
        <v>508</v>
      </c>
      <c r="BJ609" s="186"/>
      <c r="BK609" s="2012"/>
      <c r="BL609" s="2014"/>
      <c r="BM609" s="58"/>
      <c r="BN609" s="2375" t="s">
        <v>668</v>
      </c>
      <c r="BO609" s="2376"/>
      <c r="BP609" s="2376"/>
      <c r="BQ609" s="2376"/>
      <c r="BR609" s="2377"/>
      <c r="BS609" s="2179" t="s">
        <v>334</v>
      </c>
      <c r="BT609" s="2179"/>
      <c r="BU609" s="2179"/>
      <c r="BV609" s="2179"/>
      <c r="BW609" s="2179"/>
      <c r="BX609" s="2179" t="s">
        <v>168</v>
      </c>
      <c r="BY609" s="2179"/>
      <c r="BZ609" s="2179"/>
      <c r="CA609" s="2179"/>
      <c r="CB609" s="2179"/>
      <c r="CC609" s="2179" t="s">
        <v>169</v>
      </c>
      <c r="CD609" s="2179"/>
      <c r="CE609" s="2179"/>
      <c r="CF609" s="2179"/>
      <c r="CG609" s="2179"/>
      <c r="CH609" s="2179" t="s">
        <v>493</v>
      </c>
      <c r="CI609" s="2179"/>
      <c r="CJ609" s="2179"/>
      <c r="CK609" s="2179"/>
      <c r="CL609" s="2179"/>
      <c r="CM609" s="2179" t="s">
        <v>31</v>
      </c>
      <c r="CN609" s="2179"/>
      <c r="CO609" s="2179"/>
      <c r="CP609" s="2179"/>
      <c r="CQ609" s="2179"/>
      <c r="CR609" s="1788"/>
      <c r="CS609" s="2179" t="s">
        <v>668</v>
      </c>
      <c r="CT609" s="2179"/>
      <c r="CU609" s="2179"/>
      <c r="CV609" s="2179"/>
      <c r="CW609" s="2179"/>
      <c r="CX609" s="2179" t="s">
        <v>334</v>
      </c>
      <c r="CY609" s="2179"/>
      <c r="CZ609" s="2179"/>
      <c r="DA609" s="2179"/>
      <c r="DB609" s="2179"/>
      <c r="DC609" s="2179" t="s">
        <v>168</v>
      </c>
      <c r="DD609" s="2179"/>
      <c r="DE609" s="2179"/>
      <c r="DF609" s="2179"/>
      <c r="DG609" s="2179"/>
      <c r="DH609" s="2179" t="s">
        <v>169</v>
      </c>
      <c r="DI609" s="2179"/>
      <c r="DJ609" s="2179"/>
      <c r="DK609" s="2179"/>
      <c r="DL609" s="2179"/>
      <c r="DM609" s="2179" t="s">
        <v>493</v>
      </c>
      <c r="DN609" s="2179"/>
      <c r="DO609" s="2179"/>
      <c r="DP609" s="2179"/>
      <c r="DQ609" s="2179"/>
      <c r="DR609" s="2179" t="s">
        <v>31</v>
      </c>
      <c r="DS609" s="2179"/>
      <c r="DT609" s="2179"/>
      <c r="DU609" s="2179"/>
      <c r="DV609" s="2179"/>
      <c r="DX609" s="2179" t="s">
        <v>668</v>
      </c>
      <c r="DY609" s="2179"/>
      <c r="DZ609" s="2179"/>
      <c r="EA609" s="2179"/>
      <c r="EB609" s="2179"/>
      <c r="EC609" s="2179" t="s">
        <v>334</v>
      </c>
      <c r="ED609" s="2179"/>
      <c r="EE609" s="2179"/>
      <c r="EF609" s="2179"/>
      <c r="EG609" s="2179"/>
      <c r="EH609" s="2179" t="s">
        <v>168</v>
      </c>
      <c r="EI609" s="2179"/>
      <c r="EJ609" s="2179"/>
      <c r="EK609" s="2179"/>
      <c r="EL609" s="2179"/>
      <c r="EM609" s="2179" t="s">
        <v>169</v>
      </c>
      <c r="EN609" s="2179"/>
      <c r="EO609" s="2179"/>
      <c r="EP609" s="2179"/>
      <c r="EQ609" s="2179"/>
      <c r="ER609" s="2179" t="s">
        <v>493</v>
      </c>
      <c r="ES609" s="2179"/>
      <c r="ET609" s="2179"/>
      <c r="EU609" s="2179"/>
      <c r="EV609" s="2179"/>
      <c r="EW609" s="2179" t="s">
        <v>31</v>
      </c>
      <c r="EX609" s="2179"/>
      <c r="EY609" s="2179"/>
      <c r="EZ609" s="2179"/>
      <c r="FA609" s="2179"/>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5">
        <f t="shared" ref="BE610:BE634" si="0">IF(AND(AH728&lt;=0.5,AH728&gt;=0.36),1,0)</f>
        <v>0</v>
      </c>
      <c r="BF610" s="2016"/>
      <c r="BG610" s="2012">
        <f t="shared" ref="BG610:BG634" si="1">IF(BE610=1,G728,0)</f>
        <v>0</v>
      </c>
      <c r="BH610" s="2014"/>
      <c r="BI610" s="2015">
        <f t="shared" ref="BI610:BI634" si="2">IF(AND(AH728&lt;=0.35,AH728&gt;0),1,0)</f>
        <v>1</v>
      </c>
      <c r="BJ610" s="2016"/>
      <c r="BK610" s="2012">
        <f t="shared" ref="BK610:BK634" si="3">IF(BI610=1,G728,0)</f>
        <v>9</v>
      </c>
      <c r="BL610" s="2014"/>
      <c r="BM610" s="58"/>
      <c r="BN610" s="2009">
        <f t="shared" ref="BN610:BN634" si="4">IF(B728="SRO/Studio",G728,0)</f>
        <v>0</v>
      </c>
      <c r="BO610" s="2010"/>
      <c r="BP610" s="2010"/>
      <c r="BQ610" s="2010"/>
      <c r="BR610" s="2011"/>
      <c r="BS610" s="2008">
        <f t="shared" ref="BS610:BS634" si="5">IF(B728="1 Bedroom",G728,0)</f>
        <v>9</v>
      </c>
      <c r="BT610" s="2008"/>
      <c r="BU610" s="2008"/>
      <c r="BV610" s="2008"/>
      <c r="BW610" s="2008"/>
      <c r="BX610" s="2008">
        <f t="shared" ref="BX610:BX634" si="6">IF(B728="2 Bedrooms",G728,0)</f>
        <v>0</v>
      </c>
      <c r="BY610" s="2008"/>
      <c r="BZ610" s="2008"/>
      <c r="CA610" s="2008"/>
      <c r="CB610" s="2008"/>
      <c r="CC610" s="2008">
        <f t="shared" ref="CC610:CC634" si="7">IF(B728="3 Bedrooms",G728,0)</f>
        <v>0</v>
      </c>
      <c r="CD610" s="2008"/>
      <c r="CE610" s="2008"/>
      <c r="CF610" s="2008"/>
      <c r="CG610" s="2008"/>
      <c r="CH610" s="2008">
        <f t="shared" ref="CH610:CH634" si="8">IF(B728="4 Bedrooms",G728,0)</f>
        <v>0</v>
      </c>
      <c r="CI610" s="2008"/>
      <c r="CJ610" s="2008"/>
      <c r="CK610" s="2008"/>
      <c r="CL610" s="2008"/>
      <c r="CM610" s="2008">
        <f t="shared" ref="CM610:CM634" si="9">IF(B728="5 Bedrooms",G728,0)</f>
        <v>0</v>
      </c>
      <c r="CN610" s="2008"/>
      <c r="CO610" s="2008"/>
      <c r="CP610" s="2008"/>
      <c r="CQ610" s="2008"/>
      <c r="CR610" s="265"/>
      <c r="CS610" s="2366">
        <f t="shared" ref="CS610:CS634" si="10">IF(AND(B728="SRO/Studio",AH728&lt;=0.3),G728,0)</f>
        <v>0</v>
      </c>
      <c r="CT610" s="2366"/>
      <c r="CU610" s="2366"/>
      <c r="CV610" s="2366"/>
      <c r="CW610" s="2366"/>
      <c r="CX610" s="2366">
        <f t="shared" ref="CX610:CX634" si="11">IF(AND(B728="1 Bedroom",AH728&lt;=0.3),G728,0)</f>
        <v>9</v>
      </c>
      <c r="CY610" s="2366"/>
      <c r="CZ610" s="2366"/>
      <c r="DA610" s="2366"/>
      <c r="DB610" s="2366"/>
      <c r="DC610" s="2366">
        <f t="shared" ref="DC610:DC634" si="12">IF(AND(B728="2 Bedrooms",AH728&lt;=0.3),G728,0)</f>
        <v>0</v>
      </c>
      <c r="DD610" s="2366"/>
      <c r="DE610" s="2366"/>
      <c r="DF610" s="2366"/>
      <c r="DG610" s="2366"/>
      <c r="DH610" s="2366">
        <f t="shared" ref="DH610:DH634" si="13">IF(AND(B728="3 Bedrooms",AH728&lt;=0.3),G728,0)</f>
        <v>0</v>
      </c>
      <c r="DI610" s="2366"/>
      <c r="DJ610" s="2366"/>
      <c r="DK610" s="2366"/>
      <c r="DL610" s="2366"/>
      <c r="DM610" s="2366">
        <f t="shared" ref="DM610:DM634" si="14">IF(AND(B728="4 Bedrooms",AH728&lt;=0.3),G728,0)</f>
        <v>0</v>
      </c>
      <c r="DN610" s="2366"/>
      <c r="DO610" s="2366"/>
      <c r="DP610" s="2366"/>
      <c r="DQ610" s="2366"/>
      <c r="DR610" s="2366">
        <f t="shared" ref="DR610:DR634" si="15">IF(AND(B728="5 Bedrooms",AH728&lt;=0.3),G728,0)</f>
        <v>0</v>
      </c>
      <c r="DS610" s="2366"/>
      <c r="DT610" s="2366"/>
      <c r="DU610" s="2366"/>
      <c r="DV610" s="2366"/>
      <c r="DX610" s="2015" t="str">
        <f t="shared" ref="DX610:DX634" si="16">IF(BN610&gt;0,O728," ")</f>
        <v xml:space="preserve"> </v>
      </c>
      <c r="DY610" s="2177"/>
      <c r="DZ610" s="2177"/>
      <c r="EA610" s="2177"/>
      <c r="EB610" s="2016"/>
      <c r="EC610" s="2015">
        <f t="shared" ref="EC610:EC634" si="17">IF(BS610&gt;0,O728," ")</f>
        <v>441</v>
      </c>
      <c r="ED610" s="2177"/>
      <c r="EE610" s="2177"/>
      <c r="EF610" s="2177"/>
      <c r="EG610" s="2016"/>
      <c r="EH610" s="2015" t="str">
        <f t="shared" ref="EH610:EH634" si="18">IF(BX610&gt;0,O728," ")</f>
        <v xml:space="preserve"> </v>
      </c>
      <c r="EI610" s="2177"/>
      <c r="EJ610" s="2177"/>
      <c r="EK610" s="2177"/>
      <c r="EL610" s="2016"/>
      <c r="EM610" s="2015" t="str">
        <f t="shared" ref="EM610:EM634" si="19">IF(CC610&gt;0,O728," ")</f>
        <v xml:space="preserve"> </v>
      </c>
      <c r="EN610" s="2177"/>
      <c r="EO610" s="2177"/>
      <c r="EP610" s="2177"/>
      <c r="EQ610" s="2016"/>
      <c r="ER610" s="2015" t="str">
        <f t="shared" ref="ER610:ER634" si="20">IF(CH610&gt;0,O728," ")</f>
        <v xml:space="preserve"> </v>
      </c>
      <c r="ES610" s="2177"/>
      <c r="ET610" s="2177"/>
      <c r="EU610" s="2177"/>
      <c r="EV610" s="2016"/>
      <c r="EW610" s="2015" t="str">
        <f t="shared" ref="EW610:EW634" si="21">IF(CM610&gt;0,O728," ")</f>
        <v xml:space="preserve"> </v>
      </c>
      <c r="EX610" s="2177"/>
      <c r="EY610" s="2177"/>
      <c r="EZ610" s="2177"/>
      <c r="FA610" s="2016"/>
    </row>
    <row r="611" spans="1:157" s="7" customFormat="1" ht="13.2">
      <c r="A611" s="87" t="s">
        <v>494</v>
      </c>
      <c r="B611" s="12" t="s">
        <v>496</v>
      </c>
      <c r="C611" s="12"/>
      <c r="D611" s="12"/>
      <c r="E611" s="12"/>
      <c r="F611" s="12"/>
      <c r="G611" s="2037">
        <f>C572</f>
        <v>0</v>
      </c>
      <c r="H611" s="2037"/>
      <c r="I611" s="2037"/>
      <c r="J611" s="2037"/>
      <c r="K611" s="2037"/>
      <c r="L611" s="2037"/>
      <c r="M611" s="2037"/>
      <c r="N611" s="2037"/>
      <c r="O611" s="2037"/>
      <c r="P611" s="2037"/>
      <c r="Q611" s="2037"/>
      <c r="R611" s="2037"/>
      <c r="S611" s="12"/>
      <c r="T611" s="87" t="s">
        <v>681</v>
      </c>
      <c r="U611" s="12" t="s">
        <v>496</v>
      </c>
      <c r="V611" s="12"/>
      <c r="W611" s="12"/>
      <c r="X611" s="12"/>
      <c r="Y611" s="12"/>
      <c r="Z611" s="2037">
        <f>C573</f>
        <v>0</v>
      </c>
      <c r="AA611" s="2037"/>
      <c r="AB611" s="2037"/>
      <c r="AC611" s="2037"/>
      <c r="AD611" s="2037"/>
      <c r="AE611" s="2037"/>
      <c r="AF611" s="2037"/>
      <c r="AG611" s="2037"/>
      <c r="AH611" s="2037"/>
      <c r="AI611" s="2037"/>
      <c r="AJ611" s="2037"/>
      <c r="AK611" s="2037"/>
      <c r="AL611" s="12"/>
      <c r="AM611" s="39"/>
      <c r="AN611" s="39"/>
      <c r="AO611" s="39"/>
      <c r="AP611" s="39"/>
      <c r="AQ611" s="39"/>
      <c r="AR611" s="39"/>
      <c r="AS611" s="39"/>
      <c r="AT611" s="39"/>
      <c r="AU611" s="39"/>
      <c r="AV611" s="39"/>
      <c r="AW611" s="39"/>
      <c r="AX611" s="39"/>
      <c r="AY611" s="39"/>
      <c r="BA611" s="7" t="s">
        <v>168</v>
      </c>
      <c r="BB611" s="58"/>
      <c r="BC611" s="58"/>
      <c r="BD611" s="58"/>
      <c r="BE611" s="2015">
        <f t="shared" si="0"/>
        <v>0</v>
      </c>
      <c r="BF611" s="2016"/>
      <c r="BG611" s="2012">
        <f t="shared" si="1"/>
        <v>0</v>
      </c>
      <c r="BH611" s="2014"/>
      <c r="BI611" s="2015">
        <f t="shared" si="2"/>
        <v>1</v>
      </c>
      <c r="BJ611" s="2016"/>
      <c r="BK611" s="2012">
        <f t="shared" si="3"/>
        <v>9</v>
      </c>
      <c r="BL611" s="2014"/>
      <c r="BM611" s="58"/>
      <c r="BN611" s="2009">
        <f t="shared" si="4"/>
        <v>0</v>
      </c>
      <c r="BO611" s="2010"/>
      <c r="BP611" s="2010"/>
      <c r="BQ611" s="2010"/>
      <c r="BR611" s="2011"/>
      <c r="BS611" s="2008">
        <f t="shared" si="5"/>
        <v>0</v>
      </c>
      <c r="BT611" s="2008"/>
      <c r="BU611" s="2008"/>
      <c r="BV611" s="2008"/>
      <c r="BW611" s="2008"/>
      <c r="BX611" s="2008">
        <f t="shared" si="6"/>
        <v>9</v>
      </c>
      <c r="BY611" s="2008"/>
      <c r="BZ611" s="2008"/>
      <c r="CA611" s="2008"/>
      <c r="CB611" s="2008"/>
      <c r="CC611" s="2008">
        <f t="shared" si="7"/>
        <v>0</v>
      </c>
      <c r="CD611" s="2008"/>
      <c r="CE611" s="2008"/>
      <c r="CF611" s="2008"/>
      <c r="CG611" s="2008"/>
      <c r="CH611" s="2008">
        <f t="shared" si="8"/>
        <v>0</v>
      </c>
      <c r="CI611" s="2008"/>
      <c r="CJ611" s="2008"/>
      <c r="CK611" s="2008"/>
      <c r="CL611" s="2008"/>
      <c r="CM611" s="2008">
        <f t="shared" si="9"/>
        <v>0</v>
      </c>
      <c r="CN611" s="2008"/>
      <c r="CO611" s="2008"/>
      <c r="CP611" s="2008"/>
      <c r="CQ611" s="2008"/>
      <c r="CR611" s="265"/>
      <c r="CS611" s="2366">
        <f t="shared" si="10"/>
        <v>0</v>
      </c>
      <c r="CT611" s="2366"/>
      <c r="CU611" s="2366"/>
      <c r="CV611" s="2366"/>
      <c r="CW611" s="2366"/>
      <c r="CX611" s="2366">
        <f t="shared" si="11"/>
        <v>0</v>
      </c>
      <c r="CY611" s="2366"/>
      <c r="CZ611" s="2366"/>
      <c r="DA611" s="2366"/>
      <c r="DB611" s="2366"/>
      <c r="DC611" s="2366">
        <f t="shared" si="12"/>
        <v>9</v>
      </c>
      <c r="DD611" s="2366"/>
      <c r="DE611" s="2366"/>
      <c r="DF611" s="2366"/>
      <c r="DG611" s="2366"/>
      <c r="DH611" s="2366">
        <f t="shared" si="13"/>
        <v>0</v>
      </c>
      <c r="DI611" s="2366"/>
      <c r="DJ611" s="2366"/>
      <c r="DK611" s="2366"/>
      <c r="DL611" s="2366"/>
      <c r="DM611" s="2366">
        <f t="shared" si="14"/>
        <v>0</v>
      </c>
      <c r="DN611" s="2366"/>
      <c r="DO611" s="2366"/>
      <c r="DP611" s="2366"/>
      <c r="DQ611" s="2366"/>
      <c r="DR611" s="2366">
        <f t="shared" si="15"/>
        <v>0</v>
      </c>
      <c r="DS611" s="2366"/>
      <c r="DT611" s="2366"/>
      <c r="DU611" s="2366"/>
      <c r="DV611" s="2366"/>
      <c r="DX611" s="2015" t="str">
        <f t="shared" si="16"/>
        <v xml:space="preserve"> </v>
      </c>
      <c r="DY611" s="2177"/>
      <c r="DZ611" s="2177"/>
      <c r="EA611" s="2177"/>
      <c r="EB611" s="2016"/>
      <c r="EC611" s="2015" t="str">
        <f t="shared" si="17"/>
        <v xml:space="preserve"> </v>
      </c>
      <c r="ED611" s="2177"/>
      <c r="EE611" s="2177"/>
      <c r="EF611" s="2177"/>
      <c r="EG611" s="2016"/>
      <c r="EH611" s="2015">
        <f t="shared" si="18"/>
        <v>526</v>
      </c>
      <c r="EI611" s="2177"/>
      <c r="EJ611" s="2177"/>
      <c r="EK611" s="2177"/>
      <c r="EL611" s="2016"/>
      <c r="EM611" s="2015" t="str">
        <f t="shared" si="19"/>
        <v xml:space="preserve"> </v>
      </c>
      <c r="EN611" s="2177"/>
      <c r="EO611" s="2177"/>
      <c r="EP611" s="2177"/>
      <c r="EQ611" s="2016"/>
      <c r="ER611" s="2015" t="str">
        <f t="shared" si="20"/>
        <v xml:space="preserve"> </v>
      </c>
      <c r="ES611" s="2177"/>
      <c r="ET611" s="2177"/>
      <c r="EU611" s="2177"/>
      <c r="EV611" s="2016"/>
      <c r="EW611" s="2015" t="str">
        <f t="shared" si="21"/>
        <v xml:space="preserve"> </v>
      </c>
      <c r="EX611" s="2177"/>
      <c r="EY611" s="2177"/>
      <c r="EZ611" s="2177"/>
      <c r="FA611" s="2016"/>
    </row>
    <row r="612" spans="1:157" ht="13.2">
      <c r="A612" s="35"/>
      <c r="B612" s="12" t="s">
        <v>90</v>
      </c>
      <c r="G612" s="2036"/>
      <c r="H612" s="2036"/>
      <c r="I612" s="2036"/>
      <c r="J612" s="2036"/>
      <c r="K612" s="2036"/>
      <c r="L612" s="2036"/>
      <c r="M612" s="2036"/>
      <c r="N612" s="2036"/>
      <c r="O612" s="2036"/>
      <c r="P612" s="2036"/>
      <c r="Q612" s="2036"/>
      <c r="R612" s="2036"/>
      <c r="T612" s="35"/>
      <c r="U612" s="12" t="s">
        <v>90</v>
      </c>
      <c r="Z612" s="2036"/>
      <c r="AA612" s="2036"/>
      <c r="AB612" s="2036"/>
      <c r="AC612" s="2036"/>
      <c r="AD612" s="2036"/>
      <c r="AE612" s="2036"/>
      <c r="AF612" s="2036"/>
      <c r="AG612" s="2036"/>
      <c r="AH612" s="2036"/>
      <c r="AI612" s="2036"/>
      <c r="AJ612" s="2036"/>
      <c r="AK612" s="2036"/>
      <c r="BA612" s="7" t="s">
        <v>169</v>
      </c>
      <c r="BB612" s="58"/>
      <c r="BC612" s="58"/>
      <c r="BD612" s="58"/>
      <c r="BE612" s="2015">
        <f t="shared" si="0"/>
        <v>0</v>
      </c>
      <c r="BF612" s="2016"/>
      <c r="BG612" s="2012">
        <f t="shared" si="1"/>
        <v>0</v>
      </c>
      <c r="BH612" s="2014"/>
      <c r="BI612" s="2015">
        <f t="shared" si="2"/>
        <v>1</v>
      </c>
      <c r="BJ612" s="2016"/>
      <c r="BK612" s="2012">
        <f t="shared" si="3"/>
        <v>9</v>
      </c>
      <c r="BL612" s="2014"/>
      <c r="BM612" s="58"/>
      <c r="BN612" s="2009">
        <f t="shared" si="4"/>
        <v>0</v>
      </c>
      <c r="BO612" s="2010"/>
      <c r="BP612" s="2010"/>
      <c r="BQ612" s="2010"/>
      <c r="BR612" s="2011"/>
      <c r="BS612" s="2008">
        <f t="shared" si="5"/>
        <v>0</v>
      </c>
      <c r="BT612" s="2008"/>
      <c r="BU612" s="2008"/>
      <c r="BV612" s="2008"/>
      <c r="BW612" s="2008"/>
      <c r="BX612" s="2008">
        <f t="shared" si="6"/>
        <v>0</v>
      </c>
      <c r="BY612" s="2008"/>
      <c r="BZ612" s="2008"/>
      <c r="CA612" s="2008"/>
      <c r="CB612" s="2008"/>
      <c r="CC612" s="2008">
        <f t="shared" si="7"/>
        <v>9</v>
      </c>
      <c r="CD612" s="2008"/>
      <c r="CE612" s="2008"/>
      <c r="CF612" s="2008"/>
      <c r="CG612" s="2008"/>
      <c r="CH612" s="2008">
        <f t="shared" si="8"/>
        <v>0</v>
      </c>
      <c r="CI612" s="2008"/>
      <c r="CJ612" s="2008"/>
      <c r="CK612" s="2008"/>
      <c r="CL612" s="2008"/>
      <c r="CM612" s="2008">
        <f t="shared" si="9"/>
        <v>0</v>
      </c>
      <c r="CN612" s="2008"/>
      <c r="CO612" s="2008"/>
      <c r="CP612" s="2008"/>
      <c r="CQ612" s="2008"/>
      <c r="CR612" s="265"/>
      <c r="CS612" s="2366">
        <f t="shared" si="10"/>
        <v>0</v>
      </c>
      <c r="CT612" s="2366"/>
      <c r="CU612" s="2366"/>
      <c r="CV612" s="2366"/>
      <c r="CW612" s="2366"/>
      <c r="CX612" s="2366">
        <f t="shared" si="11"/>
        <v>0</v>
      </c>
      <c r="CY612" s="2366"/>
      <c r="CZ612" s="2366"/>
      <c r="DA612" s="2366"/>
      <c r="DB612" s="2366"/>
      <c r="DC612" s="2366">
        <f t="shared" si="12"/>
        <v>0</v>
      </c>
      <c r="DD612" s="2366"/>
      <c r="DE612" s="2366"/>
      <c r="DF612" s="2366"/>
      <c r="DG612" s="2366"/>
      <c r="DH612" s="2366">
        <f t="shared" si="13"/>
        <v>9</v>
      </c>
      <c r="DI612" s="2366"/>
      <c r="DJ612" s="2366"/>
      <c r="DK612" s="2366"/>
      <c r="DL612" s="2366"/>
      <c r="DM612" s="2366">
        <f t="shared" si="14"/>
        <v>0</v>
      </c>
      <c r="DN612" s="2366"/>
      <c r="DO612" s="2366"/>
      <c r="DP612" s="2366"/>
      <c r="DQ612" s="2366"/>
      <c r="DR612" s="2366">
        <f t="shared" si="15"/>
        <v>0</v>
      </c>
      <c r="DS612" s="2366"/>
      <c r="DT612" s="2366"/>
      <c r="DU612" s="2366"/>
      <c r="DV612" s="2366"/>
      <c r="DX612" s="2015" t="str">
        <f t="shared" si="16"/>
        <v xml:space="preserve"> </v>
      </c>
      <c r="DY612" s="2177"/>
      <c r="DZ612" s="2177"/>
      <c r="EA612" s="2177"/>
      <c r="EB612" s="2016"/>
      <c r="EC612" s="2015" t="str">
        <f t="shared" si="17"/>
        <v xml:space="preserve"> </v>
      </c>
      <c r="ED612" s="2177"/>
      <c r="EE612" s="2177"/>
      <c r="EF612" s="2177"/>
      <c r="EG612" s="2016"/>
      <c r="EH612" s="2015" t="str">
        <f t="shared" si="18"/>
        <v xml:space="preserve"> </v>
      </c>
      <c r="EI612" s="2177"/>
      <c r="EJ612" s="2177"/>
      <c r="EK612" s="2177"/>
      <c r="EL612" s="2016"/>
      <c r="EM612" s="2015">
        <f t="shared" si="19"/>
        <v>601</v>
      </c>
      <c r="EN612" s="2177"/>
      <c r="EO612" s="2177"/>
      <c r="EP612" s="2177"/>
      <c r="EQ612" s="2016"/>
      <c r="ER612" s="2015" t="str">
        <f t="shared" si="20"/>
        <v xml:space="preserve"> </v>
      </c>
      <c r="ES612" s="2177"/>
      <c r="ET612" s="2177"/>
      <c r="EU612" s="2177"/>
      <c r="EV612" s="2016"/>
      <c r="EW612" s="2015" t="str">
        <f t="shared" si="21"/>
        <v xml:space="preserve"> </v>
      </c>
      <c r="EX612" s="2177"/>
      <c r="EY612" s="2177"/>
      <c r="EZ612" s="2177"/>
      <c r="FA612" s="2016"/>
    </row>
    <row r="613" spans="1:157" ht="13.2">
      <c r="A613" s="35"/>
      <c r="B613" s="12" t="s">
        <v>615</v>
      </c>
      <c r="G613" s="2036"/>
      <c r="H613" s="2036"/>
      <c r="I613" s="2036"/>
      <c r="J613" s="2036"/>
      <c r="K613" s="2036"/>
      <c r="L613" s="2036"/>
      <c r="M613" s="2036"/>
      <c r="N613" s="2036"/>
      <c r="O613" s="2036"/>
      <c r="P613" s="2036"/>
      <c r="Q613" s="2036"/>
      <c r="R613" s="2036"/>
      <c r="T613" s="35"/>
      <c r="U613" s="12" t="s">
        <v>615</v>
      </c>
      <c r="Z613" s="2038"/>
      <c r="AA613" s="2038"/>
      <c r="AB613" s="2038"/>
      <c r="AC613" s="2038"/>
      <c r="AD613" s="2038"/>
      <c r="AE613" s="2038"/>
      <c r="AF613" s="2038"/>
      <c r="AG613" s="2038"/>
      <c r="AH613" s="2038"/>
      <c r="AI613" s="2038"/>
      <c r="AJ613" s="2038"/>
      <c r="AK613" s="2038"/>
      <c r="BA613" s="7" t="s">
        <v>170</v>
      </c>
      <c r="BB613" s="58"/>
      <c r="BC613" s="58"/>
      <c r="BD613" s="58"/>
      <c r="BE613" s="2015">
        <f t="shared" si="0"/>
        <v>0</v>
      </c>
      <c r="BF613" s="2016"/>
      <c r="BG613" s="2012">
        <f t="shared" si="1"/>
        <v>0</v>
      </c>
      <c r="BH613" s="2014"/>
      <c r="BI613" s="2015">
        <f t="shared" si="2"/>
        <v>0</v>
      </c>
      <c r="BJ613" s="2016"/>
      <c r="BK613" s="2012">
        <f t="shared" si="3"/>
        <v>0</v>
      </c>
      <c r="BL613" s="2014"/>
      <c r="BM613" s="58"/>
      <c r="BN613" s="2009">
        <f t="shared" si="4"/>
        <v>0</v>
      </c>
      <c r="BO613" s="2010"/>
      <c r="BP613" s="2010"/>
      <c r="BQ613" s="2010"/>
      <c r="BR613" s="2011"/>
      <c r="BS613" s="2008">
        <f t="shared" si="5"/>
        <v>0</v>
      </c>
      <c r="BT613" s="2008"/>
      <c r="BU613" s="2008"/>
      <c r="BV613" s="2008"/>
      <c r="BW613" s="2008"/>
      <c r="BX613" s="2008">
        <f t="shared" si="6"/>
        <v>0</v>
      </c>
      <c r="BY613" s="2008"/>
      <c r="BZ613" s="2008"/>
      <c r="CA613" s="2008"/>
      <c r="CB613" s="2008"/>
      <c r="CC613" s="2008">
        <f t="shared" si="7"/>
        <v>0</v>
      </c>
      <c r="CD613" s="2008"/>
      <c r="CE613" s="2008"/>
      <c r="CF613" s="2008"/>
      <c r="CG613" s="2008"/>
      <c r="CH613" s="2008">
        <f t="shared" si="8"/>
        <v>0</v>
      </c>
      <c r="CI613" s="2008"/>
      <c r="CJ613" s="2008"/>
      <c r="CK613" s="2008"/>
      <c r="CL613" s="2008"/>
      <c r="CM613" s="2008">
        <f t="shared" si="9"/>
        <v>0</v>
      </c>
      <c r="CN613" s="2008"/>
      <c r="CO613" s="2008"/>
      <c r="CP613" s="2008"/>
      <c r="CQ613" s="2008"/>
      <c r="CR613" s="265"/>
      <c r="CS613" s="2366">
        <f t="shared" si="10"/>
        <v>0</v>
      </c>
      <c r="CT613" s="2366"/>
      <c r="CU613" s="2366"/>
      <c r="CV613" s="2366"/>
      <c r="CW613" s="2366"/>
      <c r="CX613" s="2366">
        <f t="shared" si="11"/>
        <v>0</v>
      </c>
      <c r="CY613" s="2366"/>
      <c r="CZ613" s="2366"/>
      <c r="DA613" s="2366"/>
      <c r="DB613" s="2366"/>
      <c r="DC613" s="2366">
        <f t="shared" si="12"/>
        <v>0</v>
      </c>
      <c r="DD613" s="2366"/>
      <c r="DE613" s="2366"/>
      <c r="DF613" s="2366"/>
      <c r="DG613" s="2366"/>
      <c r="DH613" s="2366">
        <f t="shared" si="13"/>
        <v>0</v>
      </c>
      <c r="DI613" s="2366"/>
      <c r="DJ613" s="2366"/>
      <c r="DK613" s="2366"/>
      <c r="DL613" s="2366"/>
      <c r="DM613" s="2366">
        <f t="shared" si="14"/>
        <v>0</v>
      </c>
      <c r="DN613" s="2366"/>
      <c r="DO613" s="2366"/>
      <c r="DP613" s="2366"/>
      <c r="DQ613" s="2366"/>
      <c r="DR613" s="2366">
        <f t="shared" si="15"/>
        <v>0</v>
      </c>
      <c r="DS613" s="2366"/>
      <c r="DT613" s="2366"/>
      <c r="DU613" s="2366"/>
      <c r="DV613" s="2366"/>
      <c r="DX613" s="2015" t="str">
        <f t="shared" si="16"/>
        <v xml:space="preserve"> </v>
      </c>
      <c r="DY613" s="2177"/>
      <c r="DZ613" s="2177"/>
      <c r="EA613" s="2177"/>
      <c r="EB613" s="2016"/>
      <c r="EC613" s="2015" t="str">
        <f t="shared" si="17"/>
        <v xml:space="preserve"> </v>
      </c>
      <c r="ED613" s="2177"/>
      <c r="EE613" s="2177"/>
      <c r="EF613" s="2177"/>
      <c r="EG613" s="2016"/>
      <c r="EH613" s="2015" t="str">
        <f t="shared" si="18"/>
        <v xml:space="preserve"> </v>
      </c>
      <c r="EI613" s="2177"/>
      <c r="EJ613" s="2177"/>
      <c r="EK613" s="2177"/>
      <c r="EL613" s="2016"/>
      <c r="EM613" s="2015" t="str">
        <f t="shared" si="19"/>
        <v xml:space="preserve"> </v>
      </c>
      <c r="EN613" s="2177"/>
      <c r="EO613" s="2177"/>
      <c r="EP613" s="2177"/>
      <c r="EQ613" s="2016"/>
      <c r="ER613" s="2015" t="str">
        <f t="shared" si="20"/>
        <v xml:space="preserve"> </v>
      </c>
      <c r="ES613" s="2177"/>
      <c r="ET613" s="2177"/>
      <c r="EU613" s="2177"/>
      <c r="EV613" s="2016"/>
      <c r="EW613" s="2015" t="str">
        <f t="shared" si="21"/>
        <v xml:space="preserve"> </v>
      </c>
      <c r="EX613" s="2177"/>
      <c r="EY613" s="2177"/>
      <c r="EZ613" s="2177"/>
      <c r="FA613" s="2016"/>
    </row>
    <row r="614" spans="1:157" ht="13.2">
      <c r="A614" s="35"/>
      <c r="B614" s="12" t="s">
        <v>17</v>
      </c>
      <c r="G614" s="2036"/>
      <c r="H614" s="2036"/>
      <c r="I614" s="2036"/>
      <c r="J614" s="2036"/>
      <c r="K614" s="2036"/>
      <c r="L614" s="2036"/>
      <c r="M614" s="2036"/>
      <c r="N614" s="2036"/>
      <c r="O614" s="2036"/>
      <c r="P614" s="2036"/>
      <c r="Q614" s="2036"/>
      <c r="R614" s="2036"/>
      <c r="T614" s="35"/>
      <c r="U614" s="12" t="s">
        <v>17</v>
      </c>
      <c r="Z614" s="2038"/>
      <c r="AA614" s="2038"/>
      <c r="AB614" s="2038"/>
      <c r="AC614" s="2038"/>
      <c r="AD614" s="2038"/>
      <c r="AE614" s="2038"/>
      <c r="AF614" s="2038"/>
      <c r="AG614" s="2038"/>
      <c r="AH614" s="2038"/>
      <c r="AI614" s="2038"/>
      <c r="AJ614" s="2038"/>
      <c r="AK614" s="2038"/>
      <c r="BA614" s="7" t="s">
        <v>31</v>
      </c>
      <c r="BB614" s="58"/>
      <c r="BC614" s="58"/>
      <c r="BD614" s="58"/>
      <c r="BE614" s="2015">
        <f t="shared" si="0"/>
        <v>1</v>
      </c>
      <c r="BF614" s="2016"/>
      <c r="BG614" s="2012">
        <f t="shared" si="1"/>
        <v>10</v>
      </c>
      <c r="BH614" s="2014"/>
      <c r="BI614" s="2015">
        <f t="shared" si="2"/>
        <v>0</v>
      </c>
      <c r="BJ614" s="2016"/>
      <c r="BK614" s="2012">
        <f t="shared" si="3"/>
        <v>0</v>
      </c>
      <c r="BL614" s="2014"/>
      <c r="BM614" s="58"/>
      <c r="BN614" s="2009">
        <f t="shared" si="4"/>
        <v>0</v>
      </c>
      <c r="BO614" s="2010"/>
      <c r="BP614" s="2010"/>
      <c r="BQ614" s="2010"/>
      <c r="BR614" s="2011"/>
      <c r="BS614" s="2008">
        <f t="shared" si="5"/>
        <v>10</v>
      </c>
      <c r="BT614" s="2008"/>
      <c r="BU614" s="2008"/>
      <c r="BV614" s="2008"/>
      <c r="BW614" s="2008"/>
      <c r="BX614" s="2008">
        <f t="shared" si="6"/>
        <v>0</v>
      </c>
      <c r="BY614" s="2008"/>
      <c r="BZ614" s="2008"/>
      <c r="CA614" s="2008"/>
      <c r="CB614" s="2008"/>
      <c r="CC614" s="2008">
        <f t="shared" si="7"/>
        <v>0</v>
      </c>
      <c r="CD614" s="2008"/>
      <c r="CE614" s="2008"/>
      <c r="CF614" s="2008"/>
      <c r="CG614" s="2008"/>
      <c r="CH614" s="2008">
        <f t="shared" si="8"/>
        <v>0</v>
      </c>
      <c r="CI614" s="2008"/>
      <c r="CJ614" s="2008"/>
      <c r="CK614" s="2008"/>
      <c r="CL614" s="2008"/>
      <c r="CM614" s="2008">
        <f t="shared" si="9"/>
        <v>0</v>
      </c>
      <c r="CN614" s="2008"/>
      <c r="CO614" s="2008"/>
      <c r="CP614" s="2008"/>
      <c r="CQ614" s="2008"/>
      <c r="CR614" s="265"/>
      <c r="CS614" s="2366">
        <f t="shared" si="10"/>
        <v>0</v>
      </c>
      <c r="CT614" s="2366"/>
      <c r="CU614" s="2366"/>
      <c r="CV614" s="2366"/>
      <c r="CW614" s="2366"/>
      <c r="CX614" s="2366">
        <f t="shared" si="11"/>
        <v>0</v>
      </c>
      <c r="CY614" s="2366"/>
      <c r="CZ614" s="2366"/>
      <c r="DA614" s="2366"/>
      <c r="DB614" s="2366"/>
      <c r="DC614" s="2366">
        <f t="shared" si="12"/>
        <v>0</v>
      </c>
      <c r="DD614" s="2366"/>
      <c r="DE614" s="2366"/>
      <c r="DF614" s="2366"/>
      <c r="DG614" s="2366"/>
      <c r="DH614" s="2366">
        <f t="shared" si="13"/>
        <v>0</v>
      </c>
      <c r="DI614" s="2366"/>
      <c r="DJ614" s="2366"/>
      <c r="DK614" s="2366"/>
      <c r="DL614" s="2366"/>
      <c r="DM614" s="2366">
        <f t="shared" si="14"/>
        <v>0</v>
      </c>
      <c r="DN614" s="2366"/>
      <c r="DO614" s="2366"/>
      <c r="DP614" s="2366"/>
      <c r="DQ614" s="2366"/>
      <c r="DR614" s="2366">
        <f t="shared" si="15"/>
        <v>0</v>
      </c>
      <c r="DS614" s="2366"/>
      <c r="DT614" s="2366"/>
      <c r="DU614" s="2366"/>
      <c r="DV614" s="2366"/>
      <c r="DX614" s="2015" t="str">
        <f t="shared" si="16"/>
        <v xml:space="preserve"> </v>
      </c>
      <c r="DY614" s="2177"/>
      <c r="DZ614" s="2177"/>
      <c r="EA614" s="2177"/>
      <c r="EB614" s="2016"/>
      <c r="EC614" s="2015">
        <f t="shared" si="17"/>
        <v>781</v>
      </c>
      <c r="ED614" s="2177"/>
      <c r="EE614" s="2177"/>
      <c r="EF614" s="2177"/>
      <c r="EG614" s="2016"/>
      <c r="EH614" s="2015" t="str">
        <f t="shared" si="18"/>
        <v xml:space="preserve"> </v>
      </c>
      <c r="EI614" s="2177"/>
      <c r="EJ614" s="2177"/>
      <c r="EK614" s="2177"/>
      <c r="EL614" s="2016"/>
      <c r="EM614" s="2015" t="str">
        <f t="shared" si="19"/>
        <v xml:space="preserve"> </v>
      </c>
      <c r="EN614" s="2177"/>
      <c r="EO614" s="2177"/>
      <c r="EP614" s="2177"/>
      <c r="EQ614" s="2016"/>
      <c r="ER614" s="2015" t="str">
        <f t="shared" si="20"/>
        <v xml:space="preserve"> </v>
      </c>
      <c r="ES614" s="2177"/>
      <c r="ET614" s="2177"/>
      <c r="EU614" s="2177"/>
      <c r="EV614" s="2016"/>
      <c r="EW614" s="2015" t="str">
        <f t="shared" si="21"/>
        <v xml:space="preserve"> </v>
      </c>
      <c r="EX614" s="2177"/>
      <c r="EY614" s="2177"/>
      <c r="EZ614" s="2177"/>
      <c r="FA614" s="2016"/>
    </row>
    <row r="615" spans="1:157" ht="13.2">
      <c r="A615" s="35"/>
      <c r="B615" s="12" t="s">
        <v>325</v>
      </c>
      <c r="G615" s="2060"/>
      <c r="H615" s="2060"/>
      <c r="I615" s="2060"/>
      <c r="J615" s="2060"/>
      <c r="K615" s="2060"/>
      <c r="L615" s="2060"/>
      <c r="O615" s="137" t="s">
        <v>212</v>
      </c>
      <c r="P615" s="2026"/>
      <c r="Q615" s="2026"/>
      <c r="R615" s="2026"/>
      <c r="T615" s="35"/>
      <c r="U615" s="12" t="s">
        <v>325</v>
      </c>
      <c r="Z615" s="2060"/>
      <c r="AA615" s="2060"/>
      <c r="AB615" s="2060"/>
      <c r="AC615" s="2060"/>
      <c r="AD615" s="2060"/>
      <c r="AE615" s="2060"/>
      <c r="AH615" s="137" t="s">
        <v>212</v>
      </c>
      <c r="AI615" s="2026"/>
      <c r="AJ615" s="2026"/>
      <c r="AK615" s="2026"/>
      <c r="AZ615" s="58"/>
      <c r="BA615" s="58"/>
      <c r="BB615" s="58"/>
      <c r="BC615" s="58"/>
      <c r="BD615" s="58"/>
      <c r="BE615" s="2015">
        <f t="shared" si="0"/>
        <v>1</v>
      </c>
      <c r="BF615" s="2016"/>
      <c r="BG615" s="2012">
        <f t="shared" si="1"/>
        <v>44</v>
      </c>
      <c r="BH615" s="2014"/>
      <c r="BI615" s="2015">
        <f t="shared" si="2"/>
        <v>0</v>
      </c>
      <c r="BJ615" s="2016"/>
      <c r="BK615" s="2012">
        <f t="shared" si="3"/>
        <v>0</v>
      </c>
      <c r="BL615" s="2014"/>
      <c r="BM615" s="58"/>
      <c r="BN615" s="2009">
        <f t="shared" si="4"/>
        <v>0</v>
      </c>
      <c r="BO615" s="2010"/>
      <c r="BP615" s="2010"/>
      <c r="BQ615" s="2010"/>
      <c r="BR615" s="2011"/>
      <c r="BS615" s="2008">
        <f t="shared" si="5"/>
        <v>0</v>
      </c>
      <c r="BT615" s="2008"/>
      <c r="BU615" s="2008"/>
      <c r="BV615" s="2008"/>
      <c r="BW615" s="2008"/>
      <c r="BX615" s="2008">
        <f t="shared" si="6"/>
        <v>44</v>
      </c>
      <c r="BY615" s="2008"/>
      <c r="BZ615" s="2008"/>
      <c r="CA615" s="2008"/>
      <c r="CB615" s="2008"/>
      <c r="CC615" s="2008">
        <f t="shared" si="7"/>
        <v>0</v>
      </c>
      <c r="CD615" s="2008"/>
      <c r="CE615" s="2008"/>
      <c r="CF615" s="2008"/>
      <c r="CG615" s="2008"/>
      <c r="CH615" s="2008">
        <f t="shared" si="8"/>
        <v>0</v>
      </c>
      <c r="CI615" s="2008"/>
      <c r="CJ615" s="2008"/>
      <c r="CK615" s="2008"/>
      <c r="CL615" s="2008"/>
      <c r="CM615" s="2008">
        <f t="shared" si="9"/>
        <v>0</v>
      </c>
      <c r="CN615" s="2008"/>
      <c r="CO615" s="2008"/>
      <c r="CP615" s="2008"/>
      <c r="CQ615" s="2008"/>
      <c r="CR615" s="265"/>
      <c r="CS615" s="2366">
        <f t="shared" si="10"/>
        <v>0</v>
      </c>
      <c r="CT615" s="2366"/>
      <c r="CU615" s="2366"/>
      <c r="CV615" s="2366"/>
      <c r="CW615" s="2366"/>
      <c r="CX615" s="2366">
        <f t="shared" si="11"/>
        <v>0</v>
      </c>
      <c r="CY615" s="2366"/>
      <c r="CZ615" s="2366"/>
      <c r="DA615" s="2366"/>
      <c r="DB615" s="2366"/>
      <c r="DC615" s="2366">
        <f t="shared" si="12"/>
        <v>0</v>
      </c>
      <c r="DD615" s="2366"/>
      <c r="DE615" s="2366"/>
      <c r="DF615" s="2366"/>
      <c r="DG615" s="2366"/>
      <c r="DH615" s="2366">
        <f t="shared" si="13"/>
        <v>0</v>
      </c>
      <c r="DI615" s="2366"/>
      <c r="DJ615" s="2366"/>
      <c r="DK615" s="2366"/>
      <c r="DL615" s="2366"/>
      <c r="DM615" s="2366">
        <f t="shared" si="14"/>
        <v>0</v>
      </c>
      <c r="DN615" s="2366"/>
      <c r="DO615" s="2366"/>
      <c r="DP615" s="2366"/>
      <c r="DQ615" s="2366"/>
      <c r="DR615" s="2366">
        <f t="shared" si="15"/>
        <v>0</v>
      </c>
      <c r="DS615" s="2366"/>
      <c r="DT615" s="2366"/>
      <c r="DU615" s="2366"/>
      <c r="DV615" s="2366"/>
      <c r="DX615" s="2015" t="str">
        <f t="shared" si="16"/>
        <v xml:space="preserve"> </v>
      </c>
      <c r="DY615" s="2177"/>
      <c r="DZ615" s="2177"/>
      <c r="EA615" s="2177"/>
      <c r="EB615" s="2016"/>
      <c r="EC615" s="2015" t="str">
        <f t="shared" si="17"/>
        <v xml:space="preserve"> </v>
      </c>
      <c r="ED615" s="2177"/>
      <c r="EE615" s="2177"/>
      <c r="EF615" s="2177"/>
      <c r="EG615" s="2016"/>
      <c r="EH615" s="2015">
        <f t="shared" si="18"/>
        <v>934</v>
      </c>
      <c r="EI615" s="2177"/>
      <c r="EJ615" s="2177"/>
      <c r="EK615" s="2177"/>
      <c r="EL615" s="2016"/>
      <c r="EM615" s="2015" t="str">
        <f t="shared" si="19"/>
        <v xml:space="preserve"> </v>
      </c>
      <c r="EN615" s="2177"/>
      <c r="EO615" s="2177"/>
      <c r="EP615" s="2177"/>
      <c r="EQ615" s="2016"/>
      <c r="ER615" s="2015" t="str">
        <f t="shared" si="20"/>
        <v xml:space="preserve"> </v>
      </c>
      <c r="ES615" s="2177"/>
      <c r="ET615" s="2177"/>
      <c r="EU615" s="2177"/>
      <c r="EV615" s="2016"/>
      <c r="EW615" s="2015" t="str">
        <f t="shared" si="21"/>
        <v xml:space="preserve"> </v>
      </c>
      <c r="EX615" s="2177"/>
      <c r="EY615" s="2177"/>
      <c r="EZ615" s="2177"/>
      <c r="FA615" s="2016"/>
    </row>
    <row r="616" spans="1:157" ht="13.2">
      <c r="A616" s="35"/>
      <c r="B616" s="12" t="s">
        <v>18</v>
      </c>
      <c r="H616" s="2036"/>
      <c r="I616" s="2036"/>
      <c r="J616" s="2036"/>
      <c r="K616" s="2036"/>
      <c r="L616" s="2036"/>
      <c r="M616" s="2036"/>
      <c r="N616" s="2036"/>
      <c r="O616" s="2036"/>
      <c r="P616" s="2036"/>
      <c r="Q616" s="2036"/>
      <c r="R616" s="2036"/>
      <c r="T616" s="35"/>
      <c r="U616" s="12" t="s">
        <v>18</v>
      </c>
      <c r="AA616" s="2036"/>
      <c r="AB616" s="2036"/>
      <c r="AC616" s="2036"/>
      <c r="AD616" s="2036"/>
      <c r="AE616" s="2036"/>
      <c r="AF616" s="2036"/>
      <c r="AG616" s="2036"/>
      <c r="AH616" s="2036"/>
      <c r="AI616" s="2036"/>
      <c r="AJ616" s="2036"/>
      <c r="AK616" s="2036"/>
      <c r="AZ616" s="58"/>
      <c r="BA616" s="58"/>
      <c r="BB616" s="58"/>
      <c r="BC616" s="58"/>
      <c r="BD616" s="58"/>
      <c r="BE616" s="2015">
        <f t="shared" si="0"/>
        <v>1</v>
      </c>
      <c r="BF616" s="2016"/>
      <c r="BG616" s="2012">
        <f t="shared" si="1"/>
        <v>17</v>
      </c>
      <c r="BH616" s="2014"/>
      <c r="BI616" s="2015">
        <f t="shared" si="2"/>
        <v>0</v>
      </c>
      <c r="BJ616" s="2016"/>
      <c r="BK616" s="2012">
        <f t="shared" si="3"/>
        <v>0</v>
      </c>
      <c r="BL616" s="2014"/>
      <c r="BM616" s="58"/>
      <c r="BN616" s="2009">
        <f t="shared" si="4"/>
        <v>0</v>
      </c>
      <c r="BO616" s="2010"/>
      <c r="BP616" s="2010"/>
      <c r="BQ616" s="2010"/>
      <c r="BR616" s="2011"/>
      <c r="BS616" s="2008">
        <f t="shared" si="5"/>
        <v>0</v>
      </c>
      <c r="BT616" s="2008"/>
      <c r="BU616" s="2008"/>
      <c r="BV616" s="2008"/>
      <c r="BW616" s="2008"/>
      <c r="BX616" s="2008">
        <f t="shared" si="6"/>
        <v>0</v>
      </c>
      <c r="BY616" s="2008"/>
      <c r="BZ616" s="2008"/>
      <c r="CA616" s="2008"/>
      <c r="CB616" s="2008"/>
      <c r="CC616" s="2008">
        <f t="shared" si="7"/>
        <v>17</v>
      </c>
      <c r="CD616" s="2008"/>
      <c r="CE616" s="2008"/>
      <c r="CF616" s="2008"/>
      <c r="CG616" s="2008"/>
      <c r="CH616" s="2008">
        <f t="shared" si="8"/>
        <v>0</v>
      </c>
      <c r="CI616" s="2008"/>
      <c r="CJ616" s="2008"/>
      <c r="CK616" s="2008"/>
      <c r="CL616" s="2008"/>
      <c r="CM616" s="2008">
        <f t="shared" si="9"/>
        <v>0</v>
      </c>
      <c r="CN616" s="2008"/>
      <c r="CO616" s="2008"/>
      <c r="CP616" s="2008"/>
      <c r="CQ616" s="2008"/>
      <c r="CR616" s="265"/>
      <c r="CS616" s="2366">
        <f t="shared" si="10"/>
        <v>0</v>
      </c>
      <c r="CT616" s="2366"/>
      <c r="CU616" s="2366"/>
      <c r="CV616" s="2366"/>
      <c r="CW616" s="2366"/>
      <c r="CX616" s="2366">
        <f t="shared" si="11"/>
        <v>0</v>
      </c>
      <c r="CY616" s="2366"/>
      <c r="CZ616" s="2366"/>
      <c r="DA616" s="2366"/>
      <c r="DB616" s="2366"/>
      <c r="DC616" s="2366">
        <f t="shared" si="12"/>
        <v>0</v>
      </c>
      <c r="DD616" s="2366"/>
      <c r="DE616" s="2366"/>
      <c r="DF616" s="2366"/>
      <c r="DG616" s="2366"/>
      <c r="DH616" s="2366">
        <f t="shared" si="13"/>
        <v>0</v>
      </c>
      <c r="DI616" s="2366"/>
      <c r="DJ616" s="2366"/>
      <c r="DK616" s="2366"/>
      <c r="DL616" s="2366"/>
      <c r="DM616" s="2366">
        <f t="shared" si="14"/>
        <v>0</v>
      </c>
      <c r="DN616" s="2366"/>
      <c r="DO616" s="2366"/>
      <c r="DP616" s="2366"/>
      <c r="DQ616" s="2366"/>
      <c r="DR616" s="2366">
        <f t="shared" si="15"/>
        <v>0</v>
      </c>
      <c r="DS616" s="2366"/>
      <c r="DT616" s="2366"/>
      <c r="DU616" s="2366"/>
      <c r="DV616" s="2366"/>
      <c r="DX616" s="2015" t="str">
        <f t="shared" si="16"/>
        <v xml:space="preserve"> </v>
      </c>
      <c r="DY616" s="2177"/>
      <c r="DZ616" s="2177"/>
      <c r="EA616" s="2177"/>
      <c r="EB616" s="2016"/>
      <c r="EC616" s="2015" t="str">
        <f t="shared" si="17"/>
        <v xml:space="preserve"> </v>
      </c>
      <c r="ED616" s="2177"/>
      <c r="EE616" s="2177"/>
      <c r="EF616" s="2177"/>
      <c r="EG616" s="2016"/>
      <c r="EH616" s="2015" t="str">
        <f t="shared" si="18"/>
        <v xml:space="preserve"> </v>
      </c>
      <c r="EI616" s="2177"/>
      <c r="EJ616" s="2177"/>
      <c r="EK616" s="2177"/>
      <c r="EL616" s="2016"/>
      <c r="EM616" s="2015">
        <f t="shared" si="19"/>
        <v>1073</v>
      </c>
      <c r="EN616" s="2177"/>
      <c r="EO616" s="2177"/>
      <c r="EP616" s="2177"/>
      <c r="EQ616" s="2016"/>
      <c r="ER616" s="2015" t="str">
        <f t="shared" si="20"/>
        <v xml:space="preserve"> </v>
      </c>
      <c r="ES616" s="2177"/>
      <c r="ET616" s="2177"/>
      <c r="EU616" s="2177"/>
      <c r="EV616" s="2016"/>
      <c r="EW616" s="2015" t="str">
        <f t="shared" si="21"/>
        <v xml:space="preserve"> </v>
      </c>
      <c r="EX616" s="2177"/>
      <c r="EY616" s="2177"/>
      <c r="EZ616" s="2177"/>
      <c r="FA616" s="2016"/>
    </row>
    <row r="617" spans="1:157" ht="13.2">
      <c r="A617" s="35"/>
      <c r="B617" s="12" t="s">
        <v>20</v>
      </c>
      <c r="N617" s="2034" t="s">
        <v>706</v>
      </c>
      <c r="O617" s="2035"/>
      <c r="T617" s="35"/>
      <c r="U617" s="12" t="s">
        <v>20</v>
      </c>
      <c r="AG617" s="2035" t="s">
        <v>706</v>
      </c>
      <c r="AH617" s="2035"/>
      <c r="AZ617" s="58"/>
      <c r="BA617" s="58"/>
      <c r="BB617" s="58"/>
      <c r="BC617" s="58"/>
      <c r="BD617" s="58"/>
      <c r="BE617" s="2015">
        <f t="shared" si="0"/>
        <v>0</v>
      </c>
      <c r="BF617" s="2016"/>
      <c r="BG617" s="2012">
        <f t="shared" si="1"/>
        <v>0</v>
      </c>
      <c r="BH617" s="2014"/>
      <c r="BI617" s="2015">
        <f t="shared" si="2"/>
        <v>0</v>
      </c>
      <c r="BJ617" s="2016"/>
      <c r="BK617" s="2012">
        <f t="shared" si="3"/>
        <v>0</v>
      </c>
      <c r="BL617" s="2014"/>
      <c r="BM617" s="58"/>
      <c r="BN617" s="2009">
        <f t="shared" si="4"/>
        <v>0</v>
      </c>
      <c r="BO617" s="2010"/>
      <c r="BP617" s="2010"/>
      <c r="BQ617" s="2010"/>
      <c r="BR617" s="2011"/>
      <c r="BS617" s="2008">
        <f t="shared" si="5"/>
        <v>0</v>
      </c>
      <c r="BT617" s="2008"/>
      <c r="BU617" s="2008"/>
      <c r="BV617" s="2008"/>
      <c r="BW617" s="2008"/>
      <c r="BX617" s="2008">
        <f t="shared" si="6"/>
        <v>0</v>
      </c>
      <c r="BY617" s="2008"/>
      <c r="BZ617" s="2008"/>
      <c r="CA617" s="2008"/>
      <c r="CB617" s="2008"/>
      <c r="CC617" s="2008">
        <f t="shared" si="7"/>
        <v>0</v>
      </c>
      <c r="CD617" s="2008"/>
      <c r="CE617" s="2008"/>
      <c r="CF617" s="2008"/>
      <c r="CG617" s="2008"/>
      <c r="CH617" s="2008">
        <f t="shared" si="8"/>
        <v>0</v>
      </c>
      <c r="CI617" s="2008"/>
      <c r="CJ617" s="2008"/>
      <c r="CK617" s="2008"/>
      <c r="CL617" s="2008"/>
      <c r="CM617" s="2008">
        <f t="shared" si="9"/>
        <v>0</v>
      </c>
      <c r="CN617" s="2008"/>
      <c r="CO617" s="2008"/>
      <c r="CP617" s="2008"/>
      <c r="CQ617" s="2008"/>
      <c r="CR617" s="265"/>
      <c r="CS617" s="2366">
        <f t="shared" si="10"/>
        <v>0</v>
      </c>
      <c r="CT617" s="2366"/>
      <c r="CU617" s="2366"/>
      <c r="CV617" s="2366"/>
      <c r="CW617" s="2366"/>
      <c r="CX617" s="2366">
        <f t="shared" si="11"/>
        <v>0</v>
      </c>
      <c r="CY617" s="2366"/>
      <c r="CZ617" s="2366"/>
      <c r="DA617" s="2366"/>
      <c r="DB617" s="2366"/>
      <c r="DC617" s="2366">
        <f t="shared" si="12"/>
        <v>0</v>
      </c>
      <c r="DD617" s="2366"/>
      <c r="DE617" s="2366"/>
      <c r="DF617" s="2366"/>
      <c r="DG617" s="2366"/>
      <c r="DH617" s="2366">
        <f t="shared" si="13"/>
        <v>0</v>
      </c>
      <c r="DI617" s="2366"/>
      <c r="DJ617" s="2366"/>
      <c r="DK617" s="2366"/>
      <c r="DL617" s="2366"/>
      <c r="DM617" s="2366">
        <f t="shared" si="14"/>
        <v>0</v>
      </c>
      <c r="DN617" s="2366"/>
      <c r="DO617" s="2366"/>
      <c r="DP617" s="2366"/>
      <c r="DQ617" s="2366"/>
      <c r="DR617" s="2366">
        <f t="shared" si="15"/>
        <v>0</v>
      </c>
      <c r="DS617" s="2366"/>
      <c r="DT617" s="2366"/>
      <c r="DU617" s="2366"/>
      <c r="DV617" s="2366"/>
      <c r="DX617" s="2015" t="str">
        <f t="shared" si="16"/>
        <v xml:space="preserve"> </v>
      </c>
      <c r="DY617" s="2177"/>
      <c r="DZ617" s="2177"/>
      <c r="EA617" s="2177"/>
      <c r="EB617" s="2016"/>
      <c r="EC617" s="2015" t="str">
        <f t="shared" si="17"/>
        <v xml:space="preserve"> </v>
      </c>
      <c r="ED617" s="2177"/>
      <c r="EE617" s="2177"/>
      <c r="EF617" s="2177"/>
      <c r="EG617" s="2016"/>
      <c r="EH617" s="2015" t="str">
        <f t="shared" si="18"/>
        <v xml:space="preserve"> </v>
      </c>
      <c r="EI617" s="2177"/>
      <c r="EJ617" s="2177"/>
      <c r="EK617" s="2177"/>
      <c r="EL617" s="2016"/>
      <c r="EM617" s="2015" t="str">
        <f t="shared" si="19"/>
        <v xml:space="preserve"> </v>
      </c>
      <c r="EN617" s="2177"/>
      <c r="EO617" s="2177"/>
      <c r="EP617" s="2177"/>
      <c r="EQ617" s="2016"/>
      <c r="ER617" s="2015" t="str">
        <f t="shared" si="20"/>
        <v xml:space="preserve"> </v>
      </c>
      <c r="ES617" s="2177"/>
      <c r="ET617" s="2177"/>
      <c r="EU617" s="2177"/>
      <c r="EV617" s="2016"/>
      <c r="EW617" s="2015" t="str">
        <f t="shared" si="21"/>
        <v xml:space="preserve"> </v>
      </c>
      <c r="EX617" s="2177"/>
      <c r="EY617" s="2177"/>
      <c r="EZ617" s="2177"/>
      <c r="FA617" s="2016"/>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5">
        <f t="shared" si="0"/>
        <v>0</v>
      </c>
      <c r="BF618" s="2016"/>
      <c r="BG618" s="2012">
        <f t="shared" si="1"/>
        <v>0</v>
      </c>
      <c r="BH618" s="2014"/>
      <c r="BI618" s="2015">
        <f t="shared" si="2"/>
        <v>0</v>
      </c>
      <c r="BJ618" s="2016"/>
      <c r="BK618" s="2012">
        <f t="shared" si="3"/>
        <v>0</v>
      </c>
      <c r="BL618" s="2014"/>
      <c r="BM618" s="58"/>
      <c r="BN618" s="2009">
        <f t="shared" si="4"/>
        <v>0</v>
      </c>
      <c r="BO618" s="2010"/>
      <c r="BP618" s="2010"/>
      <c r="BQ618" s="2010"/>
      <c r="BR618" s="2011"/>
      <c r="BS618" s="2008">
        <f t="shared" si="5"/>
        <v>15</v>
      </c>
      <c r="BT618" s="2008"/>
      <c r="BU618" s="2008"/>
      <c r="BV618" s="2008"/>
      <c r="BW618" s="2008"/>
      <c r="BX618" s="2008">
        <f t="shared" si="6"/>
        <v>0</v>
      </c>
      <c r="BY618" s="2008"/>
      <c r="BZ618" s="2008"/>
      <c r="CA618" s="2008"/>
      <c r="CB618" s="2008"/>
      <c r="CC618" s="2008">
        <f t="shared" si="7"/>
        <v>0</v>
      </c>
      <c r="CD618" s="2008"/>
      <c r="CE618" s="2008"/>
      <c r="CF618" s="2008"/>
      <c r="CG618" s="2008"/>
      <c r="CH618" s="2008">
        <f t="shared" si="8"/>
        <v>0</v>
      </c>
      <c r="CI618" s="2008"/>
      <c r="CJ618" s="2008"/>
      <c r="CK618" s="2008"/>
      <c r="CL618" s="2008"/>
      <c r="CM618" s="2008">
        <f t="shared" si="9"/>
        <v>0</v>
      </c>
      <c r="CN618" s="2008"/>
      <c r="CO618" s="2008"/>
      <c r="CP618" s="2008"/>
      <c r="CQ618" s="2008"/>
      <c r="CR618" s="265"/>
      <c r="CS618" s="2366">
        <f t="shared" si="10"/>
        <v>0</v>
      </c>
      <c r="CT618" s="2366"/>
      <c r="CU618" s="2366"/>
      <c r="CV618" s="2366"/>
      <c r="CW618" s="2366"/>
      <c r="CX618" s="2366">
        <f t="shared" si="11"/>
        <v>0</v>
      </c>
      <c r="CY618" s="2366"/>
      <c r="CZ618" s="2366"/>
      <c r="DA618" s="2366"/>
      <c r="DB618" s="2366"/>
      <c r="DC618" s="2366">
        <f t="shared" si="12"/>
        <v>0</v>
      </c>
      <c r="DD618" s="2366"/>
      <c r="DE618" s="2366"/>
      <c r="DF618" s="2366"/>
      <c r="DG618" s="2366"/>
      <c r="DH618" s="2366">
        <f t="shared" si="13"/>
        <v>0</v>
      </c>
      <c r="DI618" s="2366"/>
      <c r="DJ618" s="2366"/>
      <c r="DK618" s="2366"/>
      <c r="DL618" s="2366"/>
      <c r="DM618" s="2366">
        <f t="shared" si="14"/>
        <v>0</v>
      </c>
      <c r="DN618" s="2366"/>
      <c r="DO618" s="2366"/>
      <c r="DP618" s="2366"/>
      <c r="DQ618" s="2366"/>
      <c r="DR618" s="2366">
        <f t="shared" si="15"/>
        <v>0</v>
      </c>
      <c r="DS618" s="2366"/>
      <c r="DT618" s="2366"/>
      <c r="DU618" s="2366"/>
      <c r="DV618" s="2366"/>
      <c r="DX618" s="2015" t="str">
        <f t="shared" si="16"/>
        <v xml:space="preserve"> </v>
      </c>
      <c r="DY618" s="2177"/>
      <c r="DZ618" s="2177"/>
      <c r="EA618" s="2177"/>
      <c r="EB618" s="2016"/>
      <c r="EC618" s="2015">
        <f t="shared" si="17"/>
        <v>951</v>
      </c>
      <c r="ED618" s="2177"/>
      <c r="EE618" s="2177"/>
      <c r="EF618" s="2177"/>
      <c r="EG618" s="2016"/>
      <c r="EH618" s="2015" t="str">
        <f t="shared" si="18"/>
        <v xml:space="preserve"> </v>
      </c>
      <c r="EI618" s="2177"/>
      <c r="EJ618" s="2177"/>
      <c r="EK618" s="2177"/>
      <c r="EL618" s="2016"/>
      <c r="EM618" s="2015" t="str">
        <f t="shared" si="19"/>
        <v xml:space="preserve"> </v>
      </c>
      <c r="EN618" s="2177"/>
      <c r="EO618" s="2177"/>
      <c r="EP618" s="2177"/>
      <c r="EQ618" s="2016"/>
      <c r="ER618" s="2015" t="str">
        <f t="shared" si="20"/>
        <v xml:space="preserve"> </v>
      </c>
      <c r="ES618" s="2177"/>
      <c r="ET618" s="2177"/>
      <c r="EU618" s="2177"/>
      <c r="EV618" s="2016"/>
      <c r="EW618" s="2015" t="str">
        <f t="shared" si="21"/>
        <v xml:space="preserve"> </v>
      </c>
      <c r="EX618" s="2177"/>
      <c r="EY618" s="2177"/>
      <c r="EZ618" s="2177"/>
      <c r="FA618" s="2016"/>
    </row>
    <row r="619" spans="1:157" s="7" customFormat="1" ht="13.2">
      <c r="A619" s="87" t="s">
        <v>372</v>
      </c>
      <c r="B619" s="12" t="s">
        <v>496</v>
      </c>
      <c r="C619" s="12"/>
      <c r="D619" s="12"/>
      <c r="E619" s="12"/>
      <c r="F619" s="12"/>
      <c r="G619" s="2037">
        <f>C574</f>
        <v>0</v>
      </c>
      <c r="H619" s="2037"/>
      <c r="I619" s="2037"/>
      <c r="J619" s="2037"/>
      <c r="K619" s="2037"/>
      <c r="L619" s="2037"/>
      <c r="M619" s="2037"/>
      <c r="N619" s="2037"/>
      <c r="O619" s="2037"/>
      <c r="P619" s="2037"/>
      <c r="Q619" s="2037"/>
      <c r="R619" s="2037"/>
      <c r="S619" s="12"/>
      <c r="T619" s="87" t="s">
        <v>373</v>
      </c>
      <c r="U619" s="12" t="s">
        <v>496</v>
      </c>
      <c r="V619" s="12"/>
      <c r="W619" s="12"/>
      <c r="X619" s="12"/>
      <c r="Y619" s="12"/>
      <c r="Z619" s="2037">
        <f>C575</f>
        <v>0</v>
      </c>
      <c r="AA619" s="2037"/>
      <c r="AB619" s="2037"/>
      <c r="AC619" s="2037"/>
      <c r="AD619" s="2037"/>
      <c r="AE619" s="2037"/>
      <c r="AF619" s="2037"/>
      <c r="AG619" s="2037"/>
      <c r="AH619" s="2037"/>
      <c r="AI619" s="2037"/>
      <c r="AJ619" s="2037"/>
      <c r="AK619" s="2037"/>
      <c r="AL619" s="12"/>
      <c r="AM619" s="39"/>
      <c r="AN619" s="39"/>
      <c r="AO619" s="39"/>
      <c r="AP619" s="39"/>
      <c r="AQ619" s="39"/>
      <c r="AR619" s="39"/>
      <c r="AS619" s="39"/>
      <c r="AT619" s="39"/>
      <c r="AU619" s="39"/>
      <c r="AV619" s="39"/>
      <c r="AW619" s="39"/>
      <c r="AX619" s="39"/>
      <c r="AY619" s="39"/>
      <c r="AZ619" s="58"/>
      <c r="BA619" s="58"/>
      <c r="BB619" s="58"/>
      <c r="BC619" s="58"/>
      <c r="BD619" s="58"/>
      <c r="BE619" s="2015">
        <f t="shared" si="0"/>
        <v>0</v>
      </c>
      <c r="BF619" s="2016"/>
      <c r="BG619" s="2012">
        <f t="shared" si="1"/>
        <v>0</v>
      </c>
      <c r="BH619" s="2014"/>
      <c r="BI619" s="2015">
        <f t="shared" si="2"/>
        <v>0</v>
      </c>
      <c r="BJ619" s="2016"/>
      <c r="BK619" s="2012">
        <f t="shared" si="3"/>
        <v>0</v>
      </c>
      <c r="BL619" s="2014"/>
      <c r="BM619" s="58"/>
      <c r="BN619" s="2009">
        <f t="shared" si="4"/>
        <v>0</v>
      </c>
      <c r="BO619" s="2010"/>
      <c r="BP619" s="2010"/>
      <c r="BQ619" s="2010"/>
      <c r="BR619" s="2011"/>
      <c r="BS619" s="2008">
        <f t="shared" si="5"/>
        <v>0</v>
      </c>
      <c r="BT619" s="2008"/>
      <c r="BU619" s="2008"/>
      <c r="BV619" s="2008"/>
      <c r="BW619" s="2008"/>
      <c r="BX619" s="2008">
        <f t="shared" si="6"/>
        <v>22</v>
      </c>
      <c r="BY619" s="2008"/>
      <c r="BZ619" s="2008"/>
      <c r="CA619" s="2008"/>
      <c r="CB619" s="2008"/>
      <c r="CC619" s="2008">
        <f t="shared" si="7"/>
        <v>0</v>
      </c>
      <c r="CD619" s="2008"/>
      <c r="CE619" s="2008"/>
      <c r="CF619" s="2008"/>
      <c r="CG619" s="2008"/>
      <c r="CH619" s="2008">
        <f t="shared" si="8"/>
        <v>0</v>
      </c>
      <c r="CI619" s="2008"/>
      <c r="CJ619" s="2008"/>
      <c r="CK619" s="2008"/>
      <c r="CL619" s="2008"/>
      <c r="CM619" s="2008">
        <f t="shared" si="9"/>
        <v>0</v>
      </c>
      <c r="CN619" s="2008"/>
      <c r="CO619" s="2008"/>
      <c r="CP619" s="2008"/>
      <c r="CQ619" s="2008"/>
      <c r="CR619" s="265"/>
      <c r="CS619" s="2366">
        <f t="shared" si="10"/>
        <v>0</v>
      </c>
      <c r="CT619" s="2366"/>
      <c r="CU619" s="2366"/>
      <c r="CV619" s="2366"/>
      <c r="CW619" s="2366"/>
      <c r="CX619" s="2366">
        <f t="shared" si="11"/>
        <v>0</v>
      </c>
      <c r="CY619" s="2366"/>
      <c r="CZ619" s="2366"/>
      <c r="DA619" s="2366"/>
      <c r="DB619" s="2366"/>
      <c r="DC619" s="2366">
        <f t="shared" si="12"/>
        <v>0</v>
      </c>
      <c r="DD619" s="2366"/>
      <c r="DE619" s="2366"/>
      <c r="DF619" s="2366"/>
      <c r="DG619" s="2366"/>
      <c r="DH619" s="2366">
        <f t="shared" si="13"/>
        <v>0</v>
      </c>
      <c r="DI619" s="2366"/>
      <c r="DJ619" s="2366"/>
      <c r="DK619" s="2366"/>
      <c r="DL619" s="2366"/>
      <c r="DM619" s="2366">
        <f t="shared" si="14"/>
        <v>0</v>
      </c>
      <c r="DN619" s="2366"/>
      <c r="DO619" s="2366"/>
      <c r="DP619" s="2366"/>
      <c r="DQ619" s="2366"/>
      <c r="DR619" s="2366">
        <f t="shared" si="15"/>
        <v>0</v>
      </c>
      <c r="DS619" s="2366"/>
      <c r="DT619" s="2366"/>
      <c r="DU619" s="2366"/>
      <c r="DV619" s="2366"/>
      <c r="DX619" s="2015" t="str">
        <f t="shared" si="16"/>
        <v xml:space="preserve"> </v>
      </c>
      <c r="DY619" s="2177"/>
      <c r="DZ619" s="2177"/>
      <c r="EA619" s="2177"/>
      <c r="EB619" s="2016"/>
      <c r="EC619" s="2015" t="str">
        <f t="shared" si="17"/>
        <v xml:space="preserve"> </v>
      </c>
      <c r="ED619" s="2177"/>
      <c r="EE619" s="2177"/>
      <c r="EF619" s="2177"/>
      <c r="EG619" s="2016"/>
      <c r="EH619" s="2015">
        <f t="shared" si="18"/>
        <v>1138</v>
      </c>
      <c r="EI619" s="2177"/>
      <c r="EJ619" s="2177"/>
      <c r="EK619" s="2177"/>
      <c r="EL619" s="2016"/>
      <c r="EM619" s="2015" t="str">
        <f t="shared" si="19"/>
        <v xml:space="preserve"> </v>
      </c>
      <c r="EN619" s="2177"/>
      <c r="EO619" s="2177"/>
      <c r="EP619" s="2177"/>
      <c r="EQ619" s="2016"/>
      <c r="ER619" s="2015" t="str">
        <f t="shared" si="20"/>
        <v xml:space="preserve"> </v>
      </c>
      <c r="ES619" s="2177"/>
      <c r="ET619" s="2177"/>
      <c r="EU619" s="2177"/>
      <c r="EV619" s="2016"/>
      <c r="EW619" s="2015" t="str">
        <f t="shared" si="21"/>
        <v xml:space="preserve"> </v>
      </c>
      <c r="EX619" s="2177"/>
      <c r="EY619" s="2177"/>
      <c r="EZ619" s="2177"/>
      <c r="FA619" s="2016"/>
    </row>
    <row r="620" spans="1:157" s="7" customFormat="1" ht="13.2">
      <c r="A620" s="12"/>
      <c r="B620" s="12" t="s">
        <v>90</v>
      </c>
      <c r="C620" s="12"/>
      <c r="D620" s="12"/>
      <c r="E620" s="12"/>
      <c r="F620" s="12"/>
      <c r="G620" s="2036"/>
      <c r="H620" s="2036"/>
      <c r="I620" s="2036"/>
      <c r="J620" s="2036"/>
      <c r="K620" s="2036"/>
      <c r="L620" s="2036"/>
      <c r="M620" s="2036"/>
      <c r="N620" s="2036"/>
      <c r="O620" s="2036"/>
      <c r="P620" s="2036"/>
      <c r="Q620" s="2036"/>
      <c r="R620" s="2036"/>
      <c r="S620" s="12"/>
      <c r="T620" s="12"/>
      <c r="U620" s="12" t="s">
        <v>90</v>
      </c>
      <c r="V620" s="12"/>
      <c r="W620" s="12"/>
      <c r="X620" s="12"/>
      <c r="Y620" s="12"/>
      <c r="Z620" s="2036"/>
      <c r="AA620" s="2036"/>
      <c r="AB620" s="2036"/>
      <c r="AC620" s="2036"/>
      <c r="AD620" s="2036"/>
      <c r="AE620" s="2036"/>
      <c r="AF620" s="2036"/>
      <c r="AG620" s="2036"/>
      <c r="AH620" s="2036"/>
      <c r="AI620" s="2036"/>
      <c r="AJ620" s="2036"/>
      <c r="AK620" s="2036"/>
      <c r="AL620" s="12"/>
      <c r="AM620" s="39"/>
      <c r="AN620" s="39"/>
      <c r="AO620" s="39"/>
      <c r="AP620" s="39"/>
      <c r="AQ620" s="39"/>
      <c r="AR620" s="39"/>
      <c r="AS620" s="39"/>
      <c r="AT620" s="39"/>
      <c r="AU620" s="39"/>
      <c r="AV620" s="39"/>
      <c r="AW620" s="39"/>
      <c r="AX620" s="39"/>
      <c r="AY620" s="39"/>
      <c r="AZ620" s="58"/>
      <c r="BA620" s="58"/>
      <c r="BB620" s="58"/>
      <c r="BC620" s="58"/>
      <c r="BD620" s="58"/>
      <c r="BE620" s="2015">
        <f t="shared" si="0"/>
        <v>0</v>
      </c>
      <c r="BF620" s="2016"/>
      <c r="BG620" s="2012">
        <f t="shared" si="1"/>
        <v>0</v>
      </c>
      <c r="BH620" s="2014"/>
      <c r="BI620" s="2015">
        <f t="shared" si="2"/>
        <v>0</v>
      </c>
      <c r="BJ620" s="2016"/>
      <c r="BK620" s="2012">
        <f t="shared" si="3"/>
        <v>0</v>
      </c>
      <c r="BL620" s="2014"/>
      <c r="BM620" s="58"/>
      <c r="BN620" s="2009">
        <f t="shared" si="4"/>
        <v>0</v>
      </c>
      <c r="BO620" s="2010"/>
      <c r="BP620" s="2010"/>
      <c r="BQ620" s="2010"/>
      <c r="BR620" s="2011"/>
      <c r="BS620" s="2008">
        <f t="shared" si="5"/>
        <v>0</v>
      </c>
      <c r="BT620" s="2008"/>
      <c r="BU620" s="2008"/>
      <c r="BV620" s="2008"/>
      <c r="BW620" s="2008"/>
      <c r="BX620" s="2008">
        <f t="shared" si="6"/>
        <v>0</v>
      </c>
      <c r="BY620" s="2008"/>
      <c r="BZ620" s="2008"/>
      <c r="CA620" s="2008"/>
      <c r="CB620" s="2008"/>
      <c r="CC620" s="2008">
        <f t="shared" si="7"/>
        <v>14</v>
      </c>
      <c r="CD620" s="2008"/>
      <c r="CE620" s="2008"/>
      <c r="CF620" s="2008"/>
      <c r="CG620" s="2008"/>
      <c r="CH620" s="2008">
        <f t="shared" si="8"/>
        <v>0</v>
      </c>
      <c r="CI620" s="2008"/>
      <c r="CJ620" s="2008"/>
      <c r="CK620" s="2008"/>
      <c r="CL620" s="2008"/>
      <c r="CM620" s="2008">
        <f t="shared" si="9"/>
        <v>0</v>
      </c>
      <c r="CN620" s="2008"/>
      <c r="CO620" s="2008"/>
      <c r="CP620" s="2008"/>
      <c r="CQ620" s="2008"/>
      <c r="CR620" s="265"/>
      <c r="CS620" s="2366">
        <f t="shared" si="10"/>
        <v>0</v>
      </c>
      <c r="CT620" s="2366"/>
      <c r="CU620" s="2366"/>
      <c r="CV620" s="2366"/>
      <c r="CW620" s="2366"/>
      <c r="CX620" s="2366">
        <f t="shared" si="11"/>
        <v>0</v>
      </c>
      <c r="CY620" s="2366"/>
      <c r="CZ620" s="2366"/>
      <c r="DA620" s="2366"/>
      <c r="DB620" s="2366"/>
      <c r="DC620" s="2366">
        <f t="shared" si="12"/>
        <v>0</v>
      </c>
      <c r="DD620" s="2366"/>
      <c r="DE620" s="2366"/>
      <c r="DF620" s="2366"/>
      <c r="DG620" s="2366"/>
      <c r="DH620" s="2366">
        <f t="shared" si="13"/>
        <v>0</v>
      </c>
      <c r="DI620" s="2366"/>
      <c r="DJ620" s="2366"/>
      <c r="DK620" s="2366"/>
      <c r="DL620" s="2366"/>
      <c r="DM620" s="2366">
        <f t="shared" si="14"/>
        <v>0</v>
      </c>
      <c r="DN620" s="2366"/>
      <c r="DO620" s="2366"/>
      <c r="DP620" s="2366"/>
      <c r="DQ620" s="2366"/>
      <c r="DR620" s="2366">
        <f t="shared" si="15"/>
        <v>0</v>
      </c>
      <c r="DS620" s="2366"/>
      <c r="DT620" s="2366"/>
      <c r="DU620" s="2366"/>
      <c r="DV620" s="2366"/>
      <c r="DX620" s="2015" t="str">
        <f t="shared" si="16"/>
        <v xml:space="preserve"> </v>
      </c>
      <c r="DY620" s="2177"/>
      <c r="DZ620" s="2177"/>
      <c r="EA620" s="2177"/>
      <c r="EB620" s="2016"/>
      <c r="EC620" s="2015" t="str">
        <f t="shared" si="17"/>
        <v xml:space="preserve"> </v>
      </c>
      <c r="ED620" s="2177"/>
      <c r="EE620" s="2177"/>
      <c r="EF620" s="2177"/>
      <c r="EG620" s="2016"/>
      <c r="EH620" s="2015" t="str">
        <f t="shared" si="18"/>
        <v xml:space="preserve"> </v>
      </c>
      <c r="EI620" s="2177"/>
      <c r="EJ620" s="2177"/>
      <c r="EK620" s="2177"/>
      <c r="EL620" s="2016"/>
      <c r="EM620" s="2015">
        <f t="shared" si="19"/>
        <v>1308</v>
      </c>
      <c r="EN620" s="2177"/>
      <c r="EO620" s="2177"/>
      <c r="EP620" s="2177"/>
      <c r="EQ620" s="2016"/>
      <c r="ER620" s="2015" t="str">
        <f t="shared" si="20"/>
        <v xml:space="preserve"> </v>
      </c>
      <c r="ES620" s="2177"/>
      <c r="ET620" s="2177"/>
      <c r="EU620" s="2177"/>
      <c r="EV620" s="2016"/>
      <c r="EW620" s="2015" t="str">
        <f t="shared" si="21"/>
        <v xml:space="preserve"> </v>
      </c>
      <c r="EX620" s="2177"/>
      <c r="EY620" s="2177"/>
      <c r="EZ620" s="2177"/>
      <c r="FA620" s="2016"/>
    </row>
    <row r="621" spans="1:157" ht="13.2">
      <c r="B621" s="12" t="s">
        <v>615</v>
      </c>
      <c r="G621" s="2036"/>
      <c r="H621" s="2036"/>
      <c r="I621" s="2036"/>
      <c r="J621" s="2036"/>
      <c r="K621" s="2036"/>
      <c r="L621" s="2036"/>
      <c r="M621" s="2036"/>
      <c r="N621" s="2036"/>
      <c r="O621" s="2036"/>
      <c r="P621" s="2036"/>
      <c r="Q621" s="2036"/>
      <c r="R621" s="2036"/>
      <c r="U621" s="12" t="s">
        <v>615</v>
      </c>
      <c r="Z621" s="2038"/>
      <c r="AA621" s="2038"/>
      <c r="AB621" s="2038"/>
      <c r="AC621" s="2038"/>
      <c r="AD621" s="2038"/>
      <c r="AE621" s="2038"/>
      <c r="AF621" s="2038"/>
      <c r="AG621" s="2038"/>
      <c r="AH621" s="2038"/>
      <c r="AI621" s="2038"/>
      <c r="AJ621" s="2038"/>
      <c r="AK621" s="2038"/>
      <c r="AZ621" s="58"/>
      <c r="BA621" s="58"/>
      <c r="BB621" s="58"/>
      <c r="BC621" s="58"/>
      <c r="BD621" s="58"/>
      <c r="BE621" s="2015">
        <f t="shared" si="0"/>
        <v>0</v>
      </c>
      <c r="BF621" s="2016"/>
      <c r="BG621" s="2012">
        <f t="shared" si="1"/>
        <v>0</v>
      </c>
      <c r="BH621" s="2014"/>
      <c r="BI621" s="2015">
        <f t="shared" si="2"/>
        <v>0</v>
      </c>
      <c r="BJ621" s="2016"/>
      <c r="BK621" s="2012">
        <f t="shared" si="3"/>
        <v>0</v>
      </c>
      <c r="BL621" s="2014"/>
      <c r="BM621" s="58"/>
      <c r="BN621" s="2009">
        <f t="shared" si="4"/>
        <v>0</v>
      </c>
      <c r="BO621" s="2010"/>
      <c r="BP621" s="2010"/>
      <c r="BQ621" s="2010"/>
      <c r="BR621" s="2011"/>
      <c r="BS621" s="2008">
        <f t="shared" si="5"/>
        <v>0</v>
      </c>
      <c r="BT621" s="2008"/>
      <c r="BU621" s="2008"/>
      <c r="BV621" s="2008"/>
      <c r="BW621" s="2008"/>
      <c r="BX621" s="2008">
        <f t="shared" si="6"/>
        <v>0</v>
      </c>
      <c r="BY621" s="2008"/>
      <c r="BZ621" s="2008"/>
      <c r="CA621" s="2008"/>
      <c r="CB621" s="2008"/>
      <c r="CC621" s="2008">
        <f t="shared" si="7"/>
        <v>0</v>
      </c>
      <c r="CD621" s="2008"/>
      <c r="CE621" s="2008"/>
      <c r="CF621" s="2008"/>
      <c r="CG621" s="2008"/>
      <c r="CH621" s="2008">
        <f t="shared" si="8"/>
        <v>0</v>
      </c>
      <c r="CI621" s="2008"/>
      <c r="CJ621" s="2008"/>
      <c r="CK621" s="2008"/>
      <c r="CL621" s="2008"/>
      <c r="CM621" s="2008">
        <f t="shared" si="9"/>
        <v>0</v>
      </c>
      <c r="CN621" s="2008"/>
      <c r="CO621" s="2008"/>
      <c r="CP621" s="2008"/>
      <c r="CQ621" s="2008"/>
      <c r="CR621" s="265"/>
      <c r="CS621" s="2366">
        <f t="shared" si="10"/>
        <v>0</v>
      </c>
      <c r="CT621" s="2366"/>
      <c r="CU621" s="2366"/>
      <c r="CV621" s="2366"/>
      <c r="CW621" s="2366"/>
      <c r="CX621" s="2366">
        <f t="shared" si="11"/>
        <v>0</v>
      </c>
      <c r="CY621" s="2366"/>
      <c r="CZ621" s="2366"/>
      <c r="DA621" s="2366"/>
      <c r="DB621" s="2366"/>
      <c r="DC621" s="2366">
        <f t="shared" si="12"/>
        <v>0</v>
      </c>
      <c r="DD621" s="2366"/>
      <c r="DE621" s="2366"/>
      <c r="DF621" s="2366"/>
      <c r="DG621" s="2366"/>
      <c r="DH621" s="2366">
        <f t="shared" si="13"/>
        <v>0</v>
      </c>
      <c r="DI621" s="2366"/>
      <c r="DJ621" s="2366"/>
      <c r="DK621" s="2366"/>
      <c r="DL621" s="2366"/>
      <c r="DM621" s="2366">
        <f t="shared" si="14"/>
        <v>0</v>
      </c>
      <c r="DN621" s="2366"/>
      <c r="DO621" s="2366"/>
      <c r="DP621" s="2366"/>
      <c r="DQ621" s="2366"/>
      <c r="DR621" s="2366">
        <f t="shared" si="15"/>
        <v>0</v>
      </c>
      <c r="DS621" s="2366"/>
      <c r="DT621" s="2366"/>
      <c r="DU621" s="2366"/>
      <c r="DV621" s="2366"/>
      <c r="DX621" s="2015" t="str">
        <f t="shared" si="16"/>
        <v xml:space="preserve"> </v>
      </c>
      <c r="DY621" s="2177"/>
      <c r="DZ621" s="2177"/>
      <c r="EA621" s="2177"/>
      <c r="EB621" s="2016"/>
      <c r="EC621" s="2015" t="str">
        <f t="shared" si="17"/>
        <v xml:space="preserve"> </v>
      </c>
      <c r="ED621" s="2177"/>
      <c r="EE621" s="2177"/>
      <c r="EF621" s="2177"/>
      <c r="EG621" s="2016"/>
      <c r="EH621" s="2015" t="str">
        <f t="shared" si="18"/>
        <v xml:space="preserve"> </v>
      </c>
      <c r="EI621" s="2177"/>
      <c r="EJ621" s="2177"/>
      <c r="EK621" s="2177"/>
      <c r="EL621" s="2016"/>
      <c r="EM621" s="2015" t="str">
        <f t="shared" si="19"/>
        <v xml:space="preserve"> </v>
      </c>
      <c r="EN621" s="2177"/>
      <c r="EO621" s="2177"/>
      <c r="EP621" s="2177"/>
      <c r="EQ621" s="2016"/>
      <c r="ER621" s="2015" t="str">
        <f t="shared" si="20"/>
        <v xml:space="preserve"> </v>
      </c>
      <c r="ES621" s="2177"/>
      <c r="ET621" s="2177"/>
      <c r="EU621" s="2177"/>
      <c r="EV621" s="2016"/>
      <c r="EW621" s="2015" t="str">
        <f t="shared" si="21"/>
        <v xml:space="preserve"> </v>
      </c>
      <c r="EX621" s="2177"/>
      <c r="EY621" s="2177"/>
      <c r="EZ621" s="2177"/>
      <c r="FA621" s="2016"/>
    </row>
    <row r="622" spans="1:157" ht="13.2">
      <c r="B622" s="12" t="s">
        <v>17</v>
      </c>
      <c r="G622" s="2036"/>
      <c r="H622" s="2036"/>
      <c r="I622" s="2036"/>
      <c r="J622" s="2036"/>
      <c r="K622" s="2036"/>
      <c r="L622" s="2036"/>
      <c r="M622" s="2036"/>
      <c r="N622" s="2036"/>
      <c r="O622" s="2036"/>
      <c r="P622" s="2036"/>
      <c r="Q622" s="2036"/>
      <c r="R622" s="2036"/>
      <c r="U622" s="12" t="s">
        <v>17</v>
      </c>
      <c r="Z622" s="2038"/>
      <c r="AA622" s="2038"/>
      <c r="AB622" s="2038"/>
      <c r="AC622" s="2038"/>
      <c r="AD622" s="2038"/>
      <c r="AE622" s="2038"/>
      <c r="AF622" s="2038"/>
      <c r="AG622" s="2038"/>
      <c r="AH622" s="2038"/>
      <c r="AI622" s="2038"/>
      <c r="AJ622" s="2038"/>
      <c r="AK622" s="2038"/>
      <c r="AZ622" s="58"/>
      <c r="BA622" s="58"/>
      <c r="BB622" s="58"/>
      <c r="BC622" s="58"/>
      <c r="BD622" s="58"/>
      <c r="BE622" s="2015">
        <f t="shared" si="0"/>
        <v>0</v>
      </c>
      <c r="BF622" s="2016"/>
      <c r="BG622" s="2012">
        <f t="shared" si="1"/>
        <v>0</v>
      </c>
      <c r="BH622" s="2014"/>
      <c r="BI622" s="2015">
        <f t="shared" si="2"/>
        <v>0</v>
      </c>
      <c r="BJ622" s="2016"/>
      <c r="BK622" s="2012">
        <f t="shared" si="3"/>
        <v>0</v>
      </c>
      <c r="BL622" s="2014"/>
      <c r="BM622" s="58"/>
      <c r="BN622" s="2009">
        <f t="shared" si="4"/>
        <v>0</v>
      </c>
      <c r="BO622" s="2010"/>
      <c r="BP622" s="2010"/>
      <c r="BQ622" s="2010"/>
      <c r="BR622" s="2011"/>
      <c r="BS622" s="2008">
        <f t="shared" si="5"/>
        <v>13</v>
      </c>
      <c r="BT622" s="2008"/>
      <c r="BU622" s="2008"/>
      <c r="BV622" s="2008"/>
      <c r="BW622" s="2008"/>
      <c r="BX622" s="2008">
        <f t="shared" si="6"/>
        <v>0</v>
      </c>
      <c r="BY622" s="2008"/>
      <c r="BZ622" s="2008"/>
      <c r="CA622" s="2008"/>
      <c r="CB622" s="2008"/>
      <c r="CC622" s="2008">
        <f t="shared" si="7"/>
        <v>0</v>
      </c>
      <c r="CD622" s="2008"/>
      <c r="CE622" s="2008"/>
      <c r="CF622" s="2008"/>
      <c r="CG622" s="2008"/>
      <c r="CH622" s="2008">
        <f t="shared" si="8"/>
        <v>0</v>
      </c>
      <c r="CI622" s="2008"/>
      <c r="CJ622" s="2008"/>
      <c r="CK622" s="2008"/>
      <c r="CL622" s="2008"/>
      <c r="CM622" s="2008">
        <f t="shared" si="9"/>
        <v>0</v>
      </c>
      <c r="CN622" s="2008"/>
      <c r="CO622" s="2008"/>
      <c r="CP622" s="2008"/>
      <c r="CQ622" s="2008"/>
      <c r="CR622" s="265"/>
      <c r="CS622" s="2366">
        <f t="shared" si="10"/>
        <v>0</v>
      </c>
      <c r="CT622" s="2366"/>
      <c r="CU622" s="2366"/>
      <c r="CV622" s="2366"/>
      <c r="CW622" s="2366"/>
      <c r="CX622" s="2366">
        <f t="shared" si="11"/>
        <v>0</v>
      </c>
      <c r="CY622" s="2366"/>
      <c r="CZ622" s="2366"/>
      <c r="DA622" s="2366"/>
      <c r="DB622" s="2366"/>
      <c r="DC622" s="2366">
        <f t="shared" si="12"/>
        <v>0</v>
      </c>
      <c r="DD622" s="2366"/>
      <c r="DE622" s="2366"/>
      <c r="DF622" s="2366"/>
      <c r="DG622" s="2366"/>
      <c r="DH622" s="2366">
        <f t="shared" si="13"/>
        <v>0</v>
      </c>
      <c r="DI622" s="2366"/>
      <c r="DJ622" s="2366"/>
      <c r="DK622" s="2366"/>
      <c r="DL622" s="2366"/>
      <c r="DM622" s="2366">
        <f t="shared" si="14"/>
        <v>0</v>
      </c>
      <c r="DN622" s="2366"/>
      <c r="DO622" s="2366"/>
      <c r="DP622" s="2366"/>
      <c r="DQ622" s="2366"/>
      <c r="DR622" s="2366">
        <f t="shared" si="15"/>
        <v>0</v>
      </c>
      <c r="DS622" s="2366"/>
      <c r="DT622" s="2366"/>
      <c r="DU622" s="2366"/>
      <c r="DV622" s="2366"/>
      <c r="DX622" s="2015" t="str">
        <f t="shared" si="16"/>
        <v xml:space="preserve"> </v>
      </c>
      <c r="DY622" s="2177"/>
      <c r="DZ622" s="2177"/>
      <c r="EA622" s="2177"/>
      <c r="EB622" s="2016"/>
      <c r="EC622" s="2015">
        <f t="shared" si="17"/>
        <v>1121</v>
      </c>
      <c r="ED622" s="2177"/>
      <c r="EE622" s="2177"/>
      <c r="EF622" s="2177"/>
      <c r="EG622" s="2016"/>
      <c r="EH622" s="2015" t="str">
        <f t="shared" si="18"/>
        <v xml:space="preserve"> </v>
      </c>
      <c r="EI622" s="2177"/>
      <c r="EJ622" s="2177"/>
      <c r="EK622" s="2177"/>
      <c r="EL622" s="2016"/>
      <c r="EM622" s="2015" t="str">
        <f t="shared" si="19"/>
        <v xml:space="preserve"> </v>
      </c>
      <c r="EN622" s="2177"/>
      <c r="EO622" s="2177"/>
      <c r="EP622" s="2177"/>
      <c r="EQ622" s="2016"/>
      <c r="ER622" s="2015" t="str">
        <f t="shared" si="20"/>
        <v xml:space="preserve"> </v>
      </c>
      <c r="ES622" s="2177"/>
      <c r="ET622" s="2177"/>
      <c r="EU622" s="2177"/>
      <c r="EV622" s="2016"/>
      <c r="EW622" s="2015" t="str">
        <f t="shared" si="21"/>
        <v xml:space="preserve"> </v>
      </c>
      <c r="EX622" s="2177"/>
      <c r="EY622" s="2177"/>
      <c r="EZ622" s="2177"/>
      <c r="FA622" s="2016"/>
    </row>
    <row r="623" spans="1:157" ht="13.2">
      <c r="B623" s="12" t="s">
        <v>325</v>
      </c>
      <c r="G623" s="2060"/>
      <c r="H623" s="2060"/>
      <c r="I623" s="2060"/>
      <c r="J623" s="2060"/>
      <c r="K623" s="2060"/>
      <c r="L623" s="2060"/>
      <c r="O623" s="137" t="s">
        <v>212</v>
      </c>
      <c r="P623" s="2026"/>
      <c r="Q623" s="2026"/>
      <c r="R623" s="2026"/>
      <c r="U623" s="12" t="s">
        <v>325</v>
      </c>
      <c r="Z623" s="2060"/>
      <c r="AA623" s="2060"/>
      <c r="AB623" s="2060"/>
      <c r="AC623" s="2060"/>
      <c r="AD623" s="2060"/>
      <c r="AE623" s="2060"/>
      <c r="AH623" s="137" t="s">
        <v>212</v>
      </c>
      <c r="AI623" s="2026"/>
      <c r="AJ623" s="2026"/>
      <c r="AK623" s="2026"/>
      <c r="AZ623" s="58"/>
      <c r="BA623" s="58"/>
      <c r="BB623" s="58"/>
      <c r="BC623" s="58"/>
      <c r="BD623" s="58"/>
      <c r="BE623" s="2015">
        <f t="shared" si="0"/>
        <v>0</v>
      </c>
      <c r="BF623" s="2016"/>
      <c r="BG623" s="2012">
        <f t="shared" si="1"/>
        <v>0</v>
      </c>
      <c r="BH623" s="2014"/>
      <c r="BI623" s="2015">
        <f t="shared" si="2"/>
        <v>0</v>
      </c>
      <c r="BJ623" s="2016"/>
      <c r="BK623" s="2012">
        <f t="shared" si="3"/>
        <v>0</v>
      </c>
      <c r="BL623" s="2014"/>
      <c r="BM623" s="58"/>
      <c r="BN623" s="2009">
        <f t="shared" si="4"/>
        <v>0</v>
      </c>
      <c r="BO623" s="2010"/>
      <c r="BP623" s="2010"/>
      <c r="BQ623" s="2010"/>
      <c r="BR623" s="2011"/>
      <c r="BS623" s="2008">
        <f t="shared" si="5"/>
        <v>0</v>
      </c>
      <c r="BT623" s="2008"/>
      <c r="BU623" s="2008"/>
      <c r="BV623" s="2008"/>
      <c r="BW623" s="2008"/>
      <c r="BX623" s="2008">
        <f t="shared" si="6"/>
        <v>18</v>
      </c>
      <c r="BY623" s="2008"/>
      <c r="BZ623" s="2008"/>
      <c r="CA623" s="2008"/>
      <c r="CB623" s="2008"/>
      <c r="CC623" s="2008">
        <f t="shared" si="7"/>
        <v>0</v>
      </c>
      <c r="CD623" s="2008"/>
      <c r="CE623" s="2008"/>
      <c r="CF623" s="2008"/>
      <c r="CG623" s="2008"/>
      <c r="CH623" s="2008">
        <f t="shared" si="8"/>
        <v>0</v>
      </c>
      <c r="CI623" s="2008"/>
      <c r="CJ623" s="2008"/>
      <c r="CK623" s="2008"/>
      <c r="CL623" s="2008"/>
      <c r="CM623" s="2008">
        <f t="shared" si="9"/>
        <v>0</v>
      </c>
      <c r="CN623" s="2008"/>
      <c r="CO623" s="2008"/>
      <c r="CP623" s="2008"/>
      <c r="CQ623" s="2008"/>
      <c r="CR623" s="265"/>
      <c r="CS623" s="2366">
        <f t="shared" si="10"/>
        <v>0</v>
      </c>
      <c r="CT623" s="2366"/>
      <c r="CU623" s="2366"/>
      <c r="CV623" s="2366"/>
      <c r="CW623" s="2366"/>
      <c r="CX623" s="2366">
        <f t="shared" si="11"/>
        <v>0</v>
      </c>
      <c r="CY623" s="2366"/>
      <c r="CZ623" s="2366"/>
      <c r="DA623" s="2366"/>
      <c r="DB623" s="2366"/>
      <c r="DC623" s="2366">
        <f t="shared" si="12"/>
        <v>0</v>
      </c>
      <c r="DD623" s="2366"/>
      <c r="DE623" s="2366"/>
      <c r="DF623" s="2366"/>
      <c r="DG623" s="2366"/>
      <c r="DH623" s="2366">
        <f t="shared" si="13"/>
        <v>0</v>
      </c>
      <c r="DI623" s="2366"/>
      <c r="DJ623" s="2366"/>
      <c r="DK623" s="2366"/>
      <c r="DL623" s="2366"/>
      <c r="DM623" s="2366">
        <f t="shared" si="14"/>
        <v>0</v>
      </c>
      <c r="DN623" s="2366"/>
      <c r="DO623" s="2366"/>
      <c r="DP623" s="2366"/>
      <c r="DQ623" s="2366"/>
      <c r="DR623" s="2366">
        <f t="shared" si="15"/>
        <v>0</v>
      </c>
      <c r="DS623" s="2366"/>
      <c r="DT623" s="2366"/>
      <c r="DU623" s="2366"/>
      <c r="DV623" s="2366"/>
      <c r="DX623" s="2015" t="str">
        <f t="shared" si="16"/>
        <v xml:space="preserve"> </v>
      </c>
      <c r="DY623" s="2177"/>
      <c r="DZ623" s="2177"/>
      <c r="EA623" s="2177"/>
      <c r="EB623" s="2016"/>
      <c r="EC623" s="2015" t="str">
        <f t="shared" si="17"/>
        <v xml:space="preserve"> </v>
      </c>
      <c r="ED623" s="2177"/>
      <c r="EE623" s="2177"/>
      <c r="EF623" s="2177"/>
      <c r="EG623" s="2016"/>
      <c r="EH623" s="2015">
        <f t="shared" si="18"/>
        <v>1342</v>
      </c>
      <c r="EI623" s="2177"/>
      <c r="EJ623" s="2177"/>
      <c r="EK623" s="2177"/>
      <c r="EL623" s="2016"/>
      <c r="EM623" s="2015" t="str">
        <f t="shared" si="19"/>
        <v xml:space="preserve"> </v>
      </c>
      <c r="EN623" s="2177"/>
      <c r="EO623" s="2177"/>
      <c r="EP623" s="2177"/>
      <c r="EQ623" s="2016"/>
      <c r="ER623" s="2015" t="str">
        <f t="shared" si="20"/>
        <v xml:space="preserve"> </v>
      </c>
      <c r="ES623" s="2177"/>
      <c r="ET623" s="2177"/>
      <c r="EU623" s="2177"/>
      <c r="EV623" s="2016"/>
      <c r="EW623" s="2015" t="str">
        <f t="shared" si="21"/>
        <v xml:space="preserve"> </v>
      </c>
      <c r="EX623" s="2177"/>
      <c r="EY623" s="2177"/>
      <c r="EZ623" s="2177"/>
      <c r="FA623" s="2016"/>
    </row>
    <row r="624" spans="1:157" ht="13.2">
      <c r="B624" s="12" t="s">
        <v>18</v>
      </c>
      <c r="H624" s="2036"/>
      <c r="I624" s="2036"/>
      <c r="J624" s="2036"/>
      <c r="K624" s="2036"/>
      <c r="L624" s="2036"/>
      <c r="M624" s="2036"/>
      <c r="N624" s="2036"/>
      <c r="O624" s="2036"/>
      <c r="P624" s="2036"/>
      <c r="Q624" s="2036"/>
      <c r="R624" s="2036"/>
      <c r="U624" s="12" t="s">
        <v>18</v>
      </c>
      <c r="AA624" s="2036"/>
      <c r="AB624" s="2036"/>
      <c r="AC624" s="2036"/>
      <c r="AD624" s="2036"/>
      <c r="AE624" s="2036"/>
      <c r="AF624" s="2036"/>
      <c r="AG624" s="2036"/>
      <c r="AH624" s="2036"/>
      <c r="AI624" s="2036"/>
      <c r="AJ624" s="2036"/>
      <c r="AK624" s="2036"/>
      <c r="AZ624" s="58"/>
      <c r="BA624" s="58"/>
      <c r="BB624" s="58"/>
      <c r="BC624" s="58"/>
      <c r="BD624" s="58"/>
      <c r="BE624" s="2015">
        <f t="shared" si="0"/>
        <v>0</v>
      </c>
      <c r="BF624" s="2016"/>
      <c r="BG624" s="2012">
        <f t="shared" si="1"/>
        <v>0</v>
      </c>
      <c r="BH624" s="2014"/>
      <c r="BI624" s="2015">
        <f t="shared" si="2"/>
        <v>0</v>
      </c>
      <c r="BJ624" s="2016"/>
      <c r="BK624" s="2012">
        <f t="shared" si="3"/>
        <v>0</v>
      </c>
      <c r="BL624" s="2014"/>
      <c r="BM624" s="58"/>
      <c r="BN624" s="2009">
        <f t="shared" si="4"/>
        <v>0</v>
      </c>
      <c r="BO624" s="2010"/>
      <c r="BP624" s="2010"/>
      <c r="BQ624" s="2010"/>
      <c r="BR624" s="2011"/>
      <c r="BS624" s="2008">
        <f t="shared" si="5"/>
        <v>0</v>
      </c>
      <c r="BT624" s="2008"/>
      <c r="BU624" s="2008"/>
      <c r="BV624" s="2008"/>
      <c r="BW624" s="2008"/>
      <c r="BX624" s="2008">
        <f t="shared" si="6"/>
        <v>0</v>
      </c>
      <c r="BY624" s="2008"/>
      <c r="BZ624" s="2008"/>
      <c r="CA624" s="2008"/>
      <c r="CB624" s="2008"/>
      <c r="CC624" s="2008">
        <f t="shared" si="7"/>
        <v>18</v>
      </c>
      <c r="CD624" s="2008"/>
      <c r="CE624" s="2008"/>
      <c r="CF624" s="2008"/>
      <c r="CG624" s="2008"/>
      <c r="CH624" s="2008">
        <f t="shared" si="8"/>
        <v>0</v>
      </c>
      <c r="CI624" s="2008"/>
      <c r="CJ624" s="2008"/>
      <c r="CK624" s="2008"/>
      <c r="CL624" s="2008"/>
      <c r="CM624" s="2008">
        <f t="shared" si="9"/>
        <v>0</v>
      </c>
      <c r="CN624" s="2008"/>
      <c r="CO624" s="2008"/>
      <c r="CP624" s="2008"/>
      <c r="CQ624" s="2008"/>
      <c r="CR624" s="265"/>
      <c r="CS624" s="2366">
        <f t="shared" si="10"/>
        <v>0</v>
      </c>
      <c r="CT624" s="2366"/>
      <c r="CU624" s="2366"/>
      <c r="CV624" s="2366"/>
      <c r="CW624" s="2366"/>
      <c r="CX624" s="2366">
        <f t="shared" si="11"/>
        <v>0</v>
      </c>
      <c r="CY624" s="2366"/>
      <c r="CZ624" s="2366"/>
      <c r="DA624" s="2366"/>
      <c r="DB624" s="2366"/>
      <c r="DC624" s="2366">
        <f t="shared" si="12"/>
        <v>0</v>
      </c>
      <c r="DD624" s="2366"/>
      <c r="DE624" s="2366"/>
      <c r="DF624" s="2366"/>
      <c r="DG624" s="2366"/>
      <c r="DH624" s="2366">
        <f t="shared" si="13"/>
        <v>0</v>
      </c>
      <c r="DI624" s="2366"/>
      <c r="DJ624" s="2366"/>
      <c r="DK624" s="2366"/>
      <c r="DL624" s="2366"/>
      <c r="DM624" s="2366">
        <f t="shared" si="14"/>
        <v>0</v>
      </c>
      <c r="DN624" s="2366"/>
      <c r="DO624" s="2366"/>
      <c r="DP624" s="2366"/>
      <c r="DQ624" s="2366"/>
      <c r="DR624" s="2366">
        <f t="shared" si="15"/>
        <v>0</v>
      </c>
      <c r="DS624" s="2366"/>
      <c r="DT624" s="2366"/>
      <c r="DU624" s="2366"/>
      <c r="DV624" s="2366"/>
      <c r="DX624" s="2015" t="str">
        <f t="shared" si="16"/>
        <v xml:space="preserve"> </v>
      </c>
      <c r="DY624" s="2177"/>
      <c r="DZ624" s="2177"/>
      <c r="EA624" s="2177"/>
      <c r="EB624" s="2016"/>
      <c r="EC624" s="2015" t="str">
        <f t="shared" si="17"/>
        <v xml:space="preserve"> </v>
      </c>
      <c r="ED624" s="2177"/>
      <c r="EE624" s="2177"/>
      <c r="EF624" s="2177"/>
      <c r="EG624" s="2016"/>
      <c r="EH624" s="2015" t="str">
        <f t="shared" si="18"/>
        <v xml:space="preserve"> </v>
      </c>
      <c r="EI624" s="2177"/>
      <c r="EJ624" s="2177"/>
      <c r="EK624" s="2177"/>
      <c r="EL624" s="2016"/>
      <c r="EM624" s="2015">
        <f t="shared" si="19"/>
        <v>1544</v>
      </c>
      <c r="EN624" s="2177"/>
      <c r="EO624" s="2177"/>
      <c r="EP624" s="2177"/>
      <c r="EQ624" s="2016"/>
      <c r="ER624" s="2015" t="str">
        <f t="shared" si="20"/>
        <v xml:space="preserve"> </v>
      </c>
      <c r="ES624" s="2177"/>
      <c r="ET624" s="2177"/>
      <c r="EU624" s="2177"/>
      <c r="EV624" s="2016"/>
      <c r="EW624" s="2015" t="str">
        <f t="shared" si="21"/>
        <v xml:space="preserve"> </v>
      </c>
      <c r="EX624" s="2177"/>
      <c r="EY624" s="2177"/>
      <c r="EZ624" s="2177"/>
      <c r="FA624" s="2016"/>
    </row>
    <row r="625" spans="1:157" ht="13.2">
      <c r="B625" s="12" t="s">
        <v>20</v>
      </c>
      <c r="N625" s="2035" t="s">
        <v>706</v>
      </c>
      <c r="O625" s="2035"/>
      <c r="U625" s="12" t="s">
        <v>20</v>
      </c>
      <c r="AG625" s="2035" t="s">
        <v>706</v>
      </c>
      <c r="AH625" s="2035"/>
      <c r="AZ625" s="58"/>
      <c r="BA625" s="58"/>
      <c r="BB625" s="58"/>
      <c r="BC625" s="58"/>
      <c r="BD625" s="58"/>
      <c r="BE625" s="2015">
        <f t="shared" si="0"/>
        <v>0</v>
      </c>
      <c r="BF625" s="2016"/>
      <c r="BG625" s="2012">
        <f t="shared" si="1"/>
        <v>0</v>
      </c>
      <c r="BH625" s="2014"/>
      <c r="BI625" s="2015">
        <f t="shared" si="2"/>
        <v>0</v>
      </c>
      <c r="BJ625" s="2016"/>
      <c r="BK625" s="2012">
        <f t="shared" si="3"/>
        <v>0</v>
      </c>
      <c r="BL625" s="2014"/>
      <c r="BM625" s="58"/>
      <c r="BN625" s="2009">
        <f t="shared" si="4"/>
        <v>0</v>
      </c>
      <c r="BO625" s="2010"/>
      <c r="BP625" s="2010"/>
      <c r="BQ625" s="2010"/>
      <c r="BR625" s="2011"/>
      <c r="BS625" s="2008">
        <f t="shared" si="5"/>
        <v>0</v>
      </c>
      <c r="BT625" s="2008"/>
      <c r="BU625" s="2008"/>
      <c r="BV625" s="2008"/>
      <c r="BW625" s="2008"/>
      <c r="BX625" s="2008">
        <f t="shared" si="6"/>
        <v>0</v>
      </c>
      <c r="BY625" s="2008"/>
      <c r="BZ625" s="2008"/>
      <c r="CA625" s="2008"/>
      <c r="CB625" s="2008"/>
      <c r="CC625" s="2008">
        <f t="shared" si="7"/>
        <v>0</v>
      </c>
      <c r="CD625" s="2008"/>
      <c r="CE625" s="2008"/>
      <c r="CF625" s="2008"/>
      <c r="CG625" s="2008"/>
      <c r="CH625" s="2008">
        <f t="shared" si="8"/>
        <v>0</v>
      </c>
      <c r="CI625" s="2008"/>
      <c r="CJ625" s="2008"/>
      <c r="CK625" s="2008"/>
      <c r="CL625" s="2008"/>
      <c r="CM625" s="2008">
        <f t="shared" si="9"/>
        <v>0</v>
      </c>
      <c r="CN625" s="2008"/>
      <c r="CO625" s="2008"/>
      <c r="CP625" s="2008"/>
      <c r="CQ625" s="2008"/>
      <c r="CR625" s="265"/>
      <c r="CS625" s="2366">
        <f t="shared" si="10"/>
        <v>0</v>
      </c>
      <c r="CT625" s="2366"/>
      <c r="CU625" s="2366"/>
      <c r="CV625" s="2366"/>
      <c r="CW625" s="2366"/>
      <c r="CX625" s="2366">
        <f t="shared" si="11"/>
        <v>0</v>
      </c>
      <c r="CY625" s="2366"/>
      <c r="CZ625" s="2366"/>
      <c r="DA625" s="2366"/>
      <c r="DB625" s="2366"/>
      <c r="DC625" s="2366">
        <f t="shared" si="12"/>
        <v>0</v>
      </c>
      <c r="DD625" s="2366"/>
      <c r="DE625" s="2366"/>
      <c r="DF625" s="2366"/>
      <c r="DG625" s="2366"/>
      <c r="DH625" s="2366">
        <f t="shared" si="13"/>
        <v>0</v>
      </c>
      <c r="DI625" s="2366"/>
      <c r="DJ625" s="2366"/>
      <c r="DK625" s="2366"/>
      <c r="DL625" s="2366"/>
      <c r="DM625" s="2366">
        <f t="shared" si="14"/>
        <v>0</v>
      </c>
      <c r="DN625" s="2366"/>
      <c r="DO625" s="2366"/>
      <c r="DP625" s="2366"/>
      <c r="DQ625" s="2366"/>
      <c r="DR625" s="2366">
        <f t="shared" si="15"/>
        <v>0</v>
      </c>
      <c r="DS625" s="2366"/>
      <c r="DT625" s="2366"/>
      <c r="DU625" s="2366"/>
      <c r="DV625" s="2366"/>
      <c r="DX625" s="2015" t="str">
        <f t="shared" si="16"/>
        <v xml:space="preserve"> </v>
      </c>
      <c r="DY625" s="2177"/>
      <c r="DZ625" s="2177"/>
      <c r="EA625" s="2177"/>
      <c r="EB625" s="2016"/>
      <c r="EC625" s="2015" t="str">
        <f t="shared" si="17"/>
        <v xml:space="preserve"> </v>
      </c>
      <c r="ED625" s="2177"/>
      <c r="EE625" s="2177"/>
      <c r="EF625" s="2177"/>
      <c r="EG625" s="2016"/>
      <c r="EH625" s="2015" t="str">
        <f t="shared" si="18"/>
        <v xml:space="preserve"> </v>
      </c>
      <c r="EI625" s="2177"/>
      <c r="EJ625" s="2177"/>
      <c r="EK625" s="2177"/>
      <c r="EL625" s="2016"/>
      <c r="EM625" s="2015" t="str">
        <f t="shared" si="19"/>
        <v xml:space="preserve"> </v>
      </c>
      <c r="EN625" s="2177"/>
      <c r="EO625" s="2177"/>
      <c r="EP625" s="2177"/>
      <c r="EQ625" s="2016"/>
      <c r="ER625" s="2015" t="str">
        <f t="shared" si="20"/>
        <v xml:space="preserve"> </v>
      </c>
      <c r="ES625" s="2177"/>
      <c r="ET625" s="2177"/>
      <c r="EU625" s="2177"/>
      <c r="EV625" s="2016"/>
      <c r="EW625" s="2015" t="str">
        <f t="shared" si="21"/>
        <v xml:space="preserve"> </v>
      </c>
      <c r="EX625" s="2177"/>
      <c r="EY625" s="2177"/>
      <c r="EZ625" s="2177"/>
      <c r="FA625" s="2016"/>
    </row>
    <row r="626" spans="1:157" ht="13.2">
      <c r="AZ626" s="58"/>
      <c r="BA626" s="58"/>
      <c r="BB626" s="58"/>
      <c r="BC626" s="58"/>
      <c r="BD626" s="58"/>
      <c r="BE626" s="2015">
        <f t="shared" si="0"/>
        <v>0</v>
      </c>
      <c r="BF626" s="2016"/>
      <c r="BG626" s="2012">
        <f t="shared" si="1"/>
        <v>0</v>
      </c>
      <c r="BH626" s="2014"/>
      <c r="BI626" s="2015">
        <f t="shared" si="2"/>
        <v>0</v>
      </c>
      <c r="BJ626" s="2016"/>
      <c r="BK626" s="2012">
        <f t="shared" si="3"/>
        <v>0</v>
      </c>
      <c r="BL626" s="2014"/>
      <c r="BM626" s="58"/>
      <c r="BN626" s="2009">
        <f t="shared" si="4"/>
        <v>0</v>
      </c>
      <c r="BO626" s="2010"/>
      <c r="BP626" s="2010"/>
      <c r="BQ626" s="2010"/>
      <c r="BR626" s="2011"/>
      <c r="BS626" s="2008">
        <f t="shared" si="5"/>
        <v>0</v>
      </c>
      <c r="BT626" s="2008"/>
      <c r="BU626" s="2008"/>
      <c r="BV626" s="2008"/>
      <c r="BW626" s="2008"/>
      <c r="BX626" s="2008">
        <f t="shared" si="6"/>
        <v>0</v>
      </c>
      <c r="BY626" s="2008"/>
      <c r="BZ626" s="2008"/>
      <c r="CA626" s="2008"/>
      <c r="CB626" s="2008"/>
      <c r="CC626" s="2008">
        <f t="shared" si="7"/>
        <v>0</v>
      </c>
      <c r="CD626" s="2008"/>
      <c r="CE626" s="2008"/>
      <c r="CF626" s="2008"/>
      <c r="CG626" s="2008"/>
      <c r="CH626" s="2008">
        <f t="shared" si="8"/>
        <v>0</v>
      </c>
      <c r="CI626" s="2008"/>
      <c r="CJ626" s="2008"/>
      <c r="CK626" s="2008"/>
      <c r="CL626" s="2008"/>
      <c r="CM626" s="2008">
        <f t="shared" si="9"/>
        <v>0</v>
      </c>
      <c r="CN626" s="2008"/>
      <c r="CO626" s="2008"/>
      <c r="CP626" s="2008"/>
      <c r="CQ626" s="2008"/>
      <c r="CR626" s="265"/>
      <c r="CS626" s="2366">
        <f t="shared" si="10"/>
        <v>0</v>
      </c>
      <c r="CT626" s="2366"/>
      <c r="CU626" s="2366"/>
      <c r="CV626" s="2366"/>
      <c r="CW626" s="2366"/>
      <c r="CX626" s="2366">
        <f t="shared" si="11"/>
        <v>0</v>
      </c>
      <c r="CY626" s="2366"/>
      <c r="CZ626" s="2366"/>
      <c r="DA626" s="2366"/>
      <c r="DB626" s="2366"/>
      <c r="DC626" s="2366">
        <f t="shared" si="12"/>
        <v>0</v>
      </c>
      <c r="DD626" s="2366"/>
      <c r="DE626" s="2366"/>
      <c r="DF626" s="2366"/>
      <c r="DG626" s="2366"/>
      <c r="DH626" s="2366">
        <f t="shared" si="13"/>
        <v>0</v>
      </c>
      <c r="DI626" s="2366"/>
      <c r="DJ626" s="2366"/>
      <c r="DK626" s="2366"/>
      <c r="DL626" s="2366"/>
      <c r="DM626" s="2366">
        <f t="shared" si="14"/>
        <v>0</v>
      </c>
      <c r="DN626" s="2366"/>
      <c r="DO626" s="2366"/>
      <c r="DP626" s="2366"/>
      <c r="DQ626" s="2366"/>
      <c r="DR626" s="2366">
        <f t="shared" si="15"/>
        <v>0</v>
      </c>
      <c r="DS626" s="2366"/>
      <c r="DT626" s="2366"/>
      <c r="DU626" s="2366"/>
      <c r="DV626" s="2366"/>
      <c r="DX626" s="2015" t="str">
        <f t="shared" si="16"/>
        <v xml:space="preserve"> </v>
      </c>
      <c r="DY626" s="2177"/>
      <c r="DZ626" s="2177"/>
      <c r="EA626" s="2177"/>
      <c r="EB626" s="2016"/>
      <c r="EC626" s="2015" t="str">
        <f t="shared" si="17"/>
        <v xml:space="preserve"> </v>
      </c>
      <c r="ED626" s="2177"/>
      <c r="EE626" s="2177"/>
      <c r="EF626" s="2177"/>
      <c r="EG626" s="2016"/>
      <c r="EH626" s="2015" t="str">
        <f t="shared" si="18"/>
        <v xml:space="preserve"> </v>
      </c>
      <c r="EI626" s="2177"/>
      <c r="EJ626" s="2177"/>
      <c r="EK626" s="2177"/>
      <c r="EL626" s="2016"/>
      <c r="EM626" s="2015" t="str">
        <f t="shared" si="19"/>
        <v xml:space="preserve"> </v>
      </c>
      <c r="EN626" s="2177"/>
      <c r="EO626" s="2177"/>
      <c r="EP626" s="2177"/>
      <c r="EQ626" s="2016"/>
      <c r="ER626" s="2015" t="str">
        <f t="shared" si="20"/>
        <v xml:space="preserve"> </v>
      </c>
      <c r="ES626" s="2177"/>
      <c r="ET626" s="2177"/>
      <c r="EU626" s="2177"/>
      <c r="EV626" s="2016"/>
      <c r="EW626" s="2015" t="str">
        <f t="shared" si="21"/>
        <v xml:space="preserve"> </v>
      </c>
      <c r="EX626" s="2177"/>
      <c r="EY626" s="2177"/>
      <c r="EZ626" s="2177"/>
      <c r="FA626" s="2016"/>
    </row>
    <row r="627" spans="1:157" ht="12.75" customHeight="1">
      <c r="A627" s="1868" t="s">
        <v>577</v>
      </c>
      <c r="B627" s="1868"/>
      <c r="C627" s="1868"/>
      <c r="D627" s="1868"/>
      <c r="E627" s="1868"/>
      <c r="F627" s="1868"/>
      <c r="G627" s="1868"/>
      <c r="H627" s="1868"/>
      <c r="I627" s="1868"/>
      <c r="J627" s="1868"/>
      <c r="K627" s="1868"/>
      <c r="L627" s="1868"/>
      <c r="M627" s="1868"/>
      <c r="N627" s="1868"/>
      <c r="O627" s="1868"/>
      <c r="P627" s="1868"/>
      <c r="Q627" s="1868"/>
      <c r="R627" s="1868"/>
      <c r="S627" s="1868"/>
      <c r="T627" s="1868"/>
      <c r="U627" s="1868"/>
      <c r="V627" s="1868"/>
      <c r="W627" s="1868"/>
      <c r="X627" s="1868"/>
      <c r="Y627" s="1868"/>
      <c r="Z627" s="1868"/>
      <c r="AA627" s="1868"/>
      <c r="AB627" s="1868"/>
      <c r="AC627" s="1868"/>
      <c r="AD627" s="1868"/>
      <c r="AE627" s="1868"/>
      <c r="AF627" s="1868"/>
      <c r="AG627" s="1868"/>
      <c r="AH627" s="1868"/>
      <c r="AI627" s="1868"/>
      <c r="AJ627" s="1868"/>
      <c r="AK627" s="1868"/>
      <c r="AL627" s="1868"/>
      <c r="AM627" s="1868"/>
      <c r="AN627" s="1868"/>
      <c r="AO627" s="1868"/>
      <c r="AP627" s="1868"/>
      <c r="AQ627" s="1868"/>
      <c r="AR627" s="1868"/>
      <c r="AS627" s="1868"/>
      <c r="AT627" s="1566"/>
      <c r="AU627" s="1566"/>
      <c r="AV627" s="1566"/>
      <c r="AW627" s="1566"/>
      <c r="AX627" s="1566"/>
      <c r="AY627" s="1566"/>
      <c r="AZ627" s="58"/>
      <c r="BA627" s="58"/>
      <c r="BB627" s="58"/>
      <c r="BC627" s="58"/>
      <c r="BD627" s="58"/>
      <c r="BE627" s="2015">
        <f t="shared" si="0"/>
        <v>0</v>
      </c>
      <c r="BF627" s="2016"/>
      <c r="BG627" s="2012">
        <f t="shared" si="1"/>
        <v>0</v>
      </c>
      <c r="BH627" s="2014"/>
      <c r="BI627" s="2015">
        <f t="shared" si="2"/>
        <v>0</v>
      </c>
      <c r="BJ627" s="2016"/>
      <c r="BK627" s="2012">
        <f t="shared" si="3"/>
        <v>0</v>
      </c>
      <c r="BL627" s="2014"/>
      <c r="BM627" s="58"/>
      <c r="BN627" s="2009">
        <f t="shared" si="4"/>
        <v>0</v>
      </c>
      <c r="BO627" s="2010"/>
      <c r="BP627" s="2010"/>
      <c r="BQ627" s="2010"/>
      <c r="BR627" s="2011"/>
      <c r="BS627" s="2008">
        <f t="shared" si="5"/>
        <v>0</v>
      </c>
      <c r="BT627" s="2008"/>
      <c r="BU627" s="2008"/>
      <c r="BV627" s="2008"/>
      <c r="BW627" s="2008"/>
      <c r="BX627" s="2008">
        <f t="shared" si="6"/>
        <v>0</v>
      </c>
      <c r="BY627" s="2008"/>
      <c r="BZ627" s="2008"/>
      <c r="CA627" s="2008"/>
      <c r="CB627" s="2008"/>
      <c r="CC627" s="2008">
        <f t="shared" si="7"/>
        <v>0</v>
      </c>
      <c r="CD627" s="2008"/>
      <c r="CE627" s="2008"/>
      <c r="CF627" s="2008"/>
      <c r="CG627" s="2008"/>
      <c r="CH627" s="2008">
        <f t="shared" si="8"/>
        <v>0</v>
      </c>
      <c r="CI627" s="2008"/>
      <c r="CJ627" s="2008"/>
      <c r="CK627" s="2008"/>
      <c r="CL627" s="2008"/>
      <c r="CM627" s="2008">
        <f t="shared" si="9"/>
        <v>0</v>
      </c>
      <c r="CN627" s="2008"/>
      <c r="CO627" s="2008"/>
      <c r="CP627" s="2008"/>
      <c r="CQ627" s="2008"/>
      <c r="CR627" s="265"/>
      <c r="CS627" s="2366">
        <f t="shared" si="10"/>
        <v>0</v>
      </c>
      <c r="CT627" s="2366"/>
      <c r="CU627" s="2366"/>
      <c r="CV627" s="2366"/>
      <c r="CW627" s="2366"/>
      <c r="CX627" s="2366">
        <f t="shared" si="11"/>
        <v>0</v>
      </c>
      <c r="CY627" s="2366"/>
      <c r="CZ627" s="2366"/>
      <c r="DA627" s="2366"/>
      <c r="DB627" s="2366"/>
      <c r="DC627" s="2366">
        <f t="shared" si="12"/>
        <v>0</v>
      </c>
      <c r="DD627" s="2366"/>
      <c r="DE627" s="2366"/>
      <c r="DF627" s="2366"/>
      <c r="DG627" s="2366"/>
      <c r="DH627" s="2366">
        <f t="shared" si="13"/>
        <v>0</v>
      </c>
      <c r="DI627" s="2366"/>
      <c r="DJ627" s="2366"/>
      <c r="DK627" s="2366"/>
      <c r="DL627" s="2366"/>
      <c r="DM627" s="2366">
        <f t="shared" si="14"/>
        <v>0</v>
      </c>
      <c r="DN627" s="2366"/>
      <c r="DO627" s="2366"/>
      <c r="DP627" s="2366"/>
      <c r="DQ627" s="2366"/>
      <c r="DR627" s="2366">
        <f t="shared" si="15"/>
        <v>0</v>
      </c>
      <c r="DS627" s="2366"/>
      <c r="DT627" s="2366"/>
      <c r="DU627" s="2366"/>
      <c r="DV627" s="2366"/>
      <c r="DX627" s="2015" t="str">
        <f t="shared" si="16"/>
        <v xml:space="preserve"> </v>
      </c>
      <c r="DY627" s="2177"/>
      <c r="DZ627" s="2177"/>
      <c r="EA627" s="2177"/>
      <c r="EB627" s="2016"/>
      <c r="EC627" s="2015" t="str">
        <f t="shared" si="17"/>
        <v xml:space="preserve"> </v>
      </c>
      <c r="ED627" s="2177"/>
      <c r="EE627" s="2177"/>
      <c r="EF627" s="2177"/>
      <c r="EG627" s="2016"/>
      <c r="EH627" s="2015" t="str">
        <f t="shared" si="18"/>
        <v xml:space="preserve"> </v>
      </c>
      <c r="EI627" s="2177"/>
      <c r="EJ627" s="2177"/>
      <c r="EK627" s="2177"/>
      <c r="EL627" s="2016"/>
      <c r="EM627" s="2015" t="str">
        <f t="shared" si="19"/>
        <v xml:space="preserve"> </v>
      </c>
      <c r="EN627" s="2177"/>
      <c r="EO627" s="2177"/>
      <c r="EP627" s="2177"/>
      <c r="EQ627" s="2016"/>
      <c r="ER627" s="2015" t="str">
        <f t="shared" si="20"/>
        <v xml:space="preserve"> </v>
      </c>
      <c r="ES627" s="2177"/>
      <c r="ET627" s="2177"/>
      <c r="EU627" s="2177"/>
      <c r="EV627" s="2016"/>
      <c r="EW627" s="2015" t="str">
        <f t="shared" si="21"/>
        <v xml:space="preserve"> </v>
      </c>
      <c r="EX627" s="2177"/>
      <c r="EY627" s="2177"/>
      <c r="EZ627" s="2177"/>
      <c r="FA627" s="2016"/>
    </row>
    <row r="628" spans="1:157" ht="13.2">
      <c r="A628" s="1868"/>
      <c r="B628" s="1868"/>
      <c r="C628" s="1868"/>
      <c r="D628" s="1868"/>
      <c r="E628" s="1868"/>
      <c r="F628" s="1868"/>
      <c r="G628" s="1868"/>
      <c r="H628" s="1868"/>
      <c r="I628" s="1868"/>
      <c r="J628" s="1868"/>
      <c r="K628" s="1868"/>
      <c r="L628" s="1868"/>
      <c r="M628" s="1868"/>
      <c r="N628" s="1868"/>
      <c r="O628" s="1868"/>
      <c r="P628" s="1868"/>
      <c r="Q628" s="1868"/>
      <c r="R628" s="1868"/>
      <c r="S628" s="1868"/>
      <c r="T628" s="1868"/>
      <c r="U628" s="1868"/>
      <c r="V628" s="1868"/>
      <c r="W628" s="1868"/>
      <c r="X628" s="1868"/>
      <c r="Y628" s="1868"/>
      <c r="Z628" s="1868"/>
      <c r="AA628" s="1868"/>
      <c r="AB628" s="1868"/>
      <c r="AC628" s="1868"/>
      <c r="AD628" s="1868"/>
      <c r="AE628" s="1868"/>
      <c r="AF628" s="1868"/>
      <c r="AG628" s="1868"/>
      <c r="AH628" s="1868"/>
      <c r="AI628" s="1868"/>
      <c r="AJ628" s="1868"/>
      <c r="AK628" s="1868"/>
      <c r="AL628" s="1868"/>
      <c r="AM628" s="1868"/>
      <c r="AN628" s="1868"/>
      <c r="AO628" s="1868"/>
      <c r="AP628" s="1868"/>
      <c r="AQ628" s="1868"/>
      <c r="AR628" s="1868"/>
      <c r="AS628" s="1868"/>
      <c r="AT628" s="1566"/>
      <c r="AU628" s="1566"/>
      <c r="AV628" s="1566"/>
      <c r="AW628" s="1566"/>
      <c r="AX628" s="1566"/>
      <c r="AY628" s="1566"/>
      <c r="AZ628" s="58"/>
      <c r="BA628" s="58"/>
      <c r="BB628" s="58"/>
      <c r="BC628" s="58"/>
      <c r="BD628" s="58"/>
      <c r="BE628" s="2015">
        <f t="shared" si="0"/>
        <v>0</v>
      </c>
      <c r="BF628" s="2016"/>
      <c r="BG628" s="2012">
        <f t="shared" si="1"/>
        <v>0</v>
      </c>
      <c r="BH628" s="2014"/>
      <c r="BI628" s="2015">
        <f t="shared" si="2"/>
        <v>0</v>
      </c>
      <c r="BJ628" s="2016"/>
      <c r="BK628" s="2012">
        <f t="shared" si="3"/>
        <v>0</v>
      </c>
      <c r="BL628" s="2014"/>
      <c r="BM628" s="58"/>
      <c r="BN628" s="2009">
        <f t="shared" si="4"/>
        <v>0</v>
      </c>
      <c r="BO628" s="2010"/>
      <c r="BP628" s="2010"/>
      <c r="BQ628" s="2010"/>
      <c r="BR628" s="2011"/>
      <c r="BS628" s="2008">
        <f t="shared" si="5"/>
        <v>0</v>
      </c>
      <c r="BT628" s="2008"/>
      <c r="BU628" s="2008"/>
      <c r="BV628" s="2008"/>
      <c r="BW628" s="2008"/>
      <c r="BX628" s="2008">
        <f t="shared" si="6"/>
        <v>0</v>
      </c>
      <c r="BY628" s="2008"/>
      <c r="BZ628" s="2008"/>
      <c r="CA628" s="2008"/>
      <c r="CB628" s="2008"/>
      <c r="CC628" s="2008">
        <f t="shared" si="7"/>
        <v>0</v>
      </c>
      <c r="CD628" s="2008"/>
      <c r="CE628" s="2008"/>
      <c r="CF628" s="2008"/>
      <c r="CG628" s="2008"/>
      <c r="CH628" s="2008">
        <f t="shared" si="8"/>
        <v>0</v>
      </c>
      <c r="CI628" s="2008"/>
      <c r="CJ628" s="2008"/>
      <c r="CK628" s="2008"/>
      <c r="CL628" s="2008"/>
      <c r="CM628" s="2008">
        <f t="shared" si="9"/>
        <v>0</v>
      </c>
      <c r="CN628" s="2008"/>
      <c r="CO628" s="2008"/>
      <c r="CP628" s="2008"/>
      <c r="CQ628" s="2008"/>
      <c r="CR628" s="265"/>
      <c r="CS628" s="2366">
        <f t="shared" si="10"/>
        <v>0</v>
      </c>
      <c r="CT628" s="2366"/>
      <c r="CU628" s="2366"/>
      <c r="CV628" s="2366"/>
      <c r="CW628" s="2366"/>
      <c r="CX628" s="2366">
        <f t="shared" si="11"/>
        <v>0</v>
      </c>
      <c r="CY628" s="2366"/>
      <c r="CZ628" s="2366"/>
      <c r="DA628" s="2366"/>
      <c r="DB628" s="2366"/>
      <c r="DC628" s="2366">
        <f t="shared" si="12"/>
        <v>0</v>
      </c>
      <c r="DD628" s="2366"/>
      <c r="DE628" s="2366"/>
      <c r="DF628" s="2366"/>
      <c r="DG628" s="2366"/>
      <c r="DH628" s="2366">
        <f t="shared" si="13"/>
        <v>0</v>
      </c>
      <c r="DI628" s="2366"/>
      <c r="DJ628" s="2366"/>
      <c r="DK628" s="2366"/>
      <c r="DL628" s="2366"/>
      <c r="DM628" s="2366">
        <f t="shared" si="14"/>
        <v>0</v>
      </c>
      <c r="DN628" s="2366"/>
      <c r="DO628" s="2366"/>
      <c r="DP628" s="2366"/>
      <c r="DQ628" s="2366"/>
      <c r="DR628" s="2366">
        <f t="shared" si="15"/>
        <v>0</v>
      </c>
      <c r="DS628" s="2366"/>
      <c r="DT628" s="2366"/>
      <c r="DU628" s="2366"/>
      <c r="DV628" s="2366"/>
      <c r="DX628" s="2015" t="str">
        <f t="shared" si="16"/>
        <v xml:space="preserve"> </v>
      </c>
      <c r="DY628" s="2177"/>
      <c r="DZ628" s="2177"/>
      <c r="EA628" s="2177"/>
      <c r="EB628" s="2016"/>
      <c r="EC628" s="2015" t="str">
        <f t="shared" si="17"/>
        <v xml:space="preserve"> </v>
      </c>
      <c r="ED628" s="2177"/>
      <c r="EE628" s="2177"/>
      <c r="EF628" s="2177"/>
      <c r="EG628" s="2016"/>
      <c r="EH628" s="2015" t="str">
        <f t="shared" si="18"/>
        <v xml:space="preserve"> </v>
      </c>
      <c r="EI628" s="2177"/>
      <c r="EJ628" s="2177"/>
      <c r="EK628" s="2177"/>
      <c r="EL628" s="2016"/>
      <c r="EM628" s="2015" t="str">
        <f t="shared" si="19"/>
        <v xml:space="preserve"> </v>
      </c>
      <c r="EN628" s="2177"/>
      <c r="EO628" s="2177"/>
      <c r="EP628" s="2177"/>
      <c r="EQ628" s="2016"/>
      <c r="ER628" s="2015" t="str">
        <f t="shared" si="20"/>
        <v xml:space="preserve"> </v>
      </c>
      <c r="ES628" s="2177"/>
      <c r="ET628" s="2177"/>
      <c r="EU628" s="2177"/>
      <c r="EV628" s="2016"/>
      <c r="EW628" s="2015" t="str">
        <f t="shared" si="21"/>
        <v xml:space="preserve"> </v>
      </c>
      <c r="EX628" s="2177"/>
      <c r="EY628" s="2177"/>
      <c r="EZ628" s="2177"/>
      <c r="FA628" s="2016"/>
    </row>
    <row r="629" spans="1:157" ht="13.2">
      <c r="A629" s="25"/>
      <c r="B629" s="25"/>
      <c r="C629" s="25"/>
      <c r="D629" s="25"/>
      <c r="E629" s="25"/>
      <c r="F629" s="25"/>
      <c r="G629" s="3"/>
      <c r="H629" s="25"/>
      <c r="AZ629" s="58"/>
      <c r="BA629" s="58"/>
      <c r="BB629" s="58"/>
      <c r="BC629" s="58"/>
      <c r="BD629" s="58"/>
      <c r="BE629" s="2015">
        <f t="shared" si="0"/>
        <v>0</v>
      </c>
      <c r="BF629" s="2016"/>
      <c r="BG629" s="2012">
        <f t="shared" si="1"/>
        <v>0</v>
      </c>
      <c r="BH629" s="2014"/>
      <c r="BI629" s="2015">
        <f t="shared" si="2"/>
        <v>0</v>
      </c>
      <c r="BJ629" s="2016"/>
      <c r="BK629" s="2012">
        <f t="shared" si="3"/>
        <v>0</v>
      </c>
      <c r="BL629" s="2014"/>
      <c r="BM629" s="58"/>
      <c r="BN629" s="2009">
        <f t="shared" si="4"/>
        <v>0</v>
      </c>
      <c r="BO629" s="2010"/>
      <c r="BP629" s="2010"/>
      <c r="BQ629" s="2010"/>
      <c r="BR629" s="2011"/>
      <c r="BS629" s="2008">
        <f t="shared" si="5"/>
        <v>0</v>
      </c>
      <c r="BT629" s="2008"/>
      <c r="BU629" s="2008"/>
      <c r="BV629" s="2008"/>
      <c r="BW629" s="2008"/>
      <c r="BX629" s="2008">
        <f t="shared" si="6"/>
        <v>0</v>
      </c>
      <c r="BY629" s="2008"/>
      <c r="BZ629" s="2008"/>
      <c r="CA629" s="2008"/>
      <c r="CB629" s="2008"/>
      <c r="CC629" s="2008">
        <f t="shared" si="7"/>
        <v>0</v>
      </c>
      <c r="CD629" s="2008"/>
      <c r="CE629" s="2008"/>
      <c r="CF629" s="2008"/>
      <c r="CG629" s="2008"/>
      <c r="CH629" s="2008">
        <f t="shared" si="8"/>
        <v>0</v>
      </c>
      <c r="CI629" s="2008"/>
      <c r="CJ629" s="2008"/>
      <c r="CK629" s="2008"/>
      <c r="CL629" s="2008"/>
      <c r="CM629" s="2008">
        <f t="shared" si="9"/>
        <v>0</v>
      </c>
      <c r="CN629" s="2008"/>
      <c r="CO629" s="2008"/>
      <c r="CP629" s="2008"/>
      <c r="CQ629" s="2008"/>
      <c r="CR629" s="265"/>
      <c r="CS629" s="2366">
        <f t="shared" si="10"/>
        <v>0</v>
      </c>
      <c r="CT629" s="2366"/>
      <c r="CU629" s="2366"/>
      <c r="CV629" s="2366"/>
      <c r="CW629" s="2366"/>
      <c r="CX629" s="2366">
        <f t="shared" si="11"/>
        <v>0</v>
      </c>
      <c r="CY629" s="2366"/>
      <c r="CZ629" s="2366"/>
      <c r="DA629" s="2366"/>
      <c r="DB629" s="2366"/>
      <c r="DC629" s="2366">
        <f t="shared" si="12"/>
        <v>0</v>
      </c>
      <c r="DD629" s="2366"/>
      <c r="DE629" s="2366"/>
      <c r="DF629" s="2366"/>
      <c r="DG629" s="2366"/>
      <c r="DH629" s="2366">
        <f t="shared" si="13"/>
        <v>0</v>
      </c>
      <c r="DI629" s="2366"/>
      <c r="DJ629" s="2366"/>
      <c r="DK629" s="2366"/>
      <c r="DL629" s="2366"/>
      <c r="DM629" s="2366">
        <f t="shared" si="14"/>
        <v>0</v>
      </c>
      <c r="DN629" s="2366"/>
      <c r="DO629" s="2366"/>
      <c r="DP629" s="2366"/>
      <c r="DQ629" s="2366"/>
      <c r="DR629" s="2366">
        <f t="shared" si="15"/>
        <v>0</v>
      </c>
      <c r="DS629" s="2366"/>
      <c r="DT629" s="2366"/>
      <c r="DU629" s="2366"/>
      <c r="DV629" s="2366"/>
      <c r="DX629" s="2015" t="str">
        <f t="shared" si="16"/>
        <v xml:space="preserve"> </v>
      </c>
      <c r="DY629" s="2177"/>
      <c r="DZ629" s="2177"/>
      <c r="EA629" s="2177"/>
      <c r="EB629" s="2016"/>
      <c r="EC629" s="2015" t="str">
        <f t="shared" si="17"/>
        <v xml:space="preserve"> </v>
      </c>
      <c r="ED629" s="2177"/>
      <c r="EE629" s="2177"/>
      <c r="EF629" s="2177"/>
      <c r="EG629" s="2016"/>
      <c r="EH629" s="2015" t="str">
        <f t="shared" si="18"/>
        <v xml:space="preserve"> </v>
      </c>
      <c r="EI629" s="2177"/>
      <c r="EJ629" s="2177"/>
      <c r="EK629" s="2177"/>
      <c r="EL629" s="2016"/>
      <c r="EM629" s="2015" t="str">
        <f t="shared" si="19"/>
        <v xml:space="preserve"> </v>
      </c>
      <c r="EN629" s="2177"/>
      <c r="EO629" s="2177"/>
      <c r="EP629" s="2177"/>
      <c r="EQ629" s="2016"/>
      <c r="ER629" s="2015" t="str">
        <f t="shared" si="20"/>
        <v xml:space="preserve"> </v>
      </c>
      <c r="ES629" s="2177"/>
      <c r="ET629" s="2177"/>
      <c r="EU629" s="2177"/>
      <c r="EV629" s="2016"/>
      <c r="EW629" s="2015" t="str">
        <f t="shared" si="21"/>
        <v xml:space="preserve"> </v>
      </c>
      <c r="EX629" s="2177"/>
      <c r="EY629" s="2177"/>
      <c r="EZ629" s="2177"/>
      <c r="FA629" s="2016"/>
    </row>
    <row r="630" spans="1:157" ht="13.2">
      <c r="A630" s="50" t="s">
        <v>328</v>
      </c>
      <c r="B630" s="50"/>
      <c r="C630" s="50" t="s">
        <v>21</v>
      </c>
      <c r="AZ630" s="58"/>
      <c r="BA630" s="58"/>
      <c r="BB630" s="58"/>
      <c r="BC630" s="58"/>
      <c r="BD630" s="58"/>
      <c r="BE630" s="2015">
        <f t="shared" si="0"/>
        <v>0</v>
      </c>
      <c r="BF630" s="2016"/>
      <c r="BG630" s="2012">
        <f t="shared" si="1"/>
        <v>0</v>
      </c>
      <c r="BH630" s="2014"/>
      <c r="BI630" s="2015">
        <f t="shared" si="2"/>
        <v>0</v>
      </c>
      <c r="BJ630" s="2016"/>
      <c r="BK630" s="2012">
        <f t="shared" si="3"/>
        <v>0</v>
      </c>
      <c r="BL630" s="2014"/>
      <c r="BM630" s="58"/>
      <c r="BN630" s="2009">
        <f t="shared" si="4"/>
        <v>0</v>
      </c>
      <c r="BO630" s="2010"/>
      <c r="BP630" s="2010"/>
      <c r="BQ630" s="2010"/>
      <c r="BR630" s="2011"/>
      <c r="BS630" s="2008">
        <f t="shared" si="5"/>
        <v>0</v>
      </c>
      <c r="BT630" s="2008"/>
      <c r="BU630" s="2008"/>
      <c r="BV630" s="2008"/>
      <c r="BW630" s="2008"/>
      <c r="BX630" s="2008">
        <f t="shared" si="6"/>
        <v>0</v>
      </c>
      <c r="BY630" s="2008"/>
      <c r="BZ630" s="2008"/>
      <c r="CA630" s="2008"/>
      <c r="CB630" s="2008"/>
      <c r="CC630" s="2008">
        <f t="shared" si="7"/>
        <v>0</v>
      </c>
      <c r="CD630" s="2008"/>
      <c r="CE630" s="2008"/>
      <c r="CF630" s="2008"/>
      <c r="CG630" s="2008"/>
      <c r="CH630" s="2008">
        <f t="shared" si="8"/>
        <v>0</v>
      </c>
      <c r="CI630" s="2008"/>
      <c r="CJ630" s="2008"/>
      <c r="CK630" s="2008"/>
      <c r="CL630" s="2008"/>
      <c r="CM630" s="2008">
        <f t="shared" si="9"/>
        <v>0</v>
      </c>
      <c r="CN630" s="2008"/>
      <c r="CO630" s="2008"/>
      <c r="CP630" s="2008"/>
      <c r="CQ630" s="2008"/>
      <c r="CR630" s="265"/>
      <c r="CS630" s="2366">
        <f t="shared" si="10"/>
        <v>0</v>
      </c>
      <c r="CT630" s="2366"/>
      <c r="CU630" s="2366"/>
      <c r="CV630" s="2366"/>
      <c r="CW630" s="2366"/>
      <c r="CX630" s="2366">
        <f t="shared" si="11"/>
        <v>0</v>
      </c>
      <c r="CY630" s="2366"/>
      <c r="CZ630" s="2366"/>
      <c r="DA630" s="2366"/>
      <c r="DB630" s="2366"/>
      <c r="DC630" s="2366">
        <f t="shared" si="12"/>
        <v>0</v>
      </c>
      <c r="DD630" s="2366"/>
      <c r="DE630" s="2366"/>
      <c r="DF630" s="2366"/>
      <c r="DG630" s="2366"/>
      <c r="DH630" s="2366">
        <f t="shared" si="13"/>
        <v>0</v>
      </c>
      <c r="DI630" s="2366"/>
      <c r="DJ630" s="2366"/>
      <c r="DK630" s="2366"/>
      <c r="DL630" s="2366"/>
      <c r="DM630" s="2366">
        <f t="shared" si="14"/>
        <v>0</v>
      </c>
      <c r="DN630" s="2366"/>
      <c r="DO630" s="2366"/>
      <c r="DP630" s="2366"/>
      <c r="DQ630" s="2366"/>
      <c r="DR630" s="2366">
        <f t="shared" si="15"/>
        <v>0</v>
      </c>
      <c r="DS630" s="2366"/>
      <c r="DT630" s="2366"/>
      <c r="DU630" s="2366"/>
      <c r="DV630" s="2366"/>
      <c r="DX630" s="2015" t="str">
        <f t="shared" si="16"/>
        <v xml:space="preserve"> </v>
      </c>
      <c r="DY630" s="2177"/>
      <c r="DZ630" s="2177"/>
      <c r="EA630" s="2177"/>
      <c r="EB630" s="2016"/>
      <c r="EC630" s="2015" t="str">
        <f t="shared" si="17"/>
        <v xml:space="preserve"> </v>
      </c>
      <c r="ED630" s="2177"/>
      <c r="EE630" s="2177"/>
      <c r="EF630" s="2177"/>
      <c r="EG630" s="2016"/>
      <c r="EH630" s="2015" t="str">
        <f t="shared" si="18"/>
        <v xml:space="preserve"> </v>
      </c>
      <c r="EI630" s="2177"/>
      <c r="EJ630" s="2177"/>
      <c r="EK630" s="2177"/>
      <c r="EL630" s="2016"/>
      <c r="EM630" s="2015" t="str">
        <f t="shared" si="19"/>
        <v xml:space="preserve"> </v>
      </c>
      <c r="EN630" s="2177"/>
      <c r="EO630" s="2177"/>
      <c r="EP630" s="2177"/>
      <c r="EQ630" s="2016"/>
      <c r="ER630" s="2015" t="str">
        <f t="shared" si="20"/>
        <v xml:space="preserve"> </v>
      </c>
      <c r="ES630" s="2177"/>
      <c r="ET630" s="2177"/>
      <c r="EU630" s="2177"/>
      <c r="EV630" s="2016"/>
      <c r="EW630" s="2015" t="str">
        <f t="shared" si="21"/>
        <v xml:space="preserve"> </v>
      </c>
      <c r="EX630" s="2177"/>
      <c r="EY630" s="2177"/>
      <c r="EZ630" s="2177"/>
      <c r="FA630" s="2016"/>
    </row>
    <row r="631" spans="1:157" ht="13.2">
      <c r="A631" s="50"/>
      <c r="B631" s="50"/>
      <c r="C631" s="50"/>
      <c r="AZ631" s="58"/>
      <c r="BA631" s="58"/>
      <c r="BB631" s="58"/>
      <c r="BC631" s="58"/>
      <c r="BD631" s="58"/>
      <c r="BE631" s="2015">
        <f t="shared" si="0"/>
        <v>0</v>
      </c>
      <c r="BF631" s="2016"/>
      <c r="BG631" s="2012">
        <f t="shared" si="1"/>
        <v>0</v>
      </c>
      <c r="BH631" s="2014"/>
      <c r="BI631" s="2015">
        <f t="shared" si="2"/>
        <v>0</v>
      </c>
      <c r="BJ631" s="2016"/>
      <c r="BK631" s="2012">
        <f t="shared" si="3"/>
        <v>0</v>
      </c>
      <c r="BL631" s="2014"/>
      <c r="BM631" s="58"/>
      <c r="BN631" s="2009">
        <f t="shared" si="4"/>
        <v>0</v>
      </c>
      <c r="BO631" s="2010"/>
      <c r="BP631" s="2010"/>
      <c r="BQ631" s="2010"/>
      <c r="BR631" s="2011"/>
      <c r="BS631" s="2008">
        <f t="shared" si="5"/>
        <v>0</v>
      </c>
      <c r="BT631" s="2008"/>
      <c r="BU631" s="2008"/>
      <c r="BV631" s="2008"/>
      <c r="BW631" s="2008"/>
      <c r="BX631" s="2008">
        <f t="shared" si="6"/>
        <v>0</v>
      </c>
      <c r="BY631" s="2008"/>
      <c r="BZ631" s="2008"/>
      <c r="CA631" s="2008"/>
      <c r="CB631" s="2008"/>
      <c r="CC631" s="2008">
        <f t="shared" si="7"/>
        <v>0</v>
      </c>
      <c r="CD631" s="2008"/>
      <c r="CE631" s="2008"/>
      <c r="CF631" s="2008"/>
      <c r="CG631" s="2008"/>
      <c r="CH631" s="2008">
        <f t="shared" si="8"/>
        <v>0</v>
      </c>
      <c r="CI631" s="2008"/>
      <c r="CJ631" s="2008"/>
      <c r="CK631" s="2008"/>
      <c r="CL631" s="2008"/>
      <c r="CM631" s="2008">
        <f t="shared" si="9"/>
        <v>0</v>
      </c>
      <c r="CN631" s="2008"/>
      <c r="CO631" s="2008"/>
      <c r="CP631" s="2008"/>
      <c r="CQ631" s="2008"/>
      <c r="CR631" s="265"/>
      <c r="CS631" s="2366">
        <f t="shared" si="10"/>
        <v>0</v>
      </c>
      <c r="CT631" s="2366"/>
      <c r="CU631" s="2366"/>
      <c r="CV631" s="2366"/>
      <c r="CW631" s="2366"/>
      <c r="CX631" s="2366">
        <f t="shared" si="11"/>
        <v>0</v>
      </c>
      <c r="CY631" s="2366"/>
      <c r="CZ631" s="2366"/>
      <c r="DA631" s="2366"/>
      <c r="DB631" s="2366"/>
      <c r="DC631" s="2366">
        <f t="shared" si="12"/>
        <v>0</v>
      </c>
      <c r="DD631" s="2366"/>
      <c r="DE631" s="2366"/>
      <c r="DF631" s="2366"/>
      <c r="DG631" s="2366"/>
      <c r="DH631" s="2366">
        <f t="shared" si="13"/>
        <v>0</v>
      </c>
      <c r="DI631" s="2366"/>
      <c r="DJ631" s="2366"/>
      <c r="DK631" s="2366"/>
      <c r="DL631" s="2366"/>
      <c r="DM631" s="2366">
        <f t="shared" si="14"/>
        <v>0</v>
      </c>
      <c r="DN631" s="2366"/>
      <c r="DO631" s="2366"/>
      <c r="DP631" s="2366"/>
      <c r="DQ631" s="2366"/>
      <c r="DR631" s="2366">
        <f t="shared" si="15"/>
        <v>0</v>
      </c>
      <c r="DS631" s="2366"/>
      <c r="DT631" s="2366"/>
      <c r="DU631" s="2366"/>
      <c r="DV631" s="2366"/>
      <c r="DX631" s="2015" t="str">
        <f t="shared" si="16"/>
        <v xml:space="preserve"> </v>
      </c>
      <c r="DY631" s="2177"/>
      <c r="DZ631" s="2177"/>
      <c r="EA631" s="2177"/>
      <c r="EB631" s="2016"/>
      <c r="EC631" s="2015" t="str">
        <f t="shared" si="17"/>
        <v xml:space="preserve"> </v>
      </c>
      <c r="ED631" s="2177"/>
      <c r="EE631" s="2177"/>
      <c r="EF631" s="2177"/>
      <c r="EG631" s="2016"/>
      <c r="EH631" s="2015" t="str">
        <f t="shared" si="18"/>
        <v xml:space="preserve"> </v>
      </c>
      <c r="EI631" s="2177"/>
      <c r="EJ631" s="2177"/>
      <c r="EK631" s="2177"/>
      <c r="EL631" s="2016"/>
      <c r="EM631" s="2015" t="str">
        <f t="shared" si="19"/>
        <v xml:space="preserve"> </v>
      </c>
      <c r="EN631" s="2177"/>
      <c r="EO631" s="2177"/>
      <c r="EP631" s="2177"/>
      <c r="EQ631" s="2016"/>
      <c r="ER631" s="2015" t="str">
        <f t="shared" si="20"/>
        <v xml:space="preserve"> </v>
      </c>
      <c r="ES631" s="2177"/>
      <c r="ET631" s="2177"/>
      <c r="EU631" s="2177"/>
      <c r="EV631" s="2016"/>
      <c r="EW631" s="2015" t="str">
        <f t="shared" si="21"/>
        <v xml:space="preserve"> </v>
      </c>
      <c r="EX631" s="2177"/>
      <c r="EY631" s="2177"/>
      <c r="EZ631" s="2177"/>
      <c r="FA631" s="2016"/>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5">
        <f t="shared" si="0"/>
        <v>0</v>
      </c>
      <c r="BF632" s="2016"/>
      <c r="BG632" s="2012">
        <f t="shared" si="1"/>
        <v>0</v>
      </c>
      <c r="BH632" s="2014"/>
      <c r="BI632" s="2015">
        <f t="shared" si="2"/>
        <v>0</v>
      </c>
      <c r="BJ632" s="2016"/>
      <c r="BK632" s="2012">
        <f t="shared" si="3"/>
        <v>0</v>
      </c>
      <c r="BL632" s="2014"/>
      <c r="BM632" s="58"/>
      <c r="BN632" s="2009">
        <f t="shared" si="4"/>
        <v>0</v>
      </c>
      <c r="BO632" s="2010"/>
      <c r="BP632" s="2010"/>
      <c r="BQ632" s="2010"/>
      <c r="BR632" s="2011"/>
      <c r="BS632" s="2008">
        <f t="shared" si="5"/>
        <v>0</v>
      </c>
      <c r="BT632" s="2008"/>
      <c r="BU632" s="2008"/>
      <c r="BV632" s="2008"/>
      <c r="BW632" s="2008"/>
      <c r="BX632" s="2008">
        <f t="shared" si="6"/>
        <v>0</v>
      </c>
      <c r="BY632" s="2008"/>
      <c r="BZ632" s="2008"/>
      <c r="CA632" s="2008"/>
      <c r="CB632" s="2008"/>
      <c r="CC632" s="2008">
        <f t="shared" si="7"/>
        <v>0</v>
      </c>
      <c r="CD632" s="2008"/>
      <c r="CE632" s="2008"/>
      <c r="CF632" s="2008"/>
      <c r="CG632" s="2008"/>
      <c r="CH632" s="2008">
        <f t="shared" si="8"/>
        <v>0</v>
      </c>
      <c r="CI632" s="2008"/>
      <c r="CJ632" s="2008"/>
      <c r="CK632" s="2008"/>
      <c r="CL632" s="2008"/>
      <c r="CM632" s="2008">
        <f t="shared" si="9"/>
        <v>0</v>
      </c>
      <c r="CN632" s="2008"/>
      <c r="CO632" s="2008"/>
      <c r="CP632" s="2008"/>
      <c r="CQ632" s="2008"/>
      <c r="CR632" s="265"/>
      <c r="CS632" s="2366">
        <f t="shared" si="10"/>
        <v>0</v>
      </c>
      <c r="CT632" s="2366"/>
      <c r="CU632" s="2366"/>
      <c r="CV632" s="2366"/>
      <c r="CW632" s="2366"/>
      <c r="CX632" s="2366">
        <f t="shared" si="11"/>
        <v>0</v>
      </c>
      <c r="CY632" s="2366"/>
      <c r="CZ632" s="2366"/>
      <c r="DA632" s="2366"/>
      <c r="DB632" s="2366"/>
      <c r="DC632" s="2366">
        <f t="shared" si="12"/>
        <v>0</v>
      </c>
      <c r="DD632" s="2366"/>
      <c r="DE632" s="2366"/>
      <c r="DF632" s="2366"/>
      <c r="DG632" s="2366"/>
      <c r="DH632" s="2366">
        <f t="shared" si="13"/>
        <v>0</v>
      </c>
      <c r="DI632" s="2366"/>
      <c r="DJ632" s="2366"/>
      <c r="DK632" s="2366"/>
      <c r="DL632" s="2366"/>
      <c r="DM632" s="2366">
        <f t="shared" si="14"/>
        <v>0</v>
      </c>
      <c r="DN632" s="2366"/>
      <c r="DO632" s="2366"/>
      <c r="DP632" s="2366"/>
      <c r="DQ632" s="2366"/>
      <c r="DR632" s="2366">
        <f t="shared" si="15"/>
        <v>0</v>
      </c>
      <c r="DS632" s="2366"/>
      <c r="DT632" s="2366"/>
      <c r="DU632" s="2366"/>
      <c r="DV632" s="2366"/>
      <c r="DX632" s="2015" t="str">
        <f t="shared" si="16"/>
        <v xml:space="preserve"> </v>
      </c>
      <c r="DY632" s="2177"/>
      <c r="DZ632" s="2177"/>
      <c r="EA632" s="2177"/>
      <c r="EB632" s="2016"/>
      <c r="EC632" s="2015" t="str">
        <f t="shared" si="17"/>
        <v xml:space="preserve"> </v>
      </c>
      <c r="ED632" s="2177"/>
      <c r="EE632" s="2177"/>
      <c r="EF632" s="2177"/>
      <c r="EG632" s="2016"/>
      <c r="EH632" s="2015" t="str">
        <f t="shared" si="18"/>
        <v xml:space="preserve"> </v>
      </c>
      <c r="EI632" s="2177"/>
      <c r="EJ632" s="2177"/>
      <c r="EK632" s="2177"/>
      <c r="EL632" s="2016"/>
      <c r="EM632" s="2015" t="str">
        <f t="shared" si="19"/>
        <v xml:space="preserve"> </v>
      </c>
      <c r="EN632" s="2177"/>
      <c r="EO632" s="2177"/>
      <c r="EP632" s="2177"/>
      <c r="EQ632" s="2016"/>
      <c r="ER632" s="2015" t="str">
        <f t="shared" si="20"/>
        <v xml:space="preserve"> </v>
      </c>
      <c r="ES632" s="2177"/>
      <c r="ET632" s="2177"/>
      <c r="EU632" s="2177"/>
      <c r="EV632" s="2016"/>
      <c r="EW632" s="2015" t="str">
        <f t="shared" si="21"/>
        <v xml:space="preserve"> </v>
      </c>
      <c r="EX632" s="2177"/>
      <c r="EY632" s="2177"/>
      <c r="EZ632" s="2177"/>
      <c r="FA632" s="2016"/>
    </row>
    <row r="633" spans="1:157" ht="13.2">
      <c r="B633" s="909"/>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5">
        <f t="shared" si="0"/>
        <v>0</v>
      </c>
      <c r="BF633" s="2016"/>
      <c r="BG633" s="2012">
        <f t="shared" si="1"/>
        <v>0</v>
      </c>
      <c r="BH633" s="2014"/>
      <c r="BI633" s="2015">
        <f t="shared" si="2"/>
        <v>0</v>
      </c>
      <c r="BJ633" s="2016"/>
      <c r="BK633" s="2012">
        <f t="shared" si="3"/>
        <v>0</v>
      </c>
      <c r="BL633" s="2014"/>
      <c r="BM633" s="58"/>
      <c r="BN633" s="2009">
        <f t="shared" si="4"/>
        <v>0</v>
      </c>
      <c r="BO633" s="2010"/>
      <c r="BP633" s="2010"/>
      <c r="BQ633" s="2010"/>
      <c r="BR633" s="2011"/>
      <c r="BS633" s="2008">
        <f t="shared" si="5"/>
        <v>0</v>
      </c>
      <c r="BT633" s="2008"/>
      <c r="BU633" s="2008"/>
      <c r="BV633" s="2008"/>
      <c r="BW633" s="2008"/>
      <c r="BX633" s="2008">
        <f t="shared" si="6"/>
        <v>0</v>
      </c>
      <c r="BY633" s="2008"/>
      <c r="BZ633" s="2008"/>
      <c r="CA633" s="2008"/>
      <c r="CB633" s="2008"/>
      <c r="CC633" s="2008">
        <f t="shared" si="7"/>
        <v>0</v>
      </c>
      <c r="CD633" s="2008"/>
      <c r="CE633" s="2008"/>
      <c r="CF633" s="2008"/>
      <c r="CG633" s="2008"/>
      <c r="CH633" s="2008">
        <f t="shared" si="8"/>
        <v>0</v>
      </c>
      <c r="CI633" s="2008"/>
      <c r="CJ633" s="2008"/>
      <c r="CK633" s="2008"/>
      <c r="CL633" s="2008"/>
      <c r="CM633" s="2008">
        <f t="shared" si="9"/>
        <v>0</v>
      </c>
      <c r="CN633" s="2008"/>
      <c r="CO633" s="2008"/>
      <c r="CP633" s="2008"/>
      <c r="CQ633" s="2008"/>
      <c r="CR633" s="265"/>
      <c r="CS633" s="2366">
        <f t="shared" si="10"/>
        <v>0</v>
      </c>
      <c r="CT633" s="2366"/>
      <c r="CU633" s="2366"/>
      <c r="CV633" s="2366"/>
      <c r="CW633" s="2366"/>
      <c r="CX633" s="2366">
        <f t="shared" si="11"/>
        <v>0</v>
      </c>
      <c r="CY633" s="2366"/>
      <c r="CZ633" s="2366"/>
      <c r="DA633" s="2366"/>
      <c r="DB633" s="2366"/>
      <c r="DC633" s="2366">
        <f t="shared" si="12"/>
        <v>0</v>
      </c>
      <c r="DD633" s="2366"/>
      <c r="DE633" s="2366"/>
      <c r="DF633" s="2366"/>
      <c r="DG633" s="2366"/>
      <c r="DH633" s="2366">
        <f t="shared" si="13"/>
        <v>0</v>
      </c>
      <c r="DI633" s="2366"/>
      <c r="DJ633" s="2366"/>
      <c r="DK633" s="2366"/>
      <c r="DL633" s="2366"/>
      <c r="DM633" s="2366">
        <f t="shared" si="14"/>
        <v>0</v>
      </c>
      <c r="DN633" s="2366"/>
      <c r="DO633" s="2366"/>
      <c r="DP633" s="2366"/>
      <c r="DQ633" s="2366"/>
      <c r="DR633" s="2366">
        <f t="shared" si="15"/>
        <v>0</v>
      </c>
      <c r="DS633" s="2366"/>
      <c r="DT633" s="2366"/>
      <c r="DU633" s="2366"/>
      <c r="DV633" s="2366"/>
      <c r="DX633" s="2015" t="str">
        <f t="shared" si="16"/>
        <v xml:space="preserve"> </v>
      </c>
      <c r="DY633" s="2177"/>
      <c r="DZ633" s="2177"/>
      <c r="EA633" s="2177"/>
      <c r="EB633" s="2016"/>
      <c r="EC633" s="2015" t="str">
        <f t="shared" si="17"/>
        <v xml:space="preserve"> </v>
      </c>
      <c r="ED633" s="2177"/>
      <c r="EE633" s="2177"/>
      <c r="EF633" s="2177"/>
      <c r="EG633" s="2016"/>
      <c r="EH633" s="2015" t="str">
        <f t="shared" si="18"/>
        <v xml:space="preserve"> </v>
      </c>
      <c r="EI633" s="2177"/>
      <c r="EJ633" s="2177"/>
      <c r="EK633" s="2177"/>
      <c r="EL633" s="2016"/>
      <c r="EM633" s="2015" t="str">
        <f t="shared" si="19"/>
        <v xml:space="preserve"> </v>
      </c>
      <c r="EN633" s="2177"/>
      <c r="EO633" s="2177"/>
      <c r="EP633" s="2177"/>
      <c r="EQ633" s="2016"/>
      <c r="ER633" s="2015" t="str">
        <f t="shared" si="20"/>
        <v xml:space="preserve"> </v>
      </c>
      <c r="ES633" s="2177"/>
      <c r="ET633" s="2177"/>
      <c r="EU633" s="2177"/>
      <c r="EV633" s="2016"/>
      <c r="EW633" s="2015" t="str">
        <f t="shared" si="21"/>
        <v xml:space="preserve"> </v>
      </c>
      <c r="EX633" s="2177"/>
      <c r="EY633" s="2177"/>
      <c r="EZ633" s="2177"/>
      <c r="FA633" s="2016"/>
    </row>
    <row r="634" spans="1:157" s="1805" customFormat="1" ht="12.75" customHeight="1">
      <c r="B634" s="2496" t="s">
        <v>484</v>
      </c>
      <c r="C634" s="2497"/>
      <c r="D634" s="2497"/>
      <c r="E634" s="2497"/>
      <c r="F634" s="2497"/>
      <c r="G634" s="2497"/>
      <c r="H634" s="2497"/>
      <c r="I634" s="2497"/>
      <c r="J634" s="2497"/>
      <c r="K634" s="2497"/>
      <c r="L634" s="2497"/>
      <c r="M634" s="2497"/>
      <c r="N634" s="2498"/>
      <c r="O634" s="2240" t="s">
        <v>2374</v>
      </c>
      <c r="P634" s="2163"/>
      <c r="Q634" s="2164"/>
      <c r="R634" s="2240" t="s">
        <v>2372</v>
      </c>
      <c r="S634" s="2163"/>
      <c r="T634" s="2164"/>
      <c r="U634" s="2556" t="s">
        <v>485</v>
      </c>
      <c r="V634" s="2556"/>
      <c r="W634" s="2557"/>
      <c r="X634" s="2240" t="s">
        <v>2148</v>
      </c>
      <c r="Y634" s="2163"/>
      <c r="Z634" s="2163"/>
      <c r="AA634" s="2163"/>
      <c r="AB634" s="2164"/>
      <c r="AC634" s="2414" t="s">
        <v>2146</v>
      </c>
      <c r="AD634" s="2415"/>
      <c r="AE634" s="2416"/>
      <c r="AF634" s="2240" t="s">
        <v>2149</v>
      </c>
      <c r="AG634" s="2163"/>
      <c r="AH634" s="2163"/>
      <c r="AI634" s="2163"/>
      <c r="AJ634" s="2164"/>
      <c r="AK634" s="2403" t="s">
        <v>2150</v>
      </c>
      <c r="AL634" s="2404"/>
      <c r="AM634" s="2404"/>
      <c r="AN634" s="2405"/>
      <c r="AO634" s="2250" t="s">
        <v>486</v>
      </c>
      <c r="AP634" s="2250"/>
      <c r="AQ634" s="2250"/>
      <c r="AR634" s="2250"/>
      <c r="AS634" s="2250"/>
      <c r="AT634" s="1806"/>
      <c r="AU634" s="1806"/>
      <c r="AV634" s="1806"/>
      <c r="AW634" s="1806"/>
      <c r="AX634" s="1806"/>
      <c r="AY634" s="1806"/>
      <c r="AZ634" s="181"/>
      <c r="BA634" s="181"/>
      <c r="BB634" s="181"/>
      <c r="BC634" s="181"/>
      <c r="BD634" s="181"/>
      <c r="BE634" s="2015">
        <f t="shared" si="0"/>
        <v>0</v>
      </c>
      <c r="BF634" s="2016"/>
      <c r="BG634" s="2012">
        <f t="shared" si="1"/>
        <v>0</v>
      </c>
      <c r="BH634" s="2014"/>
      <c r="BI634" s="2015">
        <f t="shared" si="2"/>
        <v>0</v>
      </c>
      <c r="BJ634" s="2016"/>
      <c r="BK634" s="2012">
        <f t="shared" si="3"/>
        <v>0</v>
      </c>
      <c r="BL634" s="2014"/>
      <c r="BM634" s="181"/>
      <c r="BN634" s="2009">
        <f t="shared" si="4"/>
        <v>0</v>
      </c>
      <c r="BO634" s="2010"/>
      <c r="BP634" s="2010"/>
      <c r="BQ634" s="2010"/>
      <c r="BR634" s="2011"/>
      <c r="BS634" s="2008">
        <f t="shared" si="5"/>
        <v>0</v>
      </c>
      <c r="BT634" s="2008"/>
      <c r="BU634" s="2008"/>
      <c r="BV634" s="2008"/>
      <c r="BW634" s="2008"/>
      <c r="BX634" s="2008">
        <f t="shared" si="6"/>
        <v>0</v>
      </c>
      <c r="BY634" s="2008"/>
      <c r="BZ634" s="2008"/>
      <c r="CA634" s="2008"/>
      <c r="CB634" s="2008"/>
      <c r="CC634" s="2008">
        <f t="shared" si="7"/>
        <v>0</v>
      </c>
      <c r="CD634" s="2008"/>
      <c r="CE634" s="2008"/>
      <c r="CF634" s="2008"/>
      <c r="CG634" s="2008"/>
      <c r="CH634" s="2008">
        <f t="shared" si="8"/>
        <v>0</v>
      </c>
      <c r="CI634" s="2008"/>
      <c r="CJ634" s="2008"/>
      <c r="CK634" s="2008"/>
      <c r="CL634" s="2008"/>
      <c r="CM634" s="2008">
        <f t="shared" si="9"/>
        <v>0</v>
      </c>
      <c r="CN634" s="2008"/>
      <c r="CO634" s="2008"/>
      <c r="CP634" s="2008"/>
      <c r="CQ634" s="2008"/>
      <c r="CR634" s="265"/>
      <c r="CS634" s="2366">
        <f t="shared" si="10"/>
        <v>0</v>
      </c>
      <c r="CT634" s="2366"/>
      <c r="CU634" s="2366"/>
      <c r="CV634" s="2366"/>
      <c r="CW634" s="2366"/>
      <c r="CX634" s="2366">
        <f t="shared" si="11"/>
        <v>0</v>
      </c>
      <c r="CY634" s="2366"/>
      <c r="CZ634" s="2366"/>
      <c r="DA634" s="2366"/>
      <c r="DB634" s="2366"/>
      <c r="DC634" s="2366">
        <f t="shared" si="12"/>
        <v>0</v>
      </c>
      <c r="DD634" s="2366"/>
      <c r="DE634" s="2366"/>
      <c r="DF634" s="2366"/>
      <c r="DG634" s="2366"/>
      <c r="DH634" s="2366">
        <f t="shared" si="13"/>
        <v>0</v>
      </c>
      <c r="DI634" s="2366"/>
      <c r="DJ634" s="2366"/>
      <c r="DK634" s="2366"/>
      <c r="DL634" s="2366"/>
      <c r="DM634" s="2366">
        <f t="shared" si="14"/>
        <v>0</v>
      </c>
      <c r="DN634" s="2366"/>
      <c r="DO634" s="2366"/>
      <c r="DP634" s="2366"/>
      <c r="DQ634" s="2366"/>
      <c r="DR634" s="2366">
        <f t="shared" si="15"/>
        <v>0</v>
      </c>
      <c r="DS634" s="2366"/>
      <c r="DT634" s="2366"/>
      <c r="DU634" s="2366"/>
      <c r="DV634" s="2366"/>
      <c r="DX634" s="2015" t="str">
        <f t="shared" si="16"/>
        <v xml:space="preserve"> </v>
      </c>
      <c r="DY634" s="2177"/>
      <c r="DZ634" s="2177"/>
      <c r="EA634" s="2177"/>
      <c r="EB634" s="2016"/>
      <c r="EC634" s="2015" t="str">
        <f t="shared" si="17"/>
        <v xml:space="preserve"> </v>
      </c>
      <c r="ED634" s="2177"/>
      <c r="EE634" s="2177"/>
      <c r="EF634" s="2177"/>
      <c r="EG634" s="2016"/>
      <c r="EH634" s="2015" t="str">
        <f t="shared" si="18"/>
        <v xml:space="preserve"> </v>
      </c>
      <c r="EI634" s="2177"/>
      <c r="EJ634" s="2177"/>
      <c r="EK634" s="2177"/>
      <c r="EL634" s="2016"/>
      <c r="EM634" s="2015" t="str">
        <f t="shared" si="19"/>
        <v xml:space="preserve"> </v>
      </c>
      <c r="EN634" s="2177"/>
      <c r="EO634" s="2177"/>
      <c r="EP634" s="2177"/>
      <c r="EQ634" s="2016"/>
      <c r="ER634" s="2015" t="str">
        <f t="shared" si="20"/>
        <v xml:space="preserve"> </v>
      </c>
      <c r="ES634" s="2177"/>
      <c r="ET634" s="2177"/>
      <c r="EU634" s="2177"/>
      <c r="EV634" s="2016"/>
      <c r="EW634" s="2015" t="str">
        <f t="shared" si="21"/>
        <v xml:space="preserve"> </v>
      </c>
      <c r="EX634" s="2177"/>
      <c r="EY634" s="2177"/>
      <c r="EZ634" s="2177"/>
      <c r="FA634" s="2016"/>
    </row>
    <row r="635" spans="1:157" s="1805" customFormat="1" ht="13.2">
      <c r="B635" s="2553"/>
      <c r="C635" s="2221"/>
      <c r="D635" s="2221"/>
      <c r="E635" s="2221"/>
      <c r="F635" s="2221"/>
      <c r="G635" s="2221"/>
      <c r="H635" s="2221"/>
      <c r="I635" s="2221"/>
      <c r="J635" s="2221"/>
      <c r="K635" s="2221"/>
      <c r="L635" s="2221"/>
      <c r="M635" s="2221"/>
      <c r="N635" s="2554"/>
      <c r="O635" s="2241"/>
      <c r="P635" s="2242"/>
      <c r="Q635" s="2243"/>
      <c r="R635" s="2241"/>
      <c r="S635" s="2242"/>
      <c r="T635" s="2243"/>
      <c r="U635" s="2558"/>
      <c r="V635" s="2558"/>
      <c r="W635" s="2559"/>
      <c r="X635" s="2241"/>
      <c r="Y635" s="2242"/>
      <c r="Z635" s="2242"/>
      <c r="AA635" s="2242"/>
      <c r="AB635" s="2243"/>
      <c r="AC635" s="2417"/>
      <c r="AD635" s="2418"/>
      <c r="AE635" s="2419"/>
      <c r="AF635" s="2241"/>
      <c r="AG635" s="2242"/>
      <c r="AH635" s="2242"/>
      <c r="AI635" s="2242"/>
      <c r="AJ635" s="2243"/>
      <c r="AK635" s="2406"/>
      <c r="AL635" s="2407"/>
      <c r="AM635" s="2407"/>
      <c r="AN635" s="2408"/>
      <c r="AO635" s="2250"/>
      <c r="AP635" s="2250"/>
      <c r="AQ635" s="2250"/>
      <c r="AR635" s="2250"/>
      <c r="AS635" s="2250"/>
      <c r="AT635" s="1806"/>
      <c r="AU635" s="1806"/>
      <c r="AV635" s="1806"/>
      <c r="AW635" s="1806"/>
      <c r="AX635" s="1806"/>
      <c r="AY635" s="1806"/>
      <c r="AZ635" s="181"/>
      <c r="BA635" s="181"/>
      <c r="BB635" s="181"/>
      <c r="BC635" s="181"/>
      <c r="BD635" s="181"/>
      <c r="BE635" s="181"/>
      <c r="BF635" s="181"/>
      <c r="BG635" s="2015">
        <f>SUM(BG610:BH634)</f>
        <v>71</v>
      </c>
      <c r="BH635" s="2016"/>
      <c r="BI635" s="181"/>
      <c r="BJ635" s="181"/>
      <c r="BK635" s="2015">
        <f>SUM(BK610:BL634)</f>
        <v>27</v>
      </c>
      <c r="BL635" s="2016"/>
      <c r="BM635" s="181"/>
      <c r="BN635" s="2015">
        <f>SUM(BN610:BR634)</f>
        <v>0</v>
      </c>
      <c r="BO635" s="2177"/>
      <c r="BP635" s="2177"/>
      <c r="BQ635" s="2177"/>
      <c r="BR635" s="2016"/>
      <c r="BS635" s="2178">
        <f>SUM(BS610:BW634)</f>
        <v>47</v>
      </c>
      <c r="BT635" s="2178"/>
      <c r="BU635" s="2178"/>
      <c r="BV635" s="2178"/>
      <c r="BW635" s="2178"/>
      <c r="BX635" s="2178">
        <f>SUM(BX610:CB634)</f>
        <v>93</v>
      </c>
      <c r="BY635" s="2178"/>
      <c r="BZ635" s="2178"/>
      <c r="CA635" s="2178"/>
      <c r="CB635" s="2178"/>
      <c r="CC635" s="2178">
        <f>SUM(CC610:CG634)</f>
        <v>58</v>
      </c>
      <c r="CD635" s="2178"/>
      <c r="CE635" s="2178"/>
      <c r="CF635" s="2178"/>
      <c r="CG635" s="2178"/>
      <c r="CH635" s="2178">
        <f>SUM(CH610:CL634)</f>
        <v>0</v>
      </c>
      <c r="CI635" s="2178"/>
      <c r="CJ635" s="2178"/>
      <c r="CK635" s="2178"/>
      <c r="CL635" s="2178"/>
      <c r="CM635" s="2178">
        <f>SUM(CM610:CQ634)</f>
        <v>0</v>
      </c>
      <c r="CN635" s="2178"/>
      <c r="CO635" s="2178"/>
      <c r="CP635" s="2178"/>
      <c r="CQ635" s="2178"/>
      <c r="CR635" s="692"/>
      <c r="CS635" s="2178">
        <f>SUM(CS610:CW634)</f>
        <v>0</v>
      </c>
      <c r="CT635" s="2178"/>
      <c r="CU635" s="2178"/>
      <c r="CV635" s="2178"/>
      <c r="CW635" s="2178"/>
      <c r="CX635" s="2178">
        <f>SUM(CX610:DB634)</f>
        <v>9</v>
      </c>
      <c r="CY635" s="2178"/>
      <c r="CZ635" s="2178"/>
      <c r="DA635" s="2178"/>
      <c r="DB635" s="2178"/>
      <c r="DC635" s="2178">
        <f>SUM(DC610:DG634)</f>
        <v>9</v>
      </c>
      <c r="DD635" s="2178"/>
      <c r="DE635" s="2178"/>
      <c r="DF635" s="2178"/>
      <c r="DG635" s="2178"/>
      <c r="DH635" s="2178">
        <f>SUM(DH610:DL634)</f>
        <v>9</v>
      </c>
      <c r="DI635" s="2178"/>
      <c r="DJ635" s="2178"/>
      <c r="DK635" s="2178"/>
      <c r="DL635" s="2178"/>
      <c r="DM635" s="2178">
        <f>SUM(DM610:DQ634)</f>
        <v>0</v>
      </c>
      <c r="DN635" s="2178"/>
      <c r="DO635" s="2178"/>
      <c r="DP635" s="2178"/>
      <c r="DQ635" s="2178"/>
      <c r="DR635" s="2178">
        <f>SUM(DR610:DV634)</f>
        <v>0</v>
      </c>
      <c r="DS635" s="2178"/>
      <c r="DT635" s="2178"/>
      <c r="DU635" s="2178"/>
      <c r="DV635" s="2178"/>
      <c r="DX635" s="2178">
        <f>SUM(DX610:EB634)</f>
        <v>0</v>
      </c>
      <c r="DY635" s="2178"/>
      <c r="DZ635" s="2178"/>
      <c r="EA635" s="2178"/>
      <c r="EB635" s="2178"/>
      <c r="EC635" s="2178">
        <f>SUM(EC610:EG634)</f>
        <v>3294</v>
      </c>
      <c r="ED635" s="2178"/>
      <c r="EE635" s="2178"/>
      <c r="EF635" s="2178"/>
      <c r="EG635" s="2178"/>
      <c r="EH635" s="2178">
        <f>SUM(EH610:EL634)</f>
        <v>3940</v>
      </c>
      <c r="EI635" s="2178"/>
      <c r="EJ635" s="2178"/>
      <c r="EK635" s="2178"/>
      <c r="EL635" s="2178"/>
      <c r="EM635" s="2178">
        <f>SUM(EM610:EQ634)</f>
        <v>4526</v>
      </c>
      <c r="EN635" s="2178"/>
      <c r="EO635" s="2178"/>
      <c r="EP635" s="2178"/>
      <c r="EQ635" s="2178"/>
      <c r="ER635" s="2178">
        <f>SUM(ER610:EV634)</f>
        <v>0</v>
      </c>
      <c r="ES635" s="2178"/>
      <c r="ET635" s="2178"/>
      <c r="EU635" s="2178"/>
      <c r="EV635" s="2178"/>
      <c r="EW635" s="2178">
        <f>SUM(EW610:FA634)</f>
        <v>0</v>
      </c>
      <c r="EX635" s="2178"/>
      <c r="EY635" s="2178"/>
      <c r="EZ635" s="2178"/>
      <c r="FA635" s="2178"/>
    </row>
    <row r="636" spans="1:157" s="1805" customFormat="1" ht="13.2">
      <c r="B636" s="2555"/>
      <c r="C636" s="2221"/>
      <c r="D636" s="2221"/>
      <c r="E636" s="2221"/>
      <c r="F636" s="2221"/>
      <c r="G636" s="2221"/>
      <c r="H636" s="2221"/>
      <c r="I636" s="2221"/>
      <c r="J636" s="2221"/>
      <c r="K636" s="2221"/>
      <c r="L636" s="2221"/>
      <c r="M636" s="2221"/>
      <c r="N636" s="2554"/>
      <c r="O636" s="2244"/>
      <c r="P636" s="2245"/>
      <c r="Q636" s="2246"/>
      <c r="R636" s="2244"/>
      <c r="S636" s="2245"/>
      <c r="T636" s="2246"/>
      <c r="U636" s="2560"/>
      <c r="V636" s="2560"/>
      <c r="W636" s="2561"/>
      <c r="X636" s="2244"/>
      <c r="Y636" s="2245"/>
      <c r="Z636" s="2245"/>
      <c r="AA636" s="2245"/>
      <c r="AB636" s="2246"/>
      <c r="AC636" s="2420"/>
      <c r="AD636" s="2421"/>
      <c r="AE636" s="2422"/>
      <c r="AF636" s="2244"/>
      <c r="AG636" s="2245"/>
      <c r="AH636" s="2245"/>
      <c r="AI636" s="2245"/>
      <c r="AJ636" s="2246"/>
      <c r="AK636" s="2409"/>
      <c r="AL636" s="2410"/>
      <c r="AM636" s="2410"/>
      <c r="AN636" s="2411"/>
      <c r="AO636" s="2250"/>
      <c r="AP636" s="2250"/>
      <c r="AQ636" s="2250"/>
      <c r="AR636" s="2250"/>
      <c r="AS636" s="2250"/>
      <c r="AT636" s="894"/>
      <c r="AU636" s="894"/>
      <c r="AV636" s="894"/>
      <c r="AW636" s="894"/>
      <c r="AX636" s="894"/>
      <c r="AY636" s="894"/>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2384</v>
      </c>
      <c r="CM636" s="2015">
        <f>BN635+BS635+BX635+CC635+CH635+CM635</f>
        <v>198</v>
      </c>
      <c r="CN636" s="2177"/>
      <c r="CO636" s="2177"/>
      <c r="CP636" s="2177"/>
      <c r="CQ636" s="2016"/>
      <c r="CR636" s="692"/>
      <c r="CS636" s="181"/>
      <c r="CT636" s="181"/>
      <c r="CU636" s="181"/>
      <c r="CV636" s="181"/>
      <c r="CW636" s="181"/>
      <c r="CX636" s="181"/>
      <c r="CY636" s="181"/>
      <c r="CZ636" s="181"/>
      <c r="DA636" s="181"/>
      <c r="DB636" s="181"/>
      <c r="DC636" s="181"/>
      <c r="DD636" s="181"/>
      <c r="DE636" s="181"/>
      <c r="DF636" s="181"/>
    </row>
    <row r="637" spans="1:157" ht="13.2">
      <c r="B637" s="83" t="s">
        <v>117</v>
      </c>
      <c r="C637" s="2160" t="s">
        <v>2627</v>
      </c>
      <c r="D637" s="2026"/>
      <c r="E637" s="2026"/>
      <c r="F637" s="2026"/>
      <c r="G637" s="2026"/>
      <c r="H637" s="2026"/>
      <c r="I637" s="2026"/>
      <c r="J637" s="2026"/>
      <c r="K637" s="2026"/>
      <c r="L637" s="2026"/>
      <c r="M637" s="2026"/>
      <c r="N637" s="2413"/>
      <c r="O637" s="2370">
        <f>17*12</f>
        <v>204</v>
      </c>
      <c r="P637" s="2371"/>
      <c r="Q637" s="2372"/>
      <c r="R637" s="2153">
        <v>420</v>
      </c>
      <c r="S637" s="2154"/>
      <c r="T637" s="2155"/>
      <c r="U637" s="2386">
        <v>4.9799999999999997E-2</v>
      </c>
      <c r="V637" s="2387"/>
      <c r="W637" s="2388"/>
      <c r="X637" s="2299" t="s">
        <v>2147</v>
      </c>
      <c r="Y637" s="2551"/>
      <c r="Z637" s="2551"/>
      <c r="AA637" s="2551"/>
      <c r="AB637" s="2552"/>
      <c r="AC637" s="2128">
        <v>1</v>
      </c>
      <c r="AD637" s="2129"/>
      <c r="AE637" s="2130"/>
      <c r="AF637" s="2247">
        <v>644811</v>
      </c>
      <c r="AG637" s="2248"/>
      <c r="AH637" s="2248"/>
      <c r="AI637" s="2248"/>
      <c r="AJ637" s="2249"/>
      <c r="AK637" s="2367"/>
      <c r="AL637" s="2368"/>
      <c r="AM637" s="2368"/>
      <c r="AN637" s="2369"/>
      <c r="AO637" s="2131">
        <v>10674000</v>
      </c>
      <c r="AP637" s="2131"/>
      <c r="AQ637" s="2131"/>
      <c r="AR637" s="2131"/>
      <c r="AS637" s="2131"/>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64">
        <f>BN635*1</f>
        <v>0</v>
      </c>
      <c r="BS637" s="58"/>
      <c r="BT637" s="58"/>
      <c r="BU637" s="58"/>
      <c r="BV637" s="58"/>
      <c r="BW637" s="1464">
        <f>BS635*1</f>
        <v>47</v>
      </c>
      <c r="BX637" s="58"/>
      <c r="BY637" s="58"/>
      <c r="BZ637" s="58"/>
      <c r="CA637" s="58"/>
      <c r="CB637" s="1464">
        <f>BX635*2</f>
        <v>186</v>
      </c>
      <c r="CC637" s="58"/>
      <c r="CD637" s="58"/>
      <c r="CE637" s="58"/>
      <c r="CF637" s="58"/>
      <c r="CG637" s="1464">
        <f>CC635*3</f>
        <v>174</v>
      </c>
      <c r="CH637" s="58"/>
      <c r="CI637" s="58"/>
      <c r="CJ637" s="58"/>
      <c r="CK637" s="58"/>
      <c r="CL637" s="1464">
        <f>CH635*4</f>
        <v>0</v>
      </c>
      <c r="CM637" s="58"/>
      <c r="CN637" s="58"/>
      <c r="CO637" s="58"/>
      <c r="CP637" s="58"/>
      <c r="CQ637" s="1464">
        <f>CM635*5</f>
        <v>0</v>
      </c>
      <c r="CS637" s="1464">
        <f>BR637+BW637+CB637+CG637+CL637+CQ637</f>
        <v>407</v>
      </c>
      <c r="CT637" s="134" t="s">
        <v>2386</v>
      </c>
      <c r="CU637" s="58"/>
      <c r="CV637" s="58"/>
      <c r="CW637" s="58"/>
      <c r="CX637" s="58"/>
      <c r="CY637" s="58"/>
      <c r="CZ637" s="58"/>
      <c r="DA637" s="58"/>
      <c r="DB637" s="58"/>
      <c r="DC637" s="58"/>
      <c r="DD637" s="58"/>
      <c r="DE637" s="58"/>
      <c r="DF637" s="58"/>
      <c r="DX637" s="714"/>
      <c r="DY637" s="714"/>
      <c r="DZ637" s="714"/>
      <c r="EA637" s="714"/>
      <c r="EB637" s="714"/>
      <c r="EC637" s="714"/>
      <c r="ED637" s="714"/>
      <c r="EE637" s="714"/>
      <c r="EF637" s="714"/>
      <c r="EG637" s="714"/>
      <c r="EH637" s="714"/>
      <c r="EI637" s="714"/>
      <c r="EJ637" s="714"/>
      <c r="EK637" s="714"/>
      <c r="EL637" s="714"/>
      <c r="EM637" s="714"/>
      <c r="EN637" s="714"/>
      <c r="EO637" s="714"/>
      <c r="EP637" s="714"/>
      <c r="EQ637" s="714"/>
      <c r="ER637" s="714"/>
      <c r="ES637" s="714"/>
      <c r="ET637" s="714"/>
      <c r="EU637" s="714"/>
      <c r="EV637" s="714"/>
      <c r="EW637" s="714"/>
      <c r="EX637" s="714"/>
      <c r="EY637" s="714"/>
      <c r="EZ637" s="714"/>
      <c r="FA637" s="714"/>
    </row>
    <row r="638" spans="1:157" ht="12.75" customHeight="1">
      <c r="B638" s="84" t="s">
        <v>118</v>
      </c>
      <c r="C638" s="2160" t="str">
        <f>+C566</f>
        <v>SHRA - Housing Trust Fund + MIHF</v>
      </c>
      <c r="D638" s="2026"/>
      <c r="E638" s="2026"/>
      <c r="F638" s="2026"/>
      <c r="G638" s="2026"/>
      <c r="H638" s="2026"/>
      <c r="I638" s="2026"/>
      <c r="J638" s="2026"/>
      <c r="K638" s="2026"/>
      <c r="L638" s="2026"/>
      <c r="M638" s="2026"/>
      <c r="N638" s="2413"/>
      <c r="O638" s="2370">
        <v>660</v>
      </c>
      <c r="P638" s="2371"/>
      <c r="Q638" s="2372"/>
      <c r="R638" s="2153"/>
      <c r="S638" s="2154"/>
      <c r="T638" s="2155"/>
      <c r="U638" s="2386">
        <v>0.03</v>
      </c>
      <c r="V638" s="2387"/>
      <c r="W638" s="2388"/>
      <c r="X638" s="2299" t="s">
        <v>490</v>
      </c>
      <c r="Y638" s="2551"/>
      <c r="Z638" s="2551"/>
      <c r="AA638" s="2551"/>
      <c r="AB638" s="2552"/>
      <c r="AC638" s="2128">
        <v>2</v>
      </c>
      <c r="AD638" s="2129"/>
      <c r="AE638" s="2130"/>
      <c r="AF638" s="2247"/>
      <c r="AG638" s="2248"/>
      <c r="AH638" s="2248"/>
      <c r="AI638" s="2248"/>
      <c r="AJ638" s="2249"/>
      <c r="AK638" s="2367"/>
      <c r="AL638" s="2368"/>
      <c r="AM638" s="2368"/>
      <c r="AN638" s="2369"/>
      <c r="AO638" s="2131">
        <v>5000000</v>
      </c>
      <c r="AP638" s="2131"/>
      <c r="AQ638" s="2131"/>
      <c r="AR638" s="2131"/>
      <c r="AS638" s="2131"/>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0" t="e">
        <f t="shared" ref="DX638:DX662" si="22">DX610*(BN610/$BN$635)</f>
        <v>#VALUE!</v>
      </c>
      <c r="DY638" s="2550"/>
      <c r="DZ638" s="2550"/>
      <c r="EA638" s="2550"/>
      <c r="EB638" s="2550"/>
      <c r="EC638" s="2550">
        <f t="shared" ref="EC638:EC662" si="23">EC610*(BS610/$BS$635)</f>
        <v>84.446808510638292</v>
      </c>
      <c r="ED638" s="2550"/>
      <c r="EE638" s="2550"/>
      <c r="EF638" s="2550"/>
      <c r="EG638" s="2550"/>
      <c r="EH638" s="2550" t="e">
        <f t="shared" ref="EH638:EH662" si="24">EH610*(BX610/$BX$635)</f>
        <v>#VALUE!</v>
      </c>
      <c r="EI638" s="2550"/>
      <c r="EJ638" s="2550"/>
      <c r="EK638" s="2550"/>
      <c r="EL638" s="2550"/>
      <c r="EM638" s="2550" t="e">
        <f t="shared" ref="EM638:EM662" si="25">EM610*(CC610/$CC$635)</f>
        <v>#VALUE!</v>
      </c>
      <c r="EN638" s="2550"/>
      <c r="EO638" s="2550"/>
      <c r="EP638" s="2550"/>
      <c r="EQ638" s="2550"/>
      <c r="ER638" s="2550" t="e">
        <f t="shared" ref="ER638:ER662" si="26">ER610*(CH610/$CH$635)</f>
        <v>#VALUE!</v>
      </c>
      <c r="ES638" s="2550"/>
      <c r="ET638" s="2550"/>
      <c r="EU638" s="2550"/>
      <c r="EV638" s="2550"/>
      <c r="EW638" s="2550" t="e">
        <f t="shared" ref="EW638:EW662" si="27">EW610*(CM610/$CM$635)</f>
        <v>#VALUE!</v>
      </c>
      <c r="EX638" s="2550"/>
      <c r="EY638" s="2550"/>
      <c r="EZ638" s="2550"/>
      <c r="FA638" s="2550"/>
    </row>
    <row r="639" spans="1:157" ht="12.75" customHeight="1">
      <c r="B639" s="84" t="s">
        <v>124</v>
      </c>
      <c r="C639" s="2160" t="str">
        <f t="shared" ref="C639:C641" si="28">+C567</f>
        <v xml:space="preserve">SHRA/City of Sacramento Loan </v>
      </c>
      <c r="D639" s="2026"/>
      <c r="E639" s="2026"/>
      <c r="F639" s="2026"/>
      <c r="G639" s="2026"/>
      <c r="H639" s="2026"/>
      <c r="I639" s="2026"/>
      <c r="J639" s="2026"/>
      <c r="K639" s="2026"/>
      <c r="L639" s="2026"/>
      <c r="M639" s="2026"/>
      <c r="N639" s="2413"/>
      <c r="O639" s="2370">
        <v>660</v>
      </c>
      <c r="P639" s="2371"/>
      <c r="Q639" s="2372"/>
      <c r="R639" s="2153"/>
      <c r="S639" s="2154"/>
      <c r="T639" s="2155"/>
      <c r="U639" s="2386"/>
      <c r="V639" s="2387"/>
      <c r="W639" s="2388"/>
      <c r="X639" s="2299" t="s">
        <v>490</v>
      </c>
      <c r="Y639" s="2551"/>
      <c r="Z639" s="2551"/>
      <c r="AA639" s="2551"/>
      <c r="AB639" s="2552"/>
      <c r="AC639" s="2128">
        <v>3</v>
      </c>
      <c r="AD639" s="2129"/>
      <c r="AE639" s="2130"/>
      <c r="AF639" s="2247"/>
      <c r="AG639" s="2248"/>
      <c r="AH639" s="2248"/>
      <c r="AI639" s="2248"/>
      <c r="AJ639" s="2249"/>
      <c r="AK639" s="2367"/>
      <c r="AL639" s="2368"/>
      <c r="AM639" s="2368"/>
      <c r="AN639" s="2369"/>
      <c r="AO639" s="2131">
        <v>10000000</v>
      </c>
      <c r="AP639" s="2131"/>
      <c r="AQ639" s="2131"/>
      <c r="AR639" s="2131"/>
      <c r="AS639" s="2131"/>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0" t="e">
        <f t="shared" si="22"/>
        <v>#VALUE!</v>
      </c>
      <c r="DY639" s="2550"/>
      <c r="DZ639" s="2550"/>
      <c r="EA639" s="2550"/>
      <c r="EB639" s="2550"/>
      <c r="EC639" s="2550" t="e">
        <f t="shared" si="23"/>
        <v>#VALUE!</v>
      </c>
      <c r="ED639" s="2550"/>
      <c r="EE639" s="2550"/>
      <c r="EF639" s="2550"/>
      <c r="EG639" s="2550"/>
      <c r="EH639" s="2550">
        <f t="shared" si="24"/>
        <v>50.903225806451609</v>
      </c>
      <c r="EI639" s="2550"/>
      <c r="EJ639" s="2550"/>
      <c r="EK639" s="2550"/>
      <c r="EL639" s="2550"/>
      <c r="EM639" s="2550" t="e">
        <f t="shared" si="25"/>
        <v>#VALUE!</v>
      </c>
      <c r="EN639" s="2550"/>
      <c r="EO639" s="2550"/>
      <c r="EP639" s="2550"/>
      <c r="EQ639" s="2550"/>
      <c r="ER639" s="2550" t="e">
        <f t="shared" si="26"/>
        <v>#VALUE!</v>
      </c>
      <c r="ES639" s="2550"/>
      <c r="ET639" s="2550"/>
      <c r="EU639" s="2550"/>
      <c r="EV639" s="2550"/>
      <c r="EW639" s="2550" t="e">
        <f t="shared" si="27"/>
        <v>#VALUE!</v>
      </c>
      <c r="EX639" s="2550"/>
      <c r="EY639" s="2550"/>
      <c r="EZ639" s="2550"/>
      <c r="FA639" s="2550"/>
    </row>
    <row r="640" spans="1:157" ht="13.2">
      <c r="B640" s="84" t="s">
        <v>616</v>
      </c>
      <c r="C640" s="2160" t="str">
        <f t="shared" si="28"/>
        <v>Defered Developer Fee</v>
      </c>
      <c r="D640" s="2026"/>
      <c r="E640" s="2026"/>
      <c r="F640" s="2026"/>
      <c r="G640" s="2026"/>
      <c r="H640" s="2026"/>
      <c r="I640" s="2026"/>
      <c r="J640" s="2026"/>
      <c r="K640" s="2026"/>
      <c r="L640" s="2026"/>
      <c r="M640" s="2026"/>
      <c r="N640" s="2413"/>
      <c r="O640" s="2370"/>
      <c r="P640" s="2371"/>
      <c r="Q640" s="2372"/>
      <c r="R640" s="2153"/>
      <c r="S640" s="2154"/>
      <c r="T640" s="2155"/>
      <c r="U640" s="2386">
        <v>0.03</v>
      </c>
      <c r="V640" s="2387"/>
      <c r="W640" s="2388"/>
      <c r="X640" s="2299" t="s">
        <v>491</v>
      </c>
      <c r="Y640" s="2551"/>
      <c r="Z640" s="2551"/>
      <c r="AA640" s="2551"/>
      <c r="AB640" s="2552"/>
      <c r="AC640" s="2128"/>
      <c r="AD640" s="2129"/>
      <c r="AE640" s="2130"/>
      <c r="AF640" s="2247"/>
      <c r="AG640" s="2248"/>
      <c r="AH640" s="2248"/>
      <c r="AI640" s="2248"/>
      <c r="AJ640" s="2249"/>
      <c r="AK640" s="2367"/>
      <c r="AL640" s="2368"/>
      <c r="AM640" s="2368"/>
      <c r="AN640" s="2369"/>
      <c r="AO640" s="2131">
        <f>+AM568</f>
        <v>9568635</v>
      </c>
      <c r="AP640" s="2131"/>
      <c r="AQ640" s="2131"/>
      <c r="AR640" s="2131"/>
      <c r="AS640" s="2131"/>
      <c r="AT640" s="239"/>
      <c r="AU640" s="239"/>
      <c r="AV640" s="239"/>
      <c r="AW640" s="239"/>
      <c r="AX640" s="239"/>
      <c r="AY640" s="239"/>
      <c r="AZ640" s="61"/>
      <c r="BA640" s="58" t="s">
        <v>2147</v>
      </c>
      <c r="BB640" s="61"/>
      <c r="BC640" s="61"/>
      <c r="BD640" s="61"/>
      <c r="BE640" s="61"/>
      <c r="BF640" s="61"/>
      <c r="BG640" s="61"/>
      <c r="BH640" s="61"/>
      <c r="BI640" s="61"/>
      <c r="BJ640" s="61"/>
      <c r="BK640" s="61"/>
      <c r="BL640" s="61"/>
      <c r="BM640" s="61"/>
      <c r="BN640" s="2009">
        <f>IF(J772="SRO/Studio",O772,0)</f>
        <v>0</v>
      </c>
      <c r="BO640" s="2010"/>
      <c r="BP640" s="2010"/>
      <c r="BQ640" s="2010"/>
      <c r="BR640" s="2011"/>
      <c r="BS640" s="2008">
        <f>IF(J772="1 Bedroom",O772,0)</f>
        <v>0</v>
      </c>
      <c r="BT640" s="2008"/>
      <c r="BU640" s="2008"/>
      <c r="BV640" s="2008"/>
      <c r="BW640" s="2008"/>
      <c r="BX640" s="2008">
        <f>IF(J772="2 Bedrooms",O772,0)</f>
        <v>2</v>
      </c>
      <c r="BY640" s="2008"/>
      <c r="BZ640" s="2008"/>
      <c r="CA640" s="2008"/>
      <c r="CB640" s="2008"/>
      <c r="CC640" s="2008">
        <f>IF(J772="3 Bedrooms",O772,0)</f>
        <v>0</v>
      </c>
      <c r="CD640" s="2008"/>
      <c r="CE640" s="2008"/>
      <c r="CF640" s="2008"/>
      <c r="CG640" s="2008"/>
      <c r="CH640" s="2008">
        <f>IF(J772="4 Bedrooms",O772,0)</f>
        <v>0</v>
      </c>
      <c r="CI640" s="2008"/>
      <c r="CJ640" s="2008"/>
      <c r="CK640" s="2008"/>
      <c r="CL640" s="2008"/>
      <c r="CM640" s="2008">
        <f>IF(J772="5 Bedrooms",O772,0)</f>
        <v>0</v>
      </c>
      <c r="CN640" s="2008"/>
      <c r="CO640" s="2008"/>
      <c r="CP640" s="2008"/>
      <c r="CQ640" s="2008"/>
      <c r="CR640" s="265"/>
      <c r="CS640" s="58"/>
      <c r="CT640" s="58"/>
      <c r="CU640" s="58"/>
      <c r="CV640" s="58"/>
      <c r="CW640" s="58"/>
      <c r="CX640" s="58"/>
      <c r="CY640" s="58"/>
      <c r="CZ640" s="58"/>
      <c r="DA640" s="58"/>
      <c r="DB640" s="58"/>
      <c r="DC640" s="58"/>
      <c r="DD640" s="58"/>
      <c r="DE640" s="58"/>
      <c r="DF640" s="58"/>
      <c r="DX640" s="2550" t="e">
        <f t="shared" si="22"/>
        <v>#VALUE!</v>
      </c>
      <c r="DY640" s="2550"/>
      <c r="DZ640" s="2550"/>
      <c r="EA640" s="2550"/>
      <c r="EB640" s="2550"/>
      <c r="EC640" s="2550" t="e">
        <f t="shared" si="23"/>
        <v>#VALUE!</v>
      </c>
      <c r="ED640" s="2550"/>
      <c r="EE640" s="2550"/>
      <c r="EF640" s="2550"/>
      <c r="EG640" s="2550"/>
      <c r="EH640" s="2550" t="e">
        <f t="shared" si="24"/>
        <v>#VALUE!</v>
      </c>
      <c r="EI640" s="2550"/>
      <c r="EJ640" s="2550"/>
      <c r="EK640" s="2550"/>
      <c r="EL640" s="2550"/>
      <c r="EM640" s="2550">
        <f t="shared" si="25"/>
        <v>93.258620689655174</v>
      </c>
      <c r="EN640" s="2550"/>
      <c r="EO640" s="2550"/>
      <c r="EP640" s="2550"/>
      <c r="EQ640" s="2550"/>
      <c r="ER640" s="2550" t="e">
        <f t="shared" si="26"/>
        <v>#VALUE!</v>
      </c>
      <c r="ES640" s="2550"/>
      <c r="ET640" s="2550"/>
      <c r="EU640" s="2550"/>
      <c r="EV640" s="2550"/>
      <c r="EW640" s="2550" t="e">
        <f t="shared" si="27"/>
        <v>#VALUE!</v>
      </c>
      <c r="EX640" s="2550"/>
      <c r="EY640" s="2550"/>
      <c r="EZ640" s="2550"/>
      <c r="FA640" s="2550"/>
    </row>
    <row r="641" spans="1:157" ht="13.2">
      <c r="B641" s="84" t="s">
        <v>821</v>
      </c>
      <c r="C641" s="2160" t="str">
        <f t="shared" si="28"/>
        <v xml:space="preserve">Accrued/Deferred Interest </v>
      </c>
      <c r="D641" s="2026"/>
      <c r="E641" s="2026"/>
      <c r="F641" s="2026"/>
      <c r="G641" s="2026"/>
      <c r="H641" s="2026"/>
      <c r="I641" s="2026"/>
      <c r="J641" s="2026"/>
      <c r="K641" s="2026"/>
      <c r="L641" s="2026"/>
      <c r="M641" s="2026"/>
      <c r="N641" s="2413"/>
      <c r="O641" s="2370"/>
      <c r="P641" s="2371"/>
      <c r="Q641" s="2372"/>
      <c r="R641" s="2153"/>
      <c r="S641" s="2154"/>
      <c r="T641" s="2155"/>
      <c r="U641" s="2386"/>
      <c r="V641" s="2387"/>
      <c r="W641" s="2388"/>
      <c r="X641" s="2299"/>
      <c r="Y641" s="2551"/>
      <c r="Z641" s="2551"/>
      <c r="AA641" s="2551"/>
      <c r="AB641" s="2552"/>
      <c r="AC641" s="2128"/>
      <c r="AD641" s="2129"/>
      <c r="AE641" s="2130"/>
      <c r="AF641" s="2247"/>
      <c r="AG641" s="2248"/>
      <c r="AH641" s="2248"/>
      <c r="AI641" s="2248"/>
      <c r="AJ641" s="2249"/>
      <c r="AK641" s="2367"/>
      <c r="AL641" s="2368"/>
      <c r="AM641" s="2368"/>
      <c r="AN641" s="2369"/>
      <c r="AO641" s="2131">
        <f t="shared" ref="AO641" si="29">+AM569</f>
        <v>500622</v>
      </c>
      <c r="AP641" s="2131"/>
      <c r="AQ641" s="2131"/>
      <c r="AR641" s="2131"/>
      <c r="AS641" s="2131"/>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09">
        <f>IF(J773="SRO/Studio",O773,0)</f>
        <v>0</v>
      </c>
      <c r="BO641" s="2010"/>
      <c r="BP641" s="2010"/>
      <c r="BQ641" s="2010"/>
      <c r="BR641" s="2011"/>
      <c r="BS641" s="2008">
        <f>IF(J773="1 Bedroom",O773,0)</f>
        <v>0</v>
      </c>
      <c r="BT641" s="2008"/>
      <c r="BU641" s="2008"/>
      <c r="BV641" s="2008"/>
      <c r="BW641" s="2008"/>
      <c r="BX641" s="2008">
        <f>IF(J773="2 Bedrooms",O773,0)</f>
        <v>0</v>
      </c>
      <c r="BY641" s="2008"/>
      <c r="BZ641" s="2008"/>
      <c r="CA641" s="2008"/>
      <c r="CB641" s="2008"/>
      <c r="CC641" s="2008">
        <f>IF(J773="3 Bedrooms",O773,0)</f>
        <v>0</v>
      </c>
      <c r="CD641" s="2008"/>
      <c r="CE641" s="2008"/>
      <c r="CF641" s="2008"/>
      <c r="CG641" s="2008"/>
      <c r="CH641" s="2008">
        <f>IF(J773="4 Bedrooms",O773,0)</f>
        <v>0</v>
      </c>
      <c r="CI641" s="2008"/>
      <c r="CJ641" s="2008"/>
      <c r="CK641" s="2008"/>
      <c r="CL641" s="2008"/>
      <c r="CM641" s="2008">
        <f>IF(J773="5 Bedrooms",O773,0)</f>
        <v>0</v>
      </c>
      <c r="CN641" s="2008"/>
      <c r="CO641" s="2008"/>
      <c r="CP641" s="2008"/>
      <c r="CQ641" s="2008"/>
      <c r="CR641" s="265"/>
      <c r="CS641" s="58"/>
      <c r="CT641" s="58"/>
      <c r="CU641" s="58"/>
      <c r="CV641" s="58"/>
      <c r="CW641" s="58"/>
      <c r="CX641" s="58"/>
      <c r="CY641" s="58"/>
      <c r="CZ641" s="58"/>
      <c r="DA641" s="58"/>
      <c r="DB641" s="58"/>
      <c r="DC641" s="58"/>
      <c r="DD641" s="58"/>
      <c r="DE641" s="58"/>
      <c r="DF641" s="58"/>
      <c r="DX641" s="2550" t="e">
        <f t="shared" si="22"/>
        <v>#VALUE!</v>
      </c>
      <c r="DY641" s="2550"/>
      <c r="DZ641" s="2550"/>
      <c r="EA641" s="2550"/>
      <c r="EB641" s="2550"/>
      <c r="EC641" s="2550" t="e">
        <f t="shared" si="23"/>
        <v>#VALUE!</v>
      </c>
      <c r="ED641" s="2550"/>
      <c r="EE641" s="2550"/>
      <c r="EF641" s="2550"/>
      <c r="EG641" s="2550"/>
      <c r="EH641" s="2550" t="e">
        <f t="shared" si="24"/>
        <v>#VALUE!</v>
      </c>
      <c r="EI641" s="2550"/>
      <c r="EJ641" s="2550"/>
      <c r="EK641" s="2550"/>
      <c r="EL641" s="2550"/>
      <c r="EM641" s="2550" t="e">
        <f t="shared" si="25"/>
        <v>#VALUE!</v>
      </c>
      <c r="EN641" s="2550"/>
      <c r="EO641" s="2550"/>
      <c r="EP641" s="2550"/>
      <c r="EQ641" s="2550"/>
      <c r="ER641" s="2550" t="e">
        <f t="shared" si="26"/>
        <v>#VALUE!</v>
      </c>
      <c r="ES641" s="2550"/>
      <c r="ET641" s="2550"/>
      <c r="EU641" s="2550"/>
      <c r="EV641" s="2550"/>
      <c r="EW641" s="2550" t="e">
        <f t="shared" si="27"/>
        <v>#VALUE!</v>
      </c>
      <c r="EX641" s="2550"/>
      <c r="EY641" s="2550"/>
      <c r="EZ641" s="2550"/>
      <c r="FA641" s="2550"/>
    </row>
    <row r="642" spans="1:157" ht="13.2">
      <c r="B642" s="84" t="s">
        <v>619</v>
      </c>
      <c r="C642" s="2160"/>
      <c r="D642" s="2026"/>
      <c r="E642" s="2026"/>
      <c r="F642" s="2026"/>
      <c r="G642" s="2026"/>
      <c r="H642" s="2026"/>
      <c r="I642" s="2026"/>
      <c r="J642" s="2026"/>
      <c r="K642" s="2026"/>
      <c r="L642" s="2026"/>
      <c r="M642" s="2026"/>
      <c r="N642" s="2413"/>
      <c r="O642" s="2370"/>
      <c r="P642" s="2371"/>
      <c r="Q642" s="2372"/>
      <c r="R642" s="2153"/>
      <c r="S642" s="2154"/>
      <c r="T642" s="2155"/>
      <c r="U642" s="2386"/>
      <c r="V642" s="2387"/>
      <c r="W642" s="2388"/>
      <c r="X642" s="2299"/>
      <c r="Y642" s="2551"/>
      <c r="Z642" s="2551"/>
      <c r="AA642" s="2551"/>
      <c r="AB642" s="2552"/>
      <c r="AC642" s="2128"/>
      <c r="AD642" s="2129"/>
      <c r="AE642" s="2130"/>
      <c r="AF642" s="2247"/>
      <c r="AG642" s="2248"/>
      <c r="AH642" s="2248"/>
      <c r="AI642" s="2248"/>
      <c r="AJ642" s="2249"/>
      <c r="AK642" s="2367"/>
      <c r="AL642" s="2368"/>
      <c r="AM642" s="2368"/>
      <c r="AN642" s="2369"/>
      <c r="AO642" s="2131"/>
      <c r="AP642" s="2131"/>
      <c r="AQ642" s="2131"/>
      <c r="AR642" s="2131"/>
      <c r="AS642" s="213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9">
        <f>IF(J774="SRO/Studio",O774,0)</f>
        <v>0</v>
      </c>
      <c r="BO642" s="2010"/>
      <c r="BP642" s="2010"/>
      <c r="BQ642" s="2010"/>
      <c r="BR642" s="2011"/>
      <c r="BS642" s="2008">
        <f>IF(J774="1 Bedroom",O774,0)</f>
        <v>0</v>
      </c>
      <c r="BT642" s="2008"/>
      <c r="BU642" s="2008"/>
      <c r="BV642" s="2008"/>
      <c r="BW642" s="2008"/>
      <c r="BX642" s="2008">
        <f>IF(J774="2 Bedrooms",O774,0)</f>
        <v>0</v>
      </c>
      <c r="BY642" s="2008"/>
      <c r="BZ642" s="2008"/>
      <c r="CA642" s="2008"/>
      <c r="CB642" s="2008"/>
      <c r="CC642" s="2008">
        <f>IF(J774="3 Bedrooms",O774,0)</f>
        <v>0</v>
      </c>
      <c r="CD642" s="2008"/>
      <c r="CE642" s="2008"/>
      <c r="CF642" s="2008"/>
      <c r="CG642" s="2008"/>
      <c r="CH642" s="2008">
        <f>IF(J774="4 Bedrooms",O774,0)</f>
        <v>0</v>
      </c>
      <c r="CI642" s="2008"/>
      <c r="CJ642" s="2008"/>
      <c r="CK642" s="2008"/>
      <c r="CL642" s="2008"/>
      <c r="CM642" s="2008">
        <f>IF(J774="5 Bedrooms",O774,0)</f>
        <v>0</v>
      </c>
      <c r="CN642" s="2008"/>
      <c r="CO642" s="2008"/>
      <c r="CP642" s="2008"/>
      <c r="CQ642" s="2008"/>
      <c r="CR642" s="1789"/>
      <c r="CV642" s="58"/>
      <c r="CW642" s="58"/>
      <c r="CX642" s="58"/>
      <c r="CY642" s="58"/>
      <c r="CZ642" s="58"/>
      <c r="DA642" s="58"/>
      <c r="DB642" s="58"/>
      <c r="DC642" s="58"/>
      <c r="DD642" s="58"/>
      <c r="DE642" s="58"/>
      <c r="DF642" s="58"/>
      <c r="DX642" s="2550" t="e">
        <f t="shared" si="22"/>
        <v>#VALUE!</v>
      </c>
      <c r="DY642" s="2550"/>
      <c r="DZ642" s="2550"/>
      <c r="EA642" s="2550"/>
      <c r="EB642" s="2550"/>
      <c r="EC642" s="2550">
        <f t="shared" si="23"/>
        <v>166.17021276595744</v>
      </c>
      <c r="ED642" s="2550"/>
      <c r="EE642" s="2550"/>
      <c r="EF642" s="2550"/>
      <c r="EG642" s="2550"/>
      <c r="EH642" s="2550" t="e">
        <f t="shared" si="24"/>
        <v>#VALUE!</v>
      </c>
      <c r="EI642" s="2550"/>
      <c r="EJ642" s="2550"/>
      <c r="EK642" s="2550"/>
      <c r="EL642" s="2550"/>
      <c r="EM642" s="2550" t="e">
        <f t="shared" si="25"/>
        <v>#VALUE!</v>
      </c>
      <c r="EN642" s="2550"/>
      <c r="EO642" s="2550"/>
      <c r="EP642" s="2550"/>
      <c r="EQ642" s="2550"/>
      <c r="ER642" s="2550" t="e">
        <f t="shared" si="26"/>
        <v>#VALUE!</v>
      </c>
      <c r="ES642" s="2550"/>
      <c r="ET642" s="2550"/>
      <c r="EU642" s="2550"/>
      <c r="EV642" s="2550"/>
      <c r="EW642" s="2550" t="e">
        <f t="shared" si="27"/>
        <v>#VALUE!</v>
      </c>
      <c r="EX642" s="2550"/>
      <c r="EY642" s="2550"/>
      <c r="EZ642" s="2550"/>
      <c r="FA642" s="2550"/>
    </row>
    <row r="643" spans="1:157" ht="13.2">
      <c r="B643" s="84" t="s">
        <v>487</v>
      </c>
      <c r="C643" s="2160"/>
      <c r="D643" s="2026"/>
      <c r="E643" s="2026"/>
      <c r="F643" s="2026"/>
      <c r="G643" s="2026"/>
      <c r="H643" s="2026"/>
      <c r="I643" s="2026"/>
      <c r="J643" s="2026"/>
      <c r="K643" s="2026"/>
      <c r="L643" s="2026"/>
      <c r="M643" s="2026"/>
      <c r="N643" s="2413"/>
      <c r="O643" s="2370"/>
      <c r="P643" s="2371"/>
      <c r="Q643" s="2372"/>
      <c r="R643" s="2153"/>
      <c r="S643" s="2154"/>
      <c r="T643" s="2155"/>
      <c r="U643" s="2386"/>
      <c r="V643" s="2387"/>
      <c r="W643" s="2388"/>
      <c r="X643" s="2299"/>
      <c r="Y643" s="2551"/>
      <c r="Z643" s="2551"/>
      <c r="AA643" s="2551"/>
      <c r="AB643" s="2552"/>
      <c r="AC643" s="2128"/>
      <c r="AD643" s="2129"/>
      <c r="AE643" s="2130"/>
      <c r="AF643" s="2247"/>
      <c r="AG643" s="2248"/>
      <c r="AH643" s="2248"/>
      <c r="AI643" s="2248"/>
      <c r="AJ643" s="2249"/>
      <c r="AK643" s="2367"/>
      <c r="AL643" s="2368"/>
      <c r="AM643" s="2368"/>
      <c r="AN643" s="2369"/>
      <c r="AO643" s="2131"/>
      <c r="AP643" s="2131"/>
      <c r="AQ643" s="2131"/>
      <c r="AR643" s="2131"/>
      <c r="AS643" s="213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9">
        <f>IF(J775="SRO/Studio",O775,0)</f>
        <v>0</v>
      </c>
      <c r="BO643" s="2010"/>
      <c r="BP643" s="2010"/>
      <c r="BQ643" s="2010"/>
      <c r="BR643" s="2011"/>
      <c r="BS643" s="2008">
        <f>IF(J775="1 Bedroom",O775,0)</f>
        <v>0</v>
      </c>
      <c r="BT643" s="2008"/>
      <c r="BU643" s="2008"/>
      <c r="BV643" s="2008"/>
      <c r="BW643" s="2008"/>
      <c r="BX643" s="2008">
        <f>IF(J775="2 Bedrooms",O775,0)</f>
        <v>0</v>
      </c>
      <c r="BY643" s="2008"/>
      <c r="BZ643" s="2008"/>
      <c r="CA643" s="2008"/>
      <c r="CB643" s="2008"/>
      <c r="CC643" s="2008">
        <f>IF(J775="3 Bedrooms",O775,0)</f>
        <v>0</v>
      </c>
      <c r="CD643" s="2008"/>
      <c r="CE643" s="2008"/>
      <c r="CF643" s="2008"/>
      <c r="CG643" s="2008"/>
      <c r="CH643" s="2008">
        <f>IF(J775="4 Bedrooms",O775,0)</f>
        <v>0</v>
      </c>
      <c r="CI643" s="2008"/>
      <c r="CJ643" s="2008"/>
      <c r="CK643" s="2008"/>
      <c r="CL643" s="2008"/>
      <c r="CM643" s="2008">
        <f>IF(J775="5 Bedrooms",O775,0)</f>
        <v>0</v>
      </c>
      <c r="CN643" s="2008"/>
      <c r="CO643" s="2008"/>
      <c r="CP643" s="2008"/>
      <c r="CQ643" s="2008"/>
      <c r="CV643" s="58"/>
      <c r="CW643" s="58"/>
      <c r="CX643" s="58"/>
      <c r="CY643" s="58"/>
      <c r="CZ643" s="58"/>
      <c r="DA643" s="58"/>
      <c r="DB643" s="58"/>
      <c r="DC643" s="58"/>
      <c r="DD643" s="58"/>
      <c r="DE643" s="58"/>
      <c r="DF643" s="58"/>
      <c r="DX643" s="2550" t="e">
        <f t="shared" si="22"/>
        <v>#VALUE!</v>
      </c>
      <c r="DY643" s="2550"/>
      <c r="DZ643" s="2550"/>
      <c r="EA643" s="2550"/>
      <c r="EB643" s="2550"/>
      <c r="EC643" s="2550" t="e">
        <f t="shared" si="23"/>
        <v>#VALUE!</v>
      </c>
      <c r="ED643" s="2550"/>
      <c r="EE643" s="2550"/>
      <c r="EF643" s="2550"/>
      <c r="EG643" s="2550"/>
      <c r="EH643" s="2550">
        <f t="shared" si="24"/>
        <v>441.89247311827961</v>
      </c>
      <c r="EI643" s="2550"/>
      <c r="EJ643" s="2550"/>
      <c r="EK643" s="2550"/>
      <c r="EL643" s="2550"/>
      <c r="EM643" s="2550" t="e">
        <f t="shared" si="25"/>
        <v>#VALUE!</v>
      </c>
      <c r="EN643" s="2550"/>
      <c r="EO643" s="2550"/>
      <c r="EP643" s="2550"/>
      <c r="EQ643" s="2550"/>
      <c r="ER643" s="2550" t="e">
        <f t="shared" si="26"/>
        <v>#VALUE!</v>
      </c>
      <c r="ES643" s="2550"/>
      <c r="ET643" s="2550"/>
      <c r="EU643" s="2550"/>
      <c r="EV643" s="2550"/>
      <c r="EW643" s="2550" t="e">
        <f t="shared" si="27"/>
        <v>#VALUE!</v>
      </c>
      <c r="EX643" s="2550"/>
      <c r="EY643" s="2550"/>
      <c r="EZ643" s="2550"/>
      <c r="FA643" s="2550"/>
    </row>
    <row r="644" spans="1:157" ht="13.2">
      <c r="B644" s="84" t="s">
        <v>488</v>
      </c>
      <c r="C644" s="2026"/>
      <c r="D644" s="2026"/>
      <c r="E644" s="2026"/>
      <c r="F644" s="2026"/>
      <c r="G644" s="2026"/>
      <c r="H644" s="2026"/>
      <c r="I644" s="2026"/>
      <c r="J644" s="2026"/>
      <c r="K644" s="2026"/>
      <c r="L644" s="2026"/>
      <c r="M644" s="2026"/>
      <c r="N644" s="2413"/>
      <c r="O644" s="2370"/>
      <c r="P644" s="2371"/>
      <c r="Q644" s="2372"/>
      <c r="R644" s="2153"/>
      <c r="S644" s="2154"/>
      <c r="T644" s="2155"/>
      <c r="U644" s="2386"/>
      <c r="V644" s="2387"/>
      <c r="W644" s="2388"/>
      <c r="X644" s="2299"/>
      <c r="Y644" s="2551"/>
      <c r="Z644" s="2551"/>
      <c r="AA644" s="2551"/>
      <c r="AB644" s="2552"/>
      <c r="AC644" s="2128"/>
      <c r="AD644" s="2129"/>
      <c r="AE644" s="2130"/>
      <c r="AF644" s="2247"/>
      <c r="AG644" s="2248"/>
      <c r="AH644" s="2248"/>
      <c r="AI644" s="2248"/>
      <c r="AJ644" s="2249"/>
      <c r="AK644" s="2367"/>
      <c r="AL644" s="2368"/>
      <c r="AM644" s="2368"/>
      <c r="AN644" s="2369"/>
      <c r="AO644" s="2131"/>
      <c r="AP644" s="2131"/>
      <c r="AQ644" s="2131"/>
      <c r="AR644" s="2131"/>
      <c r="AS644" s="2131"/>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2">
        <f>SUM(BN640:BR643)</f>
        <v>0</v>
      </c>
      <c r="BO644" s="2013"/>
      <c r="BP644" s="2013"/>
      <c r="BQ644" s="2013"/>
      <c r="BR644" s="2014"/>
      <c r="BS644" s="2005">
        <f>SUM(BS640:BW643)</f>
        <v>0</v>
      </c>
      <c r="BT644" s="2006"/>
      <c r="BU644" s="2006"/>
      <c r="BV644" s="2006"/>
      <c r="BW644" s="2007"/>
      <c r="BX644" s="2005">
        <f>SUM(BX640:CB643)</f>
        <v>2</v>
      </c>
      <c r="BY644" s="2006"/>
      <c r="BZ644" s="2006"/>
      <c r="CA644" s="2006"/>
      <c r="CB644" s="2007"/>
      <c r="CC644" s="2005">
        <f>SUM(CC640:CG643)</f>
        <v>0</v>
      </c>
      <c r="CD644" s="2006"/>
      <c r="CE644" s="2006"/>
      <c r="CF644" s="2006"/>
      <c r="CG644" s="2007"/>
      <c r="CH644" s="2005">
        <f>SUM(CH640:CL643)</f>
        <v>0</v>
      </c>
      <c r="CI644" s="2006"/>
      <c r="CJ644" s="2006"/>
      <c r="CK644" s="2006"/>
      <c r="CL644" s="2007"/>
      <c r="CM644" s="2005">
        <f>SUM(CM640:CQ643)</f>
        <v>0</v>
      </c>
      <c r="CN644" s="2006"/>
      <c r="CO644" s="2006"/>
      <c r="CP644" s="2006"/>
      <c r="CQ644" s="2007"/>
      <c r="CS644" s="1464">
        <f>BN644+BS644+BX644+CC644+CH644+CM644</f>
        <v>2</v>
      </c>
      <c r="CT644" s="134" t="s">
        <v>2383</v>
      </c>
      <c r="CU644" s="58"/>
      <c r="CV644" s="58"/>
      <c r="CW644" s="58"/>
      <c r="CX644" s="58"/>
      <c r="CY644" s="58"/>
      <c r="CZ644" s="58"/>
      <c r="DA644" s="58"/>
      <c r="DB644" s="58"/>
      <c r="DC644" s="58"/>
      <c r="DD644" s="58"/>
      <c r="DE644" s="58"/>
      <c r="DF644" s="58"/>
      <c r="DX644" s="2550" t="e">
        <f t="shared" si="22"/>
        <v>#VALUE!</v>
      </c>
      <c r="DY644" s="2550"/>
      <c r="DZ644" s="2550"/>
      <c r="EA644" s="2550"/>
      <c r="EB644" s="2550"/>
      <c r="EC644" s="2550" t="e">
        <f t="shared" si="23"/>
        <v>#VALUE!</v>
      </c>
      <c r="ED644" s="2550"/>
      <c r="EE644" s="2550"/>
      <c r="EF644" s="2550"/>
      <c r="EG644" s="2550"/>
      <c r="EH644" s="2550" t="e">
        <f t="shared" si="24"/>
        <v>#VALUE!</v>
      </c>
      <c r="EI644" s="2550"/>
      <c r="EJ644" s="2550"/>
      <c r="EK644" s="2550"/>
      <c r="EL644" s="2550"/>
      <c r="EM644" s="2550">
        <f t="shared" si="25"/>
        <v>314.5</v>
      </c>
      <c r="EN644" s="2550"/>
      <c r="EO644" s="2550"/>
      <c r="EP644" s="2550"/>
      <c r="EQ644" s="2550"/>
      <c r="ER644" s="2550" t="e">
        <f t="shared" si="26"/>
        <v>#VALUE!</v>
      </c>
      <c r="ES644" s="2550"/>
      <c r="ET644" s="2550"/>
      <c r="EU644" s="2550"/>
      <c r="EV644" s="2550"/>
      <c r="EW644" s="2550" t="e">
        <f t="shared" si="27"/>
        <v>#VALUE!</v>
      </c>
      <c r="EX644" s="2550"/>
      <c r="EY644" s="2550"/>
      <c r="EZ644" s="2550"/>
      <c r="FA644" s="2550"/>
    </row>
    <row r="645" spans="1:157" ht="13.2">
      <c r="B645" s="84" t="s">
        <v>494</v>
      </c>
      <c r="C645" s="2026"/>
      <c r="D645" s="2026"/>
      <c r="E645" s="2026"/>
      <c r="F645" s="2026"/>
      <c r="G645" s="2026"/>
      <c r="H645" s="2026"/>
      <c r="I645" s="2026"/>
      <c r="J645" s="2026"/>
      <c r="K645" s="2026"/>
      <c r="L645" s="2026"/>
      <c r="M645" s="2026"/>
      <c r="N645" s="2413"/>
      <c r="O645" s="2370"/>
      <c r="P645" s="2371"/>
      <c r="Q645" s="2372"/>
      <c r="R645" s="2153"/>
      <c r="S645" s="2154"/>
      <c r="T645" s="2155"/>
      <c r="U645" s="2386"/>
      <c r="V645" s="2387"/>
      <c r="W645" s="2388"/>
      <c r="X645" s="2299"/>
      <c r="Y645" s="2551"/>
      <c r="Z645" s="2551"/>
      <c r="AA645" s="2551"/>
      <c r="AB645" s="2552"/>
      <c r="AC645" s="2128"/>
      <c r="AD645" s="2129"/>
      <c r="AE645" s="2130"/>
      <c r="AF645" s="2247"/>
      <c r="AG645" s="2248"/>
      <c r="AH645" s="2248"/>
      <c r="AI645" s="2248"/>
      <c r="AJ645" s="2249"/>
      <c r="AK645" s="2367"/>
      <c r="AL645" s="2368"/>
      <c r="AM645" s="2368"/>
      <c r="AN645" s="2369"/>
      <c r="AO645" s="2131"/>
      <c r="AP645" s="2131"/>
      <c r="AQ645" s="2131"/>
      <c r="AR645" s="2131"/>
      <c r="AS645" s="213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4"/>
      <c r="BO645" s="714"/>
      <c r="BP645" s="714"/>
      <c r="BQ645" s="714"/>
      <c r="BR645" s="1464">
        <f>BN644*1</f>
        <v>0</v>
      </c>
      <c r="BS645" s="58"/>
      <c r="BT645" s="58"/>
      <c r="BU645" s="58"/>
      <c r="BV645" s="58"/>
      <c r="BW645" s="1464">
        <f>BS644*1</f>
        <v>0</v>
      </c>
      <c r="BX645" s="58"/>
      <c r="BY645" s="58"/>
      <c r="BZ645" s="58"/>
      <c r="CA645" s="58"/>
      <c r="CB645" s="1464">
        <f>BX644*2</f>
        <v>4</v>
      </c>
      <c r="CC645" s="58"/>
      <c r="CD645" s="58"/>
      <c r="CE645" s="58"/>
      <c r="CF645" s="58"/>
      <c r="CG645" s="1464">
        <f>CC644*3</f>
        <v>0</v>
      </c>
      <c r="CH645" s="58"/>
      <c r="CI645" s="58"/>
      <c r="CJ645" s="58"/>
      <c r="CK645" s="58"/>
      <c r="CL645" s="1464">
        <f>CH644*4</f>
        <v>0</v>
      </c>
      <c r="CM645" s="58"/>
      <c r="CN645" s="58"/>
      <c r="CO645" s="58"/>
      <c r="CP645" s="58"/>
      <c r="CQ645" s="1464">
        <f>CM644*5</f>
        <v>0</v>
      </c>
      <c r="CS645" s="1464">
        <f>BR645+BW645+CB645+CG645+CL645+CQ645</f>
        <v>4</v>
      </c>
      <c r="CT645" s="134" t="s">
        <v>2385</v>
      </c>
      <c r="CU645" s="58"/>
      <c r="CV645" s="58"/>
      <c r="CW645" s="58"/>
      <c r="CX645" s="58"/>
      <c r="CY645" s="58"/>
      <c r="CZ645" s="58"/>
      <c r="DA645" s="58"/>
      <c r="DB645" s="58"/>
      <c r="DC645" s="58"/>
      <c r="DD645" s="58"/>
      <c r="DE645" s="58"/>
      <c r="DF645" s="58"/>
      <c r="DX645" s="2550" t="e">
        <f t="shared" si="22"/>
        <v>#VALUE!</v>
      </c>
      <c r="DY645" s="2550"/>
      <c r="DZ645" s="2550"/>
      <c r="EA645" s="2550"/>
      <c r="EB645" s="2550"/>
      <c r="EC645" s="2550" t="e">
        <f t="shared" si="23"/>
        <v>#VALUE!</v>
      </c>
      <c r="ED645" s="2550"/>
      <c r="EE645" s="2550"/>
      <c r="EF645" s="2550"/>
      <c r="EG645" s="2550"/>
      <c r="EH645" s="2550" t="e">
        <f t="shared" si="24"/>
        <v>#VALUE!</v>
      </c>
      <c r="EI645" s="2550"/>
      <c r="EJ645" s="2550"/>
      <c r="EK645" s="2550"/>
      <c r="EL645" s="2550"/>
      <c r="EM645" s="2550" t="e">
        <f t="shared" si="25"/>
        <v>#VALUE!</v>
      </c>
      <c r="EN645" s="2550"/>
      <c r="EO645" s="2550"/>
      <c r="EP645" s="2550"/>
      <c r="EQ645" s="2550"/>
      <c r="ER645" s="2550" t="e">
        <f t="shared" si="26"/>
        <v>#VALUE!</v>
      </c>
      <c r="ES645" s="2550"/>
      <c r="ET645" s="2550"/>
      <c r="EU645" s="2550"/>
      <c r="EV645" s="2550"/>
      <c r="EW645" s="2550" t="e">
        <f t="shared" si="27"/>
        <v>#VALUE!</v>
      </c>
      <c r="EX645" s="2550"/>
      <c r="EY645" s="2550"/>
      <c r="EZ645" s="2550"/>
      <c r="FA645" s="2550"/>
    </row>
    <row r="646" spans="1:157" ht="13.2">
      <c r="B646" s="84" t="s">
        <v>681</v>
      </c>
      <c r="C646" s="2026"/>
      <c r="D646" s="2026"/>
      <c r="E646" s="2026"/>
      <c r="F646" s="2026"/>
      <c r="G646" s="2026"/>
      <c r="H646" s="2026"/>
      <c r="I646" s="2026"/>
      <c r="J646" s="2026"/>
      <c r="K646" s="2026"/>
      <c r="L646" s="2026"/>
      <c r="M646" s="2026"/>
      <c r="N646" s="2413"/>
      <c r="O646" s="2370"/>
      <c r="P646" s="2371"/>
      <c r="Q646" s="2372"/>
      <c r="R646" s="2153"/>
      <c r="S646" s="2154"/>
      <c r="T646" s="2155"/>
      <c r="U646" s="2386"/>
      <c r="V646" s="2387"/>
      <c r="W646" s="2388"/>
      <c r="X646" s="2299"/>
      <c r="Y646" s="2551"/>
      <c r="Z646" s="2551"/>
      <c r="AA646" s="2551"/>
      <c r="AB646" s="2552"/>
      <c r="AC646" s="2128"/>
      <c r="AD646" s="2129"/>
      <c r="AE646" s="2130"/>
      <c r="AF646" s="2247"/>
      <c r="AG646" s="2248"/>
      <c r="AH646" s="2248"/>
      <c r="AI646" s="2248"/>
      <c r="AJ646" s="2249"/>
      <c r="AK646" s="2367"/>
      <c r="AL646" s="2368"/>
      <c r="AM646" s="2368"/>
      <c r="AN646" s="2369"/>
      <c r="AO646" s="2131"/>
      <c r="AP646" s="2131"/>
      <c r="AQ646" s="2131"/>
      <c r="AR646" s="2131"/>
      <c r="AS646" s="213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0" t="e">
        <f t="shared" si="22"/>
        <v>#VALUE!</v>
      </c>
      <c r="DY646" s="2550"/>
      <c r="DZ646" s="2550"/>
      <c r="EA646" s="2550"/>
      <c r="EB646" s="2550"/>
      <c r="EC646" s="2550">
        <f t="shared" si="23"/>
        <v>303.51063829787233</v>
      </c>
      <c r="ED646" s="2550"/>
      <c r="EE646" s="2550"/>
      <c r="EF646" s="2550"/>
      <c r="EG646" s="2550"/>
      <c r="EH646" s="2550" t="e">
        <f t="shared" si="24"/>
        <v>#VALUE!</v>
      </c>
      <c r="EI646" s="2550"/>
      <c r="EJ646" s="2550"/>
      <c r="EK646" s="2550"/>
      <c r="EL646" s="2550"/>
      <c r="EM646" s="2550" t="e">
        <f t="shared" si="25"/>
        <v>#VALUE!</v>
      </c>
      <c r="EN646" s="2550"/>
      <c r="EO646" s="2550"/>
      <c r="EP646" s="2550"/>
      <c r="EQ646" s="2550"/>
      <c r="ER646" s="2550" t="e">
        <f t="shared" si="26"/>
        <v>#VALUE!</v>
      </c>
      <c r="ES646" s="2550"/>
      <c r="ET646" s="2550"/>
      <c r="EU646" s="2550"/>
      <c r="EV646" s="2550"/>
      <c r="EW646" s="2550" t="e">
        <f t="shared" si="27"/>
        <v>#VALUE!</v>
      </c>
      <c r="EX646" s="2550"/>
      <c r="EY646" s="2550"/>
      <c r="EZ646" s="2550"/>
      <c r="FA646" s="2550"/>
    </row>
    <row r="647" spans="1:157" ht="13.2">
      <c r="B647" s="84" t="s">
        <v>372</v>
      </c>
      <c r="C647" s="2026"/>
      <c r="D647" s="2026"/>
      <c r="E647" s="2026"/>
      <c r="F647" s="2026"/>
      <c r="G647" s="2026"/>
      <c r="H647" s="2026"/>
      <c r="I647" s="2026"/>
      <c r="J647" s="2026"/>
      <c r="K647" s="2026"/>
      <c r="L647" s="2026"/>
      <c r="M647" s="2026"/>
      <c r="N647" s="2413"/>
      <c r="O647" s="2370"/>
      <c r="P647" s="2371"/>
      <c r="Q647" s="2372"/>
      <c r="R647" s="2153"/>
      <c r="S647" s="2154"/>
      <c r="T647" s="2155"/>
      <c r="U647" s="2386"/>
      <c r="V647" s="2387"/>
      <c r="W647" s="2388"/>
      <c r="X647" s="2299"/>
      <c r="Y647" s="2551"/>
      <c r="Z647" s="2551"/>
      <c r="AA647" s="2551"/>
      <c r="AB647" s="2552"/>
      <c r="AC647" s="2128"/>
      <c r="AD647" s="2129"/>
      <c r="AE647" s="2130"/>
      <c r="AF647" s="2247"/>
      <c r="AG647" s="2248"/>
      <c r="AH647" s="2248"/>
      <c r="AI647" s="2248"/>
      <c r="AJ647" s="2249"/>
      <c r="AK647" s="2367"/>
      <c r="AL647" s="2368"/>
      <c r="AM647" s="2368"/>
      <c r="AN647" s="2369"/>
      <c r="AO647" s="2131"/>
      <c r="AP647" s="2131"/>
      <c r="AQ647" s="2131"/>
      <c r="AR647" s="2131"/>
      <c r="AS647" s="213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0" t="e">
        <f t="shared" si="22"/>
        <v>#VALUE!</v>
      </c>
      <c r="DY647" s="2550"/>
      <c r="DZ647" s="2550"/>
      <c r="EA647" s="2550"/>
      <c r="EB647" s="2550"/>
      <c r="EC647" s="2550" t="e">
        <f t="shared" si="23"/>
        <v>#VALUE!</v>
      </c>
      <c r="ED647" s="2550"/>
      <c r="EE647" s="2550"/>
      <c r="EF647" s="2550"/>
      <c r="EG647" s="2550"/>
      <c r="EH647" s="2550">
        <f t="shared" si="24"/>
        <v>269.20430107526886</v>
      </c>
      <c r="EI647" s="2550"/>
      <c r="EJ647" s="2550"/>
      <c r="EK647" s="2550"/>
      <c r="EL647" s="2550"/>
      <c r="EM647" s="2550" t="e">
        <f t="shared" si="25"/>
        <v>#VALUE!</v>
      </c>
      <c r="EN647" s="2550"/>
      <c r="EO647" s="2550"/>
      <c r="EP647" s="2550"/>
      <c r="EQ647" s="2550"/>
      <c r="ER647" s="2550" t="e">
        <f t="shared" si="26"/>
        <v>#VALUE!</v>
      </c>
      <c r="ES647" s="2550"/>
      <c r="ET647" s="2550"/>
      <c r="EU647" s="2550"/>
      <c r="EV647" s="2550"/>
      <c r="EW647" s="2550" t="e">
        <f t="shared" si="27"/>
        <v>#VALUE!</v>
      </c>
      <c r="EX647" s="2550"/>
      <c r="EY647" s="2550"/>
      <c r="EZ647" s="2550"/>
      <c r="FA647" s="2550"/>
    </row>
    <row r="648" spans="1:157" ht="13.2">
      <c r="B648" s="84" t="s">
        <v>373</v>
      </c>
      <c r="C648" s="2026"/>
      <c r="D648" s="2026"/>
      <c r="E648" s="2026"/>
      <c r="F648" s="2026"/>
      <c r="G648" s="2026"/>
      <c r="H648" s="2026"/>
      <c r="I648" s="2026"/>
      <c r="J648" s="2026"/>
      <c r="K648" s="2026"/>
      <c r="L648" s="2026"/>
      <c r="M648" s="2026"/>
      <c r="N648" s="2413"/>
      <c r="O648" s="2370"/>
      <c r="P648" s="2371"/>
      <c r="Q648" s="2372"/>
      <c r="R648" s="2153"/>
      <c r="S648" s="2154"/>
      <c r="T648" s="2155"/>
      <c r="U648" s="2386"/>
      <c r="V648" s="2387"/>
      <c r="W648" s="2388"/>
      <c r="X648" s="2299"/>
      <c r="Y648" s="2551"/>
      <c r="Z648" s="2551"/>
      <c r="AA648" s="2551"/>
      <c r="AB648" s="2552"/>
      <c r="AC648" s="2128"/>
      <c r="AD648" s="2129"/>
      <c r="AE648" s="2130"/>
      <c r="AF648" s="2247"/>
      <c r="AG648" s="2248"/>
      <c r="AH648" s="2248"/>
      <c r="AI648" s="2248"/>
      <c r="AJ648" s="2249"/>
      <c r="AK648" s="2367"/>
      <c r="AL648" s="2368"/>
      <c r="AM648" s="2368"/>
      <c r="AN648" s="2369"/>
      <c r="AO648" s="2131"/>
      <c r="AP648" s="2131"/>
      <c r="AQ648" s="2131"/>
      <c r="AR648" s="2131"/>
      <c r="AS648" s="213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9">
        <f t="shared" ref="BN648:BN657" si="30">IF(J786="SRO/Studio",O786,0)</f>
        <v>0</v>
      </c>
      <c r="BO648" s="2010"/>
      <c r="BP648" s="2010"/>
      <c r="BQ648" s="2010"/>
      <c r="BR648" s="2011"/>
      <c r="BS648" s="2008">
        <f t="shared" ref="BS648:BS657" si="31">IF(J786="1 Bedroom",O786,0)</f>
        <v>0</v>
      </c>
      <c r="BT648" s="2008"/>
      <c r="BU648" s="2008"/>
      <c r="BV648" s="2008"/>
      <c r="BW648" s="2008"/>
      <c r="BX648" s="2008">
        <f t="shared" ref="BX648:BX657" si="32">IF(J786="2 Bedrooms",O786,0)</f>
        <v>0</v>
      </c>
      <c r="BY648" s="2008"/>
      <c r="BZ648" s="2008"/>
      <c r="CA648" s="2008"/>
      <c r="CB648" s="2008"/>
      <c r="CC648" s="2008">
        <f t="shared" ref="CC648:CC657" si="33">IF(J786="3 Bedrooms",O786,0)</f>
        <v>0</v>
      </c>
      <c r="CD648" s="2008"/>
      <c r="CE648" s="2008"/>
      <c r="CF648" s="2008"/>
      <c r="CG648" s="2008"/>
      <c r="CH648" s="2008">
        <f t="shared" ref="CH648:CH657" si="34">IF(J786="4 Bedrooms",O786,0)</f>
        <v>0</v>
      </c>
      <c r="CI648" s="2008"/>
      <c r="CJ648" s="2008"/>
      <c r="CK648" s="2008"/>
      <c r="CL648" s="2008"/>
      <c r="CM648" s="2008">
        <f t="shared" ref="CM648:CM657" si="35">IF(J786="5 Bedrooms",O786,0)</f>
        <v>0</v>
      </c>
      <c r="CN648" s="2008"/>
      <c r="CO648" s="2008"/>
      <c r="CP648" s="2008"/>
      <c r="CQ648" s="2008"/>
      <c r="CR648" s="265"/>
      <c r="CS648" s="2009">
        <f>IF(AND(BN648&gt;=1,AH786&gt;=0.1,AH786&lt;=1),O786,0)</f>
        <v>0</v>
      </c>
      <c r="CT648" s="2010"/>
      <c r="CU648" s="2010"/>
      <c r="CV648" s="2010"/>
      <c r="CW648" s="2011"/>
      <c r="CX648" s="2009">
        <f>IF(AND(BS648&gt;=1,AH786&gt;=0.1,AH786&lt;=1),O786,0)</f>
        <v>0</v>
      </c>
      <c r="CY648" s="2010"/>
      <c r="CZ648" s="2010"/>
      <c r="DA648" s="2010"/>
      <c r="DB648" s="2011"/>
      <c r="DC648" s="2009">
        <f>IF(AND(BX648&gt;=1,AH786&gt;=0.1,AH786&lt;=1),O786,0)</f>
        <v>0</v>
      </c>
      <c r="DD648" s="2010"/>
      <c r="DE648" s="2010"/>
      <c r="DF648" s="2010"/>
      <c r="DG648" s="2011"/>
      <c r="DH648" s="2009">
        <f>IF(AND(CC648&gt;=1,AH786&gt;=0.1,AH786&lt;=1),O786,0)</f>
        <v>0</v>
      </c>
      <c r="DI648" s="2010"/>
      <c r="DJ648" s="2010"/>
      <c r="DK648" s="2010"/>
      <c r="DL648" s="2011"/>
      <c r="DM648" s="2009">
        <f>IF(AND(CH648&gt;=1,AH786&gt;=0.1,AH786&lt;=1),O786,0)</f>
        <v>0</v>
      </c>
      <c r="DN648" s="2010"/>
      <c r="DO648" s="2010"/>
      <c r="DP648" s="2010"/>
      <c r="DQ648" s="2011"/>
      <c r="DR648" s="2009">
        <f>IF(AND(CM648&gt;=1,AH786&gt;=0.1,AH786&lt;=1),O786,0)</f>
        <v>0</v>
      </c>
      <c r="DS648" s="2010"/>
      <c r="DT648" s="2010"/>
      <c r="DU648" s="2010"/>
      <c r="DV648" s="2011"/>
      <c r="DX648" s="2550" t="e">
        <f t="shared" si="22"/>
        <v>#VALUE!</v>
      </c>
      <c r="DY648" s="2550"/>
      <c r="DZ648" s="2550"/>
      <c r="EA648" s="2550"/>
      <c r="EB648" s="2550"/>
      <c r="EC648" s="2550" t="e">
        <f t="shared" si="23"/>
        <v>#VALUE!</v>
      </c>
      <c r="ED648" s="2550"/>
      <c r="EE648" s="2550"/>
      <c r="EF648" s="2550"/>
      <c r="EG648" s="2550"/>
      <c r="EH648" s="2550" t="e">
        <f t="shared" si="24"/>
        <v>#VALUE!</v>
      </c>
      <c r="EI648" s="2550"/>
      <c r="EJ648" s="2550"/>
      <c r="EK648" s="2550"/>
      <c r="EL648" s="2550"/>
      <c r="EM648" s="2550">
        <f t="shared" si="25"/>
        <v>315.72413793103448</v>
      </c>
      <c r="EN648" s="2550"/>
      <c r="EO648" s="2550"/>
      <c r="EP648" s="2550"/>
      <c r="EQ648" s="2550"/>
      <c r="ER648" s="2550" t="e">
        <f t="shared" si="26"/>
        <v>#VALUE!</v>
      </c>
      <c r="ES648" s="2550"/>
      <c r="ET648" s="2550"/>
      <c r="EU648" s="2550"/>
      <c r="EV648" s="2550"/>
      <c r="EW648" s="2550" t="e">
        <f t="shared" si="27"/>
        <v>#VALUE!</v>
      </c>
      <c r="EX648" s="2550"/>
      <c r="EY648" s="2550"/>
      <c r="EZ648" s="2550"/>
      <c r="FA648" s="2550"/>
    </row>
    <row r="649" spans="1:157" ht="13.2">
      <c r="B649" s="2180" t="s">
        <v>133</v>
      </c>
      <c r="C649" s="2181"/>
      <c r="D649" s="2181"/>
      <c r="E649" s="2181"/>
      <c r="F649" s="2181"/>
      <c r="G649" s="2181"/>
      <c r="H649" s="2181"/>
      <c r="I649" s="2181"/>
      <c r="J649" s="2181"/>
      <c r="K649" s="2181"/>
      <c r="L649" s="2181"/>
      <c r="M649" s="2181"/>
      <c r="N649" s="2181"/>
      <c r="O649" s="2181"/>
      <c r="P649" s="2181"/>
      <c r="Q649" s="2181"/>
      <c r="R649" s="2181"/>
      <c r="S649" s="2181"/>
      <c r="T649" s="2181"/>
      <c r="U649" s="2181"/>
      <c r="V649" s="2181"/>
      <c r="W649" s="2181"/>
      <c r="X649" s="2181"/>
      <c r="Y649" s="2181"/>
      <c r="Z649" s="2181"/>
      <c r="AA649" s="2181"/>
      <c r="AB649" s="2181"/>
      <c r="AC649" s="2181"/>
      <c r="AD649" s="2181"/>
      <c r="AE649" s="2181"/>
      <c r="AF649" s="2181"/>
      <c r="AG649" s="2181"/>
      <c r="AH649" s="2181"/>
      <c r="AI649" s="2181"/>
      <c r="AJ649" s="2181"/>
      <c r="AK649" s="2181"/>
      <c r="AL649" s="2181"/>
      <c r="AM649" s="2181"/>
      <c r="AN649" s="2183"/>
      <c r="AO649" s="2133">
        <f>SUM(AO637:AR648)</f>
        <v>35743257</v>
      </c>
      <c r="AP649" s="2134"/>
      <c r="AQ649" s="2134"/>
      <c r="AR649" s="2134"/>
      <c r="AS649" s="2135"/>
      <c r="AZ649" s="58"/>
      <c r="BA649" s="58"/>
      <c r="BB649" s="58"/>
      <c r="BC649" s="58"/>
      <c r="BD649" s="58"/>
      <c r="BE649" s="58"/>
      <c r="BF649" s="58"/>
      <c r="BG649" s="58"/>
      <c r="BH649" s="58"/>
      <c r="BI649" s="58"/>
      <c r="BJ649" s="58"/>
      <c r="BK649" s="58"/>
      <c r="BL649" s="58"/>
      <c r="BM649" s="58"/>
      <c r="BN649" s="2009">
        <f t="shared" si="30"/>
        <v>0</v>
      </c>
      <c r="BO649" s="2010"/>
      <c r="BP649" s="2010"/>
      <c r="BQ649" s="2010"/>
      <c r="BR649" s="2011"/>
      <c r="BS649" s="2008">
        <f t="shared" si="31"/>
        <v>0</v>
      </c>
      <c r="BT649" s="2008"/>
      <c r="BU649" s="2008"/>
      <c r="BV649" s="2008"/>
      <c r="BW649" s="2008"/>
      <c r="BX649" s="2008">
        <f t="shared" si="32"/>
        <v>0</v>
      </c>
      <c r="BY649" s="2008"/>
      <c r="BZ649" s="2008"/>
      <c r="CA649" s="2008"/>
      <c r="CB649" s="2008"/>
      <c r="CC649" s="2008">
        <f t="shared" si="33"/>
        <v>0</v>
      </c>
      <c r="CD649" s="2008"/>
      <c r="CE649" s="2008"/>
      <c r="CF649" s="2008"/>
      <c r="CG649" s="2008"/>
      <c r="CH649" s="2008">
        <f t="shared" si="34"/>
        <v>0</v>
      </c>
      <c r="CI649" s="2008"/>
      <c r="CJ649" s="2008"/>
      <c r="CK649" s="2008"/>
      <c r="CL649" s="2008"/>
      <c r="CM649" s="2008">
        <f t="shared" si="35"/>
        <v>0</v>
      </c>
      <c r="CN649" s="2008"/>
      <c r="CO649" s="2008"/>
      <c r="CP649" s="2008"/>
      <c r="CQ649" s="2008"/>
      <c r="CR649" s="265"/>
      <c r="CS649" s="2009">
        <f t="shared" ref="CS649:CS657" si="36">IF(AND(BN649&gt;=1,AH787&gt;=0.1,AH787&lt;=1),O787,0)</f>
        <v>0</v>
      </c>
      <c r="CT649" s="2010"/>
      <c r="CU649" s="2010"/>
      <c r="CV649" s="2010"/>
      <c r="CW649" s="2011"/>
      <c r="CX649" s="2009">
        <f t="shared" ref="CX649:CX657" si="37">IF(AND(BS649&gt;=1,AH787&gt;=0.1,AH787&lt;=1),O787,0)</f>
        <v>0</v>
      </c>
      <c r="CY649" s="2010"/>
      <c r="CZ649" s="2010"/>
      <c r="DA649" s="2010"/>
      <c r="DB649" s="2011"/>
      <c r="DC649" s="2009">
        <f t="shared" ref="DC649:DC657" si="38">IF(AND(BX649&gt;=1,AH787&gt;=0.1,AH787&lt;=1),O787,0)</f>
        <v>0</v>
      </c>
      <c r="DD649" s="2010"/>
      <c r="DE649" s="2010"/>
      <c r="DF649" s="2010"/>
      <c r="DG649" s="2011"/>
      <c r="DH649" s="2009">
        <f t="shared" ref="DH649:DH657" si="39">IF(AND(CC649&gt;=1,AH787&gt;=0.1,AH787&lt;=1),O787,0)</f>
        <v>0</v>
      </c>
      <c r="DI649" s="2010"/>
      <c r="DJ649" s="2010"/>
      <c r="DK649" s="2010"/>
      <c r="DL649" s="2011"/>
      <c r="DM649" s="2009">
        <f t="shared" ref="DM649:DM657" si="40">IF(AND(CH649&gt;=1,AH787&gt;=0.1,AH787&lt;=1),O787,0)</f>
        <v>0</v>
      </c>
      <c r="DN649" s="2010"/>
      <c r="DO649" s="2010"/>
      <c r="DP649" s="2010"/>
      <c r="DQ649" s="2011"/>
      <c r="DR649" s="2009">
        <f t="shared" ref="DR649:DR657" si="41">IF(AND(CM649&gt;=1,AH787&gt;=0.1,AH787&lt;=1),O787,0)</f>
        <v>0</v>
      </c>
      <c r="DS649" s="2010"/>
      <c r="DT649" s="2010"/>
      <c r="DU649" s="2010"/>
      <c r="DV649" s="2011"/>
      <c r="DX649" s="2550" t="e">
        <f t="shared" si="22"/>
        <v>#VALUE!</v>
      </c>
      <c r="DY649" s="2550"/>
      <c r="DZ649" s="2550"/>
      <c r="EA649" s="2550"/>
      <c r="EB649" s="2550"/>
      <c r="EC649" s="2550" t="e">
        <f t="shared" si="23"/>
        <v>#VALUE!</v>
      </c>
      <c r="ED649" s="2550"/>
      <c r="EE649" s="2550"/>
      <c r="EF649" s="2550"/>
      <c r="EG649" s="2550"/>
      <c r="EH649" s="2550" t="e">
        <f t="shared" si="24"/>
        <v>#VALUE!</v>
      </c>
      <c r="EI649" s="2550"/>
      <c r="EJ649" s="2550"/>
      <c r="EK649" s="2550"/>
      <c r="EL649" s="2550"/>
      <c r="EM649" s="2550" t="e">
        <f t="shared" si="25"/>
        <v>#VALUE!</v>
      </c>
      <c r="EN649" s="2550"/>
      <c r="EO649" s="2550"/>
      <c r="EP649" s="2550"/>
      <c r="EQ649" s="2550"/>
      <c r="ER649" s="2550" t="e">
        <f t="shared" si="26"/>
        <v>#VALUE!</v>
      </c>
      <c r="ES649" s="2550"/>
      <c r="ET649" s="2550"/>
      <c r="EU649" s="2550"/>
      <c r="EV649" s="2550"/>
      <c r="EW649" s="2550" t="e">
        <f t="shared" si="27"/>
        <v>#VALUE!</v>
      </c>
      <c r="EX649" s="2550"/>
      <c r="EY649" s="2550"/>
      <c r="EZ649" s="2550"/>
      <c r="FA649" s="2550"/>
    </row>
    <row r="650" spans="1:157" ht="12.75" customHeight="1">
      <c r="B650" s="2180" t="s">
        <v>273</v>
      </c>
      <c r="C650" s="2181"/>
      <c r="D650" s="2181"/>
      <c r="E650" s="2181"/>
      <c r="F650" s="2181"/>
      <c r="G650" s="2181"/>
      <c r="H650" s="2181"/>
      <c r="I650" s="2181"/>
      <c r="J650" s="2181"/>
      <c r="K650" s="2181"/>
      <c r="L650" s="2181"/>
      <c r="M650" s="2181"/>
      <c r="N650" s="2181"/>
      <c r="O650" s="2181"/>
      <c r="P650" s="2181"/>
      <c r="Q650" s="2181"/>
      <c r="R650" s="2181"/>
      <c r="S650" s="2181"/>
      <c r="T650" s="2181"/>
      <c r="U650" s="2181"/>
      <c r="V650" s="2181"/>
      <c r="W650" s="2181"/>
      <c r="X650" s="2181"/>
      <c r="Y650" s="2181"/>
      <c r="Z650" s="2181"/>
      <c r="AA650" s="2181"/>
      <c r="AB650" s="2181"/>
      <c r="AC650" s="2181"/>
      <c r="AD650" s="2181"/>
      <c r="AE650" s="2181"/>
      <c r="AF650" s="2181"/>
      <c r="AG650" s="2181"/>
      <c r="AH650" s="2181"/>
      <c r="AI650" s="2181"/>
      <c r="AJ650" s="2181"/>
      <c r="AK650" s="2181"/>
      <c r="AL650" s="2181"/>
      <c r="AM650" s="2181"/>
      <c r="AN650" s="2183"/>
      <c r="AO650" s="2028">
        <v>63085577</v>
      </c>
      <c r="AP650" s="2029"/>
      <c r="AQ650" s="2029"/>
      <c r="AR650" s="2029"/>
      <c r="AS650" s="2030"/>
      <c r="AZ650" s="61"/>
      <c r="BA650" s="61"/>
      <c r="BB650" s="61"/>
      <c r="BC650" s="61"/>
      <c r="BD650" s="61"/>
      <c r="BE650" s="61"/>
      <c r="BF650" s="61"/>
      <c r="BG650" s="61"/>
      <c r="BH650" s="61"/>
      <c r="BI650" s="61"/>
      <c r="BJ650" s="61"/>
      <c r="BK650" s="61"/>
      <c r="BL650" s="61"/>
      <c r="BM650" s="61"/>
      <c r="BN650" s="2009">
        <f t="shared" si="30"/>
        <v>0</v>
      </c>
      <c r="BO650" s="2010"/>
      <c r="BP650" s="2010"/>
      <c r="BQ650" s="2010"/>
      <c r="BR650" s="2011"/>
      <c r="BS650" s="2008">
        <f t="shared" si="31"/>
        <v>0</v>
      </c>
      <c r="BT650" s="2008"/>
      <c r="BU650" s="2008"/>
      <c r="BV650" s="2008"/>
      <c r="BW650" s="2008"/>
      <c r="BX650" s="2008">
        <f t="shared" si="32"/>
        <v>0</v>
      </c>
      <c r="BY650" s="2008"/>
      <c r="BZ650" s="2008"/>
      <c r="CA650" s="2008"/>
      <c r="CB650" s="2008"/>
      <c r="CC650" s="2008">
        <f t="shared" si="33"/>
        <v>0</v>
      </c>
      <c r="CD650" s="2008"/>
      <c r="CE650" s="2008"/>
      <c r="CF650" s="2008"/>
      <c r="CG650" s="2008"/>
      <c r="CH650" s="2008">
        <f t="shared" si="34"/>
        <v>0</v>
      </c>
      <c r="CI650" s="2008"/>
      <c r="CJ650" s="2008"/>
      <c r="CK650" s="2008"/>
      <c r="CL650" s="2008"/>
      <c r="CM650" s="2008">
        <f t="shared" si="35"/>
        <v>0</v>
      </c>
      <c r="CN650" s="2008"/>
      <c r="CO650" s="2008"/>
      <c r="CP650" s="2008"/>
      <c r="CQ650" s="2008"/>
      <c r="CR650" s="265"/>
      <c r="CS650" s="2009">
        <f t="shared" si="36"/>
        <v>0</v>
      </c>
      <c r="CT650" s="2010"/>
      <c r="CU650" s="2010"/>
      <c r="CV650" s="2010"/>
      <c r="CW650" s="2011"/>
      <c r="CX650" s="2009">
        <f t="shared" si="37"/>
        <v>0</v>
      </c>
      <c r="CY650" s="2010"/>
      <c r="CZ650" s="2010"/>
      <c r="DA650" s="2010"/>
      <c r="DB650" s="2011"/>
      <c r="DC650" s="2009">
        <f t="shared" si="38"/>
        <v>0</v>
      </c>
      <c r="DD650" s="2010"/>
      <c r="DE650" s="2010"/>
      <c r="DF650" s="2010"/>
      <c r="DG650" s="2011"/>
      <c r="DH650" s="2009">
        <f t="shared" si="39"/>
        <v>0</v>
      </c>
      <c r="DI650" s="2010"/>
      <c r="DJ650" s="2010"/>
      <c r="DK650" s="2010"/>
      <c r="DL650" s="2011"/>
      <c r="DM650" s="2009">
        <f t="shared" si="40"/>
        <v>0</v>
      </c>
      <c r="DN650" s="2010"/>
      <c r="DO650" s="2010"/>
      <c r="DP650" s="2010"/>
      <c r="DQ650" s="2011"/>
      <c r="DR650" s="2009">
        <f t="shared" si="41"/>
        <v>0</v>
      </c>
      <c r="DS650" s="2010"/>
      <c r="DT650" s="2010"/>
      <c r="DU650" s="2010"/>
      <c r="DV650" s="2011"/>
      <c r="DX650" s="2550" t="e">
        <f t="shared" si="22"/>
        <v>#VALUE!</v>
      </c>
      <c r="DY650" s="2550"/>
      <c r="DZ650" s="2550"/>
      <c r="EA650" s="2550"/>
      <c r="EB650" s="2550"/>
      <c r="EC650" s="2550">
        <f t="shared" si="23"/>
        <v>310.06382978723406</v>
      </c>
      <c r="ED650" s="2550"/>
      <c r="EE650" s="2550"/>
      <c r="EF650" s="2550"/>
      <c r="EG650" s="2550"/>
      <c r="EH650" s="2550" t="e">
        <f t="shared" si="24"/>
        <v>#VALUE!</v>
      </c>
      <c r="EI650" s="2550"/>
      <c r="EJ650" s="2550"/>
      <c r="EK650" s="2550"/>
      <c r="EL650" s="2550"/>
      <c r="EM650" s="2550" t="e">
        <f t="shared" si="25"/>
        <v>#VALUE!</v>
      </c>
      <c r="EN650" s="2550"/>
      <c r="EO650" s="2550"/>
      <c r="EP650" s="2550"/>
      <c r="EQ650" s="2550"/>
      <c r="ER650" s="2550" t="e">
        <f t="shared" si="26"/>
        <v>#VALUE!</v>
      </c>
      <c r="ES650" s="2550"/>
      <c r="ET650" s="2550"/>
      <c r="EU650" s="2550"/>
      <c r="EV650" s="2550"/>
      <c r="EW650" s="2550" t="e">
        <f t="shared" si="27"/>
        <v>#VALUE!</v>
      </c>
      <c r="EX650" s="2550"/>
      <c r="EY650" s="2550"/>
      <c r="EZ650" s="2550"/>
      <c r="FA650" s="2550"/>
    </row>
    <row r="651" spans="1:157" ht="12.75" customHeight="1">
      <c r="B651" s="2255" t="s">
        <v>274</v>
      </c>
      <c r="C651" s="2182"/>
      <c r="D651" s="2182"/>
      <c r="E651" s="2182"/>
      <c r="F651" s="2182"/>
      <c r="G651" s="2182"/>
      <c r="H651" s="2182"/>
      <c r="I651" s="2182"/>
      <c r="J651" s="2182"/>
      <c r="K651" s="2182"/>
      <c r="L651" s="2182"/>
      <c r="M651" s="2182"/>
      <c r="N651" s="2182"/>
      <c r="O651" s="2182"/>
      <c r="P651" s="2182"/>
      <c r="Q651" s="2182"/>
      <c r="R651" s="2182"/>
      <c r="S651" s="2182"/>
      <c r="T651" s="2182"/>
      <c r="U651" s="2182"/>
      <c r="V651" s="2182"/>
      <c r="W651" s="2182"/>
      <c r="X651" s="2182"/>
      <c r="Y651" s="2182"/>
      <c r="Z651" s="2182"/>
      <c r="AA651" s="2182"/>
      <c r="AB651" s="2182"/>
      <c r="AC651" s="2182"/>
      <c r="AD651" s="2182"/>
      <c r="AE651" s="2182"/>
      <c r="AF651" s="2182"/>
      <c r="AG651" s="2182"/>
      <c r="AH651" s="2182"/>
      <c r="AI651" s="2182"/>
      <c r="AJ651" s="2182"/>
      <c r="AK651" s="2182"/>
      <c r="AL651" s="2182"/>
      <c r="AM651" s="2182"/>
      <c r="AN651" s="2256"/>
      <c r="AO651" s="2133">
        <f>AO649+AO650</f>
        <v>98828834</v>
      </c>
      <c r="AP651" s="2134"/>
      <c r="AQ651" s="2134"/>
      <c r="AR651" s="2134"/>
      <c r="AS651" s="2135"/>
      <c r="AZ651" s="61"/>
      <c r="BA651" s="61"/>
      <c r="BB651" s="61"/>
      <c r="BC651" s="61"/>
      <c r="BD651" s="61"/>
      <c r="BE651" s="61"/>
      <c r="BF651" s="61"/>
      <c r="BG651" s="61"/>
      <c r="BH651" s="61"/>
      <c r="BI651" s="61"/>
      <c r="BJ651" s="61"/>
      <c r="BK651" s="61"/>
      <c r="BL651" s="61"/>
      <c r="BM651" s="61"/>
      <c r="BN651" s="2009">
        <f t="shared" si="30"/>
        <v>0</v>
      </c>
      <c r="BO651" s="2010"/>
      <c r="BP651" s="2010"/>
      <c r="BQ651" s="2010"/>
      <c r="BR651" s="2011"/>
      <c r="BS651" s="2008">
        <f t="shared" si="31"/>
        <v>0</v>
      </c>
      <c r="BT651" s="2008"/>
      <c r="BU651" s="2008"/>
      <c r="BV651" s="2008"/>
      <c r="BW651" s="2008"/>
      <c r="BX651" s="2008">
        <f t="shared" si="32"/>
        <v>0</v>
      </c>
      <c r="BY651" s="2008"/>
      <c r="BZ651" s="2008"/>
      <c r="CA651" s="2008"/>
      <c r="CB651" s="2008"/>
      <c r="CC651" s="2008">
        <f t="shared" si="33"/>
        <v>0</v>
      </c>
      <c r="CD651" s="2008"/>
      <c r="CE651" s="2008"/>
      <c r="CF651" s="2008"/>
      <c r="CG651" s="2008"/>
      <c r="CH651" s="2008">
        <f t="shared" si="34"/>
        <v>0</v>
      </c>
      <c r="CI651" s="2008"/>
      <c r="CJ651" s="2008"/>
      <c r="CK651" s="2008"/>
      <c r="CL651" s="2008"/>
      <c r="CM651" s="2008">
        <f t="shared" si="35"/>
        <v>0</v>
      </c>
      <c r="CN651" s="2008"/>
      <c r="CO651" s="2008"/>
      <c r="CP651" s="2008"/>
      <c r="CQ651" s="2008"/>
      <c r="CR651" s="265"/>
      <c r="CS651" s="2009">
        <f t="shared" si="36"/>
        <v>0</v>
      </c>
      <c r="CT651" s="2010"/>
      <c r="CU651" s="2010"/>
      <c r="CV651" s="2010"/>
      <c r="CW651" s="2011"/>
      <c r="CX651" s="2009">
        <f t="shared" si="37"/>
        <v>0</v>
      </c>
      <c r="CY651" s="2010"/>
      <c r="CZ651" s="2010"/>
      <c r="DA651" s="2010"/>
      <c r="DB651" s="2011"/>
      <c r="DC651" s="2009">
        <f t="shared" si="38"/>
        <v>0</v>
      </c>
      <c r="DD651" s="2010"/>
      <c r="DE651" s="2010"/>
      <c r="DF651" s="2010"/>
      <c r="DG651" s="2011"/>
      <c r="DH651" s="2009">
        <f t="shared" si="39"/>
        <v>0</v>
      </c>
      <c r="DI651" s="2010"/>
      <c r="DJ651" s="2010"/>
      <c r="DK651" s="2010"/>
      <c r="DL651" s="2011"/>
      <c r="DM651" s="2009">
        <f t="shared" si="40"/>
        <v>0</v>
      </c>
      <c r="DN651" s="2010"/>
      <c r="DO651" s="2010"/>
      <c r="DP651" s="2010"/>
      <c r="DQ651" s="2011"/>
      <c r="DR651" s="2009">
        <f t="shared" si="41"/>
        <v>0</v>
      </c>
      <c r="DS651" s="2010"/>
      <c r="DT651" s="2010"/>
      <c r="DU651" s="2010"/>
      <c r="DV651" s="2011"/>
      <c r="DX651" s="2550" t="e">
        <f t="shared" si="22"/>
        <v>#VALUE!</v>
      </c>
      <c r="DY651" s="2550"/>
      <c r="DZ651" s="2550"/>
      <c r="EA651" s="2550"/>
      <c r="EB651" s="2550"/>
      <c r="EC651" s="2550" t="e">
        <f t="shared" si="23"/>
        <v>#VALUE!</v>
      </c>
      <c r="ED651" s="2550"/>
      <c r="EE651" s="2550"/>
      <c r="EF651" s="2550"/>
      <c r="EG651" s="2550"/>
      <c r="EH651" s="2550">
        <f t="shared" si="24"/>
        <v>259.74193548387098</v>
      </c>
      <c r="EI651" s="2550"/>
      <c r="EJ651" s="2550"/>
      <c r="EK651" s="2550"/>
      <c r="EL651" s="2550"/>
      <c r="EM651" s="2550" t="e">
        <f t="shared" si="25"/>
        <v>#VALUE!</v>
      </c>
      <c r="EN651" s="2550"/>
      <c r="EO651" s="2550"/>
      <c r="EP651" s="2550"/>
      <c r="EQ651" s="2550"/>
      <c r="ER651" s="2550" t="e">
        <f t="shared" si="26"/>
        <v>#VALUE!</v>
      </c>
      <c r="ES651" s="2550"/>
      <c r="ET651" s="2550"/>
      <c r="EU651" s="2550"/>
      <c r="EV651" s="2550"/>
      <c r="EW651" s="2550" t="e">
        <f t="shared" si="27"/>
        <v>#VALUE!</v>
      </c>
      <c r="EX651" s="2550"/>
      <c r="EY651" s="2550"/>
      <c r="EZ651" s="2550"/>
      <c r="FA651" s="2550"/>
    </row>
    <row r="652" spans="1:157" ht="13.2">
      <c r="A652" s="25"/>
      <c r="B652" s="916"/>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9">
        <f t="shared" si="30"/>
        <v>0</v>
      </c>
      <c r="BO652" s="2010"/>
      <c r="BP652" s="2010"/>
      <c r="BQ652" s="2010"/>
      <c r="BR652" s="2011"/>
      <c r="BS652" s="2008">
        <f t="shared" si="31"/>
        <v>0</v>
      </c>
      <c r="BT652" s="2008"/>
      <c r="BU652" s="2008"/>
      <c r="BV652" s="2008"/>
      <c r="BW652" s="2008"/>
      <c r="BX652" s="2008">
        <f t="shared" si="32"/>
        <v>0</v>
      </c>
      <c r="BY652" s="2008"/>
      <c r="BZ652" s="2008"/>
      <c r="CA652" s="2008"/>
      <c r="CB652" s="2008"/>
      <c r="CC652" s="2008">
        <f t="shared" si="33"/>
        <v>0</v>
      </c>
      <c r="CD652" s="2008"/>
      <c r="CE652" s="2008"/>
      <c r="CF652" s="2008"/>
      <c r="CG652" s="2008"/>
      <c r="CH652" s="2008">
        <f t="shared" si="34"/>
        <v>0</v>
      </c>
      <c r="CI652" s="2008"/>
      <c r="CJ652" s="2008"/>
      <c r="CK652" s="2008"/>
      <c r="CL652" s="2008"/>
      <c r="CM652" s="2008">
        <f t="shared" si="35"/>
        <v>0</v>
      </c>
      <c r="CN652" s="2008"/>
      <c r="CO652" s="2008"/>
      <c r="CP652" s="2008"/>
      <c r="CQ652" s="2008"/>
      <c r="CR652" s="265"/>
      <c r="CS652" s="2009">
        <f t="shared" si="36"/>
        <v>0</v>
      </c>
      <c r="CT652" s="2010"/>
      <c r="CU652" s="2010"/>
      <c r="CV652" s="2010"/>
      <c r="CW652" s="2011"/>
      <c r="CX652" s="2009">
        <f t="shared" si="37"/>
        <v>0</v>
      </c>
      <c r="CY652" s="2010"/>
      <c r="CZ652" s="2010"/>
      <c r="DA652" s="2010"/>
      <c r="DB652" s="2011"/>
      <c r="DC652" s="2009">
        <f t="shared" si="38"/>
        <v>0</v>
      </c>
      <c r="DD652" s="2010"/>
      <c r="DE652" s="2010"/>
      <c r="DF652" s="2010"/>
      <c r="DG652" s="2011"/>
      <c r="DH652" s="2009">
        <f t="shared" si="39"/>
        <v>0</v>
      </c>
      <c r="DI652" s="2010"/>
      <c r="DJ652" s="2010"/>
      <c r="DK652" s="2010"/>
      <c r="DL652" s="2011"/>
      <c r="DM652" s="2009">
        <f t="shared" si="40"/>
        <v>0</v>
      </c>
      <c r="DN652" s="2010"/>
      <c r="DO652" s="2010"/>
      <c r="DP652" s="2010"/>
      <c r="DQ652" s="2011"/>
      <c r="DR652" s="2009">
        <f t="shared" si="41"/>
        <v>0</v>
      </c>
      <c r="DS652" s="2010"/>
      <c r="DT652" s="2010"/>
      <c r="DU652" s="2010"/>
      <c r="DV652" s="2011"/>
      <c r="DX652" s="2550" t="e">
        <f t="shared" si="22"/>
        <v>#VALUE!</v>
      </c>
      <c r="DY652" s="2550"/>
      <c r="DZ652" s="2550"/>
      <c r="EA652" s="2550"/>
      <c r="EB652" s="2550"/>
      <c r="EC652" s="2550" t="e">
        <f t="shared" si="23"/>
        <v>#VALUE!</v>
      </c>
      <c r="ED652" s="2550"/>
      <c r="EE652" s="2550"/>
      <c r="EF652" s="2550"/>
      <c r="EG652" s="2550"/>
      <c r="EH652" s="2550" t="e">
        <f t="shared" si="24"/>
        <v>#VALUE!</v>
      </c>
      <c r="EI652" s="2550"/>
      <c r="EJ652" s="2550"/>
      <c r="EK652" s="2550"/>
      <c r="EL652" s="2550"/>
      <c r="EM652" s="2550">
        <f t="shared" si="25"/>
        <v>479.17241379310349</v>
      </c>
      <c r="EN652" s="2550"/>
      <c r="EO652" s="2550"/>
      <c r="EP652" s="2550"/>
      <c r="EQ652" s="2550"/>
      <c r="ER652" s="2550" t="e">
        <f t="shared" si="26"/>
        <v>#VALUE!</v>
      </c>
      <c r="ES652" s="2550"/>
      <c r="ET652" s="2550"/>
      <c r="EU652" s="2550"/>
      <c r="EV652" s="2550"/>
      <c r="EW652" s="2550" t="e">
        <f t="shared" si="27"/>
        <v>#VALUE!</v>
      </c>
      <c r="EX652" s="2550"/>
      <c r="EY652" s="2550"/>
      <c r="EZ652" s="2550"/>
      <c r="FA652" s="2550"/>
    </row>
    <row r="653" spans="1:157" ht="13.2">
      <c r="A653" s="87" t="s">
        <v>117</v>
      </c>
      <c r="B653" s="12" t="s">
        <v>496</v>
      </c>
      <c r="G653" s="2037" t="str">
        <f>C637</f>
        <v xml:space="preserve">CCRC Tax Exempt Perm Loan </v>
      </c>
      <c r="H653" s="2037"/>
      <c r="I653" s="2037"/>
      <c r="J653" s="2037"/>
      <c r="K653" s="2037"/>
      <c r="L653" s="2037"/>
      <c r="M653" s="2037"/>
      <c r="N653" s="2037"/>
      <c r="O653" s="2037"/>
      <c r="P653" s="2037"/>
      <c r="Q653" s="2037"/>
      <c r="R653" s="2037"/>
      <c r="S653" s="14"/>
      <c r="T653" s="87" t="s">
        <v>118</v>
      </c>
      <c r="U653" s="12" t="s">
        <v>496</v>
      </c>
      <c r="Z653" s="2037" t="str">
        <f>C638</f>
        <v>SHRA - Housing Trust Fund + MIHF</v>
      </c>
      <c r="AA653" s="2037"/>
      <c r="AB653" s="2037"/>
      <c r="AC653" s="2037"/>
      <c r="AD653" s="2037"/>
      <c r="AE653" s="2037"/>
      <c r="AF653" s="2037"/>
      <c r="AG653" s="2037"/>
      <c r="AH653" s="2037"/>
      <c r="AI653" s="2037"/>
      <c r="AJ653" s="2037"/>
      <c r="AK653" s="2037"/>
      <c r="AZ653" s="61"/>
      <c r="BA653" s="61"/>
      <c r="BB653" s="61"/>
      <c r="BC653" s="61"/>
      <c r="BD653" s="61"/>
      <c r="BE653" s="61"/>
      <c r="BF653" s="61"/>
      <c r="BG653" s="61"/>
      <c r="BH653" s="61"/>
      <c r="BI653" s="61"/>
      <c r="BJ653" s="61"/>
      <c r="BK653" s="61"/>
      <c r="BL653" s="61"/>
      <c r="BM653" s="61"/>
      <c r="BN653" s="2009">
        <f t="shared" si="30"/>
        <v>0</v>
      </c>
      <c r="BO653" s="2010"/>
      <c r="BP653" s="2010"/>
      <c r="BQ653" s="2010"/>
      <c r="BR653" s="2011"/>
      <c r="BS653" s="2008">
        <f t="shared" si="31"/>
        <v>0</v>
      </c>
      <c r="BT653" s="2008"/>
      <c r="BU653" s="2008"/>
      <c r="BV653" s="2008"/>
      <c r="BW653" s="2008"/>
      <c r="BX653" s="2008">
        <f t="shared" si="32"/>
        <v>0</v>
      </c>
      <c r="BY653" s="2008"/>
      <c r="BZ653" s="2008"/>
      <c r="CA653" s="2008"/>
      <c r="CB653" s="2008"/>
      <c r="CC653" s="2008">
        <f t="shared" si="33"/>
        <v>0</v>
      </c>
      <c r="CD653" s="2008"/>
      <c r="CE653" s="2008"/>
      <c r="CF653" s="2008"/>
      <c r="CG653" s="2008"/>
      <c r="CH653" s="2008">
        <f t="shared" si="34"/>
        <v>0</v>
      </c>
      <c r="CI653" s="2008"/>
      <c r="CJ653" s="2008"/>
      <c r="CK653" s="2008"/>
      <c r="CL653" s="2008"/>
      <c r="CM653" s="2008">
        <f t="shared" si="35"/>
        <v>0</v>
      </c>
      <c r="CN653" s="2008"/>
      <c r="CO653" s="2008"/>
      <c r="CP653" s="2008"/>
      <c r="CQ653" s="2008"/>
      <c r="CR653" s="265"/>
      <c r="CS653" s="2009">
        <f t="shared" si="36"/>
        <v>0</v>
      </c>
      <c r="CT653" s="2010"/>
      <c r="CU653" s="2010"/>
      <c r="CV653" s="2010"/>
      <c r="CW653" s="2011"/>
      <c r="CX653" s="2009">
        <f t="shared" si="37"/>
        <v>0</v>
      </c>
      <c r="CY653" s="2010"/>
      <c r="CZ653" s="2010"/>
      <c r="DA653" s="2010"/>
      <c r="DB653" s="2011"/>
      <c r="DC653" s="2009">
        <f t="shared" si="38"/>
        <v>0</v>
      </c>
      <c r="DD653" s="2010"/>
      <c r="DE653" s="2010"/>
      <c r="DF653" s="2010"/>
      <c r="DG653" s="2011"/>
      <c r="DH653" s="2009">
        <f t="shared" si="39"/>
        <v>0</v>
      </c>
      <c r="DI653" s="2010"/>
      <c r="DJ653" s="2010"/>
      <c r="DK653" s="2010"/>
      <c r="DL653" s="2011"/>
      <c r="DM653" s="2009">
        <f t="shared" si="40"/>
        <v>0</v>
      </c>
      <c r="DN653" s="2010"/>
      <c r="DO653" s="2010"/>
      <c r="DP653" s="2010"/>
      <c r="DQ653" s="2011"/>
      <c r="DR653" s="2009">
        <f t="shared" si="41"/>
        <v>0</v>
      </c>
      <c r="DS653" s="2010"/>
      <c r="DT653" s="2010"/>
      <c r="DU653" s="2010"/>
      <c r="DV653" s="2011"/>
      <c r="DX653" s="2550" t="e">
        <f t="shared" si="22"/>
        <v>#VALUE!</v>
      </c>
      <c r="DY653" s="2550"/>
      <c r="DZ653" s="2550"/>
      <c r="EA653" s="2550"/>
      <c r="EB653" s="2550"/>
      <c r="EC653" s="2550" t="e">
        <f t="shared" si="23"/>
        <v>#VALUE!</v>
      </c>
      <c r="ED653" s="2550"/>
      <c r="EE653" s="2550"/>
      <c r="EF653" s="2550"/>
      <c r="EG653" s="2550"/>
      <c r="EH653" s="2550" t="e">
        <f t="shared" si="24"/>
        <v>#VALUE!</v>
      </c>
      <c r="EI653" s="2550"/>
      <c r="EJ653" s="2550"/>
      <c r="EK653" s="2550"/>
      <c r="EL653" s="2550"/>
      <c r="EM653" s="2550" t="e">
        <f t="shared" si="25"/>
        <v>#VALUE!</v>
      </c>
      <c r="EN653" s="2550"/>
      <c r="EO653" s="2550"/>
      <c r="EP653" s="2550"/>
      <c r="EQ653" s="2550"/>
      <c r="ER653" s="2550" t="e">
        <f t="shared" si="26"/>
        <v>#VALUE!</v>
      </c>
      <c r="ES653" s="2550"/>
      <c r="ET653" s="2550"/>
      <c r="EU653" s="2550"/>
      <c r="EV653" s="2550"/>
      <c r="EW653" s="2550" t="e">
        <f t="shared" si="27"/>
        <v>#VALUE!</v>
      </c>
      <c r="EX653" s="2550"/>
      <c r="EY653" s="2550"/>
      <c r="EZ653" s="2550"/>
      <c r="FA653" s="2550"/>
    </row>
    <row r="654" spans="1:157" ht="13.2">
      <c r="A654" s="35"/>
      <c r="B654" s="12" t="s">
        <v>90</v>
      </c>
      <c r="G654" s="2036" t="s">
        <v>2657</v>
      </c>
      <c r="H654" s="2036"/>
      <c r="I654" s="2036"/>
      <c r="J654" s="2036"/>
      <c r="K654" s="2036"/>
      <c r="L654" s="2036"/>
      <c r="M654" s="2036"/>
      <c r="N654" s="2036"/>
      <c r="O654" s="2036"/>
      <c r="P654" s="2036"/>
      <c r="Q654" s="2036"/>
      <c r="R654" s="2036"/>
      <c r="S654" s="14"/>
      <c r="T654" s="35"/>
      <c r="U654" s="12" t="s">
        <v>90</v>
      </c>
      <c r="Z654" s="2036" t="s">
        <v>2609</v>
      </c>
      <c r="AA654" s="2036"/>
      <c r="AB654" s="2036"/>
      <c r="AC654" s="2036"/>
      <c r="AD654" s="2036"/>
      <c r="AE654" s="2036"/>
      <c r="AF654" s="2036"/>
      <c r="AG654" s="2036"/>
      <c r="AH654" s="2036"/>
      <c r="AI654" s="2036"/>
      <c r="AJ654" s="2036"/>
      <c r="AK654" s="2036"/>
      <c r="AZ654" s="61"/>
      <c r="BA654" s="61"/>
      <c r="BB654" s="61"/>
      <c r="BC654" s="61"/>
      <c r="BD654" s="61"/>
      <c r="BE654" s="61"/>
      <c r="BF654" s="61"/>
      <c r="BG654" s="61"/>
      <c r="BH654" s="61"/>
      <c r="BI654" s="61"/>
      <c r="BJ654" s="61"/>
      <c r="BK654" s="61"/>
      <c r="BL654" s="61"/>
      <c r="BM654" s="61"/>
      <c r="BN654" s="2009">
        <f t="shared" si="30"/>
        <v>0</v>
      </c>
      <c r="BO654" s="2010"/>
      <c r="BP654" s="2010"/>
      <c r="BQ654" s="2010"/>
      <c r="BR654" s="2011"/>
      <c r="BS654" s="2008">
        <f t="shared" si="31"/>
        <v>0</v>
      </c>
      <c r="BT654" s="2008"/>
      <c r="BU654" s="2008"/>
      <c r="BV654" s="2008"/>
      <c r="BW654" s="2008"/>
      <c r="BX654" s="2008">
        <f t="shared" si="32"/>
        <v>0</v>
      </c>
      <c r="BY654" s="2008"/>
      <c r="BZ654" s="2008"/>
      <c r="CA654" s="2008"/>
      <c r="CB654" s="2008"/>
      <c r="CC654" s="2008">
        <f t="shared" si="33"/>
        <v>0</v>
      </c>
      <c r="CD654" s="2008"/>
      <c r="CE654" s="2008"/>
      <c r="CF654" s="2008"/>
      <c r="CG654" s="2008"/>
      <c r="CH654" s="2008">
        <f t="shared" si="34"/>
        <v>0</v>
      </c>
      <c r="CI654" s="2008"/>
      <c r="CJ654" s="2008"/>
      <c r="CK654" s="2008"/>
      <c r="CL654" s="2008"/>
      <c r="CM654" s="2008">
        <f t="shared" si="35"/>
        <v>0</v>
      </c>
      <c r="CN654" s="2008"/>
      <c r="CO654" s="2008"/>
      <c r="CP654" s="2008"/>
      <c r="CQ654" s="2008"/>
      <c r="CR654" s="265"/>
      <c r="CS654" s="2009">
        <f t="shared" si="36"/>
        <v>0</v>
      </c>
      <c r="CT654" s="2010"/>
      <c r="CU654" s="2010"/>
      <c r="CV654" s="2010"/>
      <c r="CW654" s="2011"/>
      <c r="CX654" s="2009">
        <f t="shared" si="37"/>
        <v>0</v>
      </c>
      <c r="CY654" s="2010"/>
      <c r="CZ654" s="2010"/>
      <c r="DA654" s="2010"/>
      <c r="DB654" s="2011"/>
      <c r="DC654" s="2009">
        <f t="shared" si="38"/>
        <v>0</v>
      </c>
      <c r="DD654" s="2010"/>
      <c r="DE654" s="2010"/>
      <c r="DF654" s="2010"/>
      <c r="DG654" s="2011"/>
      <c r="DH654" s="2009">
        <f t="shared" si="39"/>
        <v>0</v>
      </c>
      <c r="DI654" s="2010"/>
      <c r="DJ654" s="2010"/>
      <c r="DK654" s="2010"/>
      <c r="DL654" s="2011"/>
      <c r="DM654" s="2009">
        <f t="shared" si="40"/>
        <v>0</v>
      </c>
      <c r="DN654" s="2010"/>
      <c r="DO654" s="2010"/>
      <c r="DP654" s="2010"/>
      <c r="DQ654" s="2011"/>
      <c r="DR654" s="2009">
        <f t="shared" si="41"/>
        <v>0</v>
      </c>
      <c r="DS654" s="2010"/>
      <c r="DT654" s="2010"/>
      <c r="DU654" s="2010"/>
      <c r="DV654" s="2011"/>
      <c r="DX654" s="2550" t="e">
        <f t="shared" si="22"/>
        <v>#VALUE!</v>
      </c>
      <c r="DY654" s="2550"/>
      <c r="DZ654" s="2550"/>
      <c r="EA654" s="2550"/>
      <c r="EB654" s="2550"/>
      <c r="EC654" s="2550" t="e">
        <f t="shared" si="23"/>
        <v>#VALUE!</v>
      </c>
      <c r="ED654" s="2550"/>
      <c r="EE654" s="2550"/>
      <c r="EF654" s="2550"/>
      <c r="EG654" s="2550"/>
      <c r="EH654" s="2550" t="e">
        <f t="shared" si="24"/>
        <v>#VALUE!</v>
      </c>
      <c r="EI654" s="2550"/>
      <c r="EJ654" s="2550"/>
      <c r="EK654" s="2550"/>
      <c r="EL654" s="2550"/>
      <c r="EM654" s="2550" t="e">
        <f t="shared" si="25"/>
        <v>#VALUE!</v>
      </c>
      <c r="EN654" s="2550"/>
      <c r="EO654" s="2550"/>
      <c r="EP654" s="2550"/>
      <c r="EQ654" s="2550"/>
      <c r="ER654" s="2550" t="e">
        <f t="shared" si="26"/>
        <v>#VALUE!</v>
      </c>
      <c r="ES654" s="2550"/>
      <c r="ET654" s="2550"/>
      <c r="EU654" s="2550"/>
      <c r="EV654" s="2550"/>
      <c r="EW654" s="2550" t="e">
        <f t="shared" si="27"/>
        <v>#VALUE!</v>
      </c>
      <c r="EX654" s="2550"/>
      <c r="EY654" s="2550"/>
      <c r="EZ654" s="2550"/>
      <c r="FA654" s="2550"/>
    </row>
    <row r="655" spans="1:157" ht="13.2">
      <c r="A655" s="35"/>
      <c r="B655" s="12" t="s">
        <v>615</v>
      </c>
      <c r="G655" s="2036" t="s">
        <v>2658</v>
      </c>
      <c r="H655" s="2036"/>
      <c r="I655" s="2036"/>
      <c r="J655" s="2036"/>
      <c r="K655" s="2036"/>
      <c r="L655" s="2036"/>
      <c r="M655" s="2036"/>
      <c r="N655" s="2036"/>
      <c r="O655" s="2036"/>
      <c r="P655" s="2036"/>
      <c r="Q655" s="2036"/>
      <c r="R655" s="2036"/>
      <c r="S655" s="88"/>
      <c r="T655" s="35"/>
      <c r="U655" s="12" t="s">
        <v>615</v>
      </c>
      <c r="Z655" s="2038" t="s">
        <v>2519</v>
      </c>
      <c r="AA655" s="2038"/>
      <c r="AB655" s="2038"/>
      <c r="AC655" s="2038"/>
      <c r="AD655" s="2038"/>
      <c r="AE655" s="2038"/>
      <c r="AF655" s="2038"/>
      <c r="AG655" s="2038"/>
      <c r="AH655" s="2038"/>
      <c r="AI655" s="2038"/>
      <c r="AJ655" s="2038"/>
      <c r="AK655" s="2038"/>
      <c r="AZ655" s="61"/>
      <c r="BA655" s="61"/>
      <c r="BB655" s="61"/>
      <c r="BC655" s="61"/>
      <c r="BD655" s="61"/>
      <c r="BE655" s="61"/>
      <c r="BF655" s="61"/>
      <c r="BG655" s="61"/>
      <c r="BH655" s="61"/>
      <c r="BI655" s="61"/>
      <c r="BJ655" s="61"/>
      <c r="BK655" s="61"/>
      <c r="BL655" s="61"/>
      <c r="BM655" s="61"/>
      <c r="BN655" s="2009">
        <f t="shared" si="30"/>
        <v>0</v>
      </c>
      <c r="BO655" s="2010"/>
      <c r="BP655" s="2010"/>
      <c r="BQ655" s="2010"/>
      <c r="BR655" s="2011"/>
      <c r="BS655" s="2008">
        <f t="shared" si="31"/>
        <v>0</v>
      </c>
      <c r="BT655" s="2008"/>
      <c r="BU655" s="2008"/>
      <c r="BV655" s="2008"/>
      <c r="BW655" s="2008"/>
      <c r="BX655" s="2008">
        <f t="shared" si="32"/>
        <v>0</v>
      </c>
      <c r="BY655" s="2008"/>
      <c r="BZ655" s="2008"/>
      <c r="CA655" s="2008"/>
      <c r="CB655" s="2008"/>
      <c r="CC655" s="2008">
        <f t="shared" si="33"/>
        <v>0</v>
      </c>
      <c r="CD655" s="2008"/>
      <c r="CE655" s="2008"/>
      <c r="CF655" s="2008"/>
      <c r="CG655" s="2008"/>
      <c r="CH655" s="2008">
        <f t="shared" si="34"/>
        <v>0</v>
      </c>
      <c r="CI655" s="2008"/>
      <c r="CJ655" s="2008"/>
      <c r="CK655" s="2008"/>
      <c r="CL655" s="2008"/>
      <c r="CM655" s="2008">
        <f t="shared" si="35"/>
        <v>0</v>
      </c>
      <c r="CN655" s="2008"/>
      <c r="CO655" s="2008"/>
      <c r="CP655" s="2008"/>
      <c r="CQ655" s="2008"/>
      <c r="CR655" s="265"/>
      <c r="CS655" s="2009">
        <f t="shared" si="36"/>
        <v>0</v>
      </c>
      <c r="CT655" s="2010"/>
      <c r="CU655" s="2010"/>
      <c r="CV655" s="2010"/>
      <c r="CW655" s="2011"/>
      <c r="CX655" s="2009">
        <f t="shared" si="37"/>
        <v>0</v>
      </c>
      <c r="CY655" s="2010"/>
      <c r="CZ655" s="2010"/>
      <c r="DA655" s="2010"/>
      <c r="DB655" s="2011"/>
      <c r="DC655" s="2009">
        <f t="shared" si="38"/>
        <v>0</v>
      </c>
      <c r="DD655" s="2010"/>
      <c r="DE655" s="2010"/>
      <c r="DF655" s="2010"/>
      <c r="DG655" s="2011"/>
      <c r="DH655" s="2009">
        <f t="shared" si="39"/>
        <v>0</v>
      </c>
      <c r="DI655" s="2010"/>
      <c r="DJ655" s="2010"/>
      <c r="DK655" s="2010"/>
      <c r="DL655" s="2011"/>
      <c r="DM655" s="2009">
        <f t="shared" si="40"/>
        <v>0</v>
      </c>
      <c r="DN655" s="2010"/>
      <c r="DO655" s="2010"/>
      <c r="DP655" s="2010"/>
      <c r="DQ655" s="2011"/>
      <c r="DR655" s="2009">
        <f t="shared" si="41"/>
        <v>0</v>
      </c>
      <c r="DS655" s="2010"/>
      <c r="DT655" s="2010"/>
      <c r="DU655" s="2010"/>
      <c r="DV655" s="2011"/>
      <c r="DX655" s="2550" t="e">
        <f t="shared" si="22"/>
        <v>#VALUE!</v>
      </c>
      <c r="DY655" s="2550"/>
      <c r="DZ655" s="2550"/>
      <c r="EA655" s="2550"/>
      <c r="EB655" s="2550"/>
      <c r="EC655" s="2550" t="e">
        <f t="shared" si="23"/>
        <v>#VALUE!</v>
      </c>
      <c r="ED655" s="2550"/>
      <c r="EE655" s="2550"/>
      <c r="EF655" s="2550"/>
      <c r="EG655" s="2550"/>
      <c r="EH655" s="2550" t="e">
        <f t="shared" si="24"/>
        <v>#VALUE!</v>
      </c>
      <c r="EI655" s="2550"/>
      <c r="EJ655" s="2550"/>
      <c r="EK655" s="2550"/>
      <c r="EL655" s="2550"/>
      <c r="EM655" s="2550" t="e">
        <f t="shared" si="25"/>
        <v>#VALUE!</v>
      </c>
      <c r="EN655" s="2550"/>
      <c r="EO655" s="2550"/>
      <c r="EP655" s="2550"/>
      <c r="EQ655" s="2550"/>
      <c r="ER655" s="2550" t="e">
        <f t="shared" si="26"/>
        <v>#VALUE!</v>
      </c>
      <c r="ES655" s="2550"/>
      <c r="ET655" s="2550"/>
      <c r="EU655" s="2550"/>
      <c r="EV655" s="2550"/>
      <c r="EW655" s="2550" t="e">
        <f t="shared" si="27"/>
        <v>#VALUE!</v>
      </c>
      <c r="EX655" s="2550"/>
      <c r="EY655" s="2550"/>
      <c r="EZ655" s="2550"/>
      <c r="FA655" s="2550"/>
    </row>
    <row r="656" spans="1:157" ht="13.2">
      <c r="A656" s="35"/>
      <c r="B656" s="12" t="s">
        <v>17</v>
      </c>
      <c r="G656" s="2036" t="s">
        <v>2659</v>
      </c>
      <c r="H656" s="2036"/>
      <c r="I656" s="2036"/>
      <c r="J656" s="2036"/>
      <c r="K656" s="2036"/>
      <c r="L656" s="2036"/>
      <c r="M656" s="2036"/>
      <c r="N656" s="2036"/>
      <c r="O656" s="2036"/>
      <c r="P656" s="2036"/>
      <c r="Q656" s="2036"/>
      <c r="R656" s="2036"/>
      <c r="S656" s="14"/>
      <c r="T656" s="35"/>
      <c r="U656" s="12" t="s">
        <v>17</v>
      </c>
      <c r="Z656" s="2038" t="s">
        <v>2610</v>
      </c>
      <c r="AA656" s="2038"/>
      <c r="AB656" s="2038"/>
      <c r="AC656" s="2038"/>
      <c r="AD656" s="2038"/>
      <c r="AE656" s="2038"/>
      <c r="AF656" s="2038"/>
      <c r="AG656" s="2038"/>
      <c r="AH656" s="2038"/>
      <c r="AI656" s="2038"/>
      <c r="AJ656" s="2038"/>
      <c r="AK656" s="2038"/>
      <c r="AZ656" s="61"/>
      <c r="BA656" s="61"/>
      <c r="BB656" s="61"/>
      <c r="BC656" s="61"/>
      <c r="BD656" s="61"/>
      <c r="BE656" s="61"/>
      <c r="BF656" s="61"/>
      <c r="BG656" s="61"/>
      <c r="BH656" s="61"/>
      <c r="BI656" s="61"/>
      <c r="BJ656" s="61"/>
      <c r="BK656" s="61"/>
      <c r="BL656" s="61"/>
      <c r="BM656" s="61"/>
      <c r="BN656" s="2009">
        <f t="shared" si="30"/>
        <v>0</v>
      </c>
      <c r="BO656" s="2010"/>
      <c r="BP656" s="2010"/>
      <c r="BQ656" s="2010"/>
      <c r="BR656" s="2011"/>
      <c r="BS656" s="2008">
        <f t="shared" si="31"/>
        <v>0</v>
      </c>
      <c r="BT656" s="2008"/>
      <c r="BU656" s="2008"/>
      <c r="BV656" s="2008"/>
      <c r="BW656" s="2008"/>
      <c r="BX656" s="2008">
        <f t="shared" si="32"/>
        <v>0</v>
      </c>
      <c r="BY656" s="2008"/>
      <c r="BZ656" s="2008"/>
      <c r="CA656" s="2008"/>
      <c r="CB656" s="2008"/>
      <c r="CC656" s="2008">
        <f t="shared" si="33"/>
        <v>0</v>
      </c>
      <c r="CD656" s="2008"/>
      <c r="CE656" s="2008"/>
      <c r="CF656" s="2008"/>
      <c r="CG656" s="2008"/>
      <c r="CH656" s="2008">
        <f t="shared" si="34"/>
        <v>0</v>
      </c>
      <c r="CI656" s="2008"/>
      <c r="CJ656" s="2008"/>
      <c r="CK656" s="2008"/>
      <c r="CL656" s="2008"/>
      <c r="CM656" s="2008">
        <f t="shared" si="35"/>
        <v>0</v>
      </c>
      <c r="CN656" s="2008"/>
      <c r="CO656" s="2008"/>
      <c r="CP656" s="2008"/>
      <c r="CQ656" s="2008"/>
      <c r="CR656" s="265"/>
      <c r="CS656" s="2009">
        <f t="shared" si="36"/>
        <v>0</v>
      </c>
      <c r="CT656" s="2010"/>
      <c r="CU656" s="2010"/>
      <c r="CV656" s="2010"/>
      <c r="CW656" s="2011"/>
      <c r="CX656" s="2009">
        <f t="shared" si="37"/>
        <v>0</v>
      </c>
      <c r="CY656" s="2010"/>
      <c r="CZ656" s="2010"/>
      <c r="DA656" s="2010"/>
      <c r="DB656" s="2011"/>
      <c r="DC656" s="2009">
        <f t="shared" si="38"/>
        <v>0</v>
      </c>
      <c r="DD656" s="2010"/>
      <c r="DE656" s="2010"/>
      <c r="DF656" s="2010"/>
      <c r="DG656" s="2011"/>
      <c r="DH656" s="2009">
        <f t="shared" si="39"/>
        <v>0</v>
      </c>
      <c r="DI656" s="2010"/>
      <c r="DJ656" s="2010"/>
      <c r="DK656" s="2010"/>
      <c r="DL656" s="2011"/>
      <c r="DM656" s="2009">
        <f t="shared" si="40"/>
        <v>0</v>
      </c>
      <c r="DN656" s="2010"/>
      <c r="DO656" s="2010"/>
      <c r="DP656" s="2010"/>
      <c r="DQ656" s="2011"/>
      <c r="DR656" s="2009">
        <f t="shared" si="41"/>
        <v>0</v>
      </c>
      <c r="DS656" s="2010"/>
      <c r="DT656" s="2010"/>
      <c r="DU656" s="2010"/>
      <c r="DV656" s="2011"/>
      <c r="DX656" s="2550" t="e">
        <f t="shared" si="22"/>
        <v>#VALUE!</v>
      </c>
      <c r="DY656" s="2550"/>
      <c r="DZ656" s="2550"/>
      <c r="EA656" s="2550"/>
      <c r="EB656" s="2550"/>
      <c r="EC656" s="2550" t="e">
        <f t="shared" si="23"/>
        <v>#VALUE!</v>
      </c>
      <c r="ED656" s="2550"/>
      <c r="EE656" s="2550"/>
      <c r="EF656" s="2550"/>
      <c r="EG656" s="2550"/>
      <c r="EH656" s="2550" t="e">
        <f t="shared" si="24"/>
        <v>#VALUE!</v>
      </c>
      <c r="EI656" s="2550"/>
      <c r="EJ656" s="2550"/>
      <c r="EK656" s="2550"/>
      <c r="EL656" s="2550"/>
      <c r="EM656" s="2550" t="e">
        <f t="shared" si="25"/>
        <v>#VALUE!</v>
      </c>
      <c r="EN656" s="2550"/>
      <c r="EO656" s="2550"/>
      <c r="EP656" s="2550"/>
      <c r="EQ656" s="2550"/>
      <c r="ER656" s="2550" t="e">
        <f t="shared" si="26"/>
        <v>#VALUE!</v>
      </c>
      <c r="ES656" s="2550"/>
      <c r="ET656" s="2550"/>
      <c r="EU656" s="2550"/>
      <c r="EV656" s="2550"/>
      <c r="EW656" s="2550" t="e">
        <f t="shared" si="27"/>
        <v>#VALUE!</v>
      </c>
      <c r="EX656" s="2550"/>
      <c r="EY656" s="2550"/>
      <c r="EZ656" s="2550"/>
      <c r="FA656" s="2550"/>
    </row>
    <row r="657" spans="1:157" ht="13.2">
      <c r="A657" s="35"/>
      <c r="B657" s="12" t="s">
        <v>325</v>
      </c>
      <c r="G657" s="2159" t="s">
        <v>2660</v>
      </c>
      <c r="H657" s="2060"/>
      <c r="I657" s="2060"/>
      <c r="J657" s="2060"/>
      <c r="K657" s="2060"/>
      <c r="L657" s="2060"/>
      <c r="O657" s="137" t="s">
        <v>212</v>
      </c>
      <c r="P657" s="2026"/>
      <c r="Q657" s="2026"/>
      <c r="R657" s="2026"/>
      <c r="S657" s="16"/>
      <c r="T657" s="35"/>
      <c r="U657" s="12" t="s">
        <v>325</v>
      </c>
      <c r="Z657" s="2159" t="s">
        <v>2611</v>
      </c>
      <c r="AA657" s="2060"/>
      <c r="AB657" s="2060"/>
      <c r="AC657" s="2060"/>
      <c r="AD657" s="2060"/>
      <c r="AE657" s="2060"/>
      <c r="AH657" s="137" t="s">
        <v>212</v>
      </c>
      <c r="AI657" s="2026"/>
      <c r="AJ657" s="2026"/>
      <c r="AK657" s="2026"/>
      <c r="AZ657" s="61"/>
      <c r="BA657" s="61"/>
      <c r="BB657" s="61"/>
      <c r="BC657" s="61"/>
      <c r="BD657" s="61"/>
      <c r="BE657" s="61"/>
      <c r="BF657" s="61"/>
      <c r="BG657" s="61"/>
      <c r="BH657" s="61"/>
      <c r="BI657" s="61"/>
      <c r="BJ657" s="61"/>
      <c r="BK657" s="61"/>
      <c r="BL657" s="61"/>
      <c r="BM657" s="61"/>
      <c r="BN657" s="2009">
        <f t="shared" si="30"/>
        <v>0</v>
      </c>
      <c r="BO657" s="2010"/>
      <c r="BP657" s="2010"/>
      <c r="BQ657" s="2010"/>
      <c r="BR657" s="2011"/>
      <c r="BS657" s="2008">
        <f t="shared" si="31"/>
        <v>0</v>
      </c>
      <c r="BT657" s="2008"/>
      <c r="BU657" s="2008"/>
      <c r="BV657" s="2008"/>
      <c r="BW657" s="2008"/>
      <c r="BX657" s="2008">
        <f t="shared" si="32"/>
        <v>0</v>
      </c>
      <c r="BY657" s="2008"/>
      <c r="BZ657" s="2008"/>
      <c r="CA657" s="2008"/>
      <c r="CB657" s="2008"/>
      <c r="CC657" s="2008">
        <f t="shared" si="33"/>
        <v>0</v>
      </c>
      <c r="CD657" s="2008"/>
      <c r="CE657" s="2008"/>
      <c r="CF657" s="2008"/>
      <c r="CG657" s="2008"/>
      <c r="CH657" s="2008">
        <f t="shared" si="34"/>
        <v>0</v>
      </c>
      <c r="CI657" s="2008"/>
      <c r="CJ657" s="2008"/>
      <c r="CK657" s="2008"/>
      <c r="CL657" s="2008"/>
      <c r="CM657" s="2008">
        <f t="shared" si="35"/>
        <v>0</v>
      </c>
      <c r="CN657" s="2008"/>
      <c r="CO657" s="2008"/>
      <c r="CP657" s="2008"/>
      <c r="CQ657" s="2008"/>
      <c r="CR657" s="265"/>
      <c r="CS657" s="2009">
        <f t="shared" si="36"/>
        <v>0</v>
      </c>
      <c r="CT657" s="2010"/>
      <c r="CU657" s="2010"/>
      <c r="CV657" s="2010"/>
      <c r="CW657" s="2011"/>
      <c r="CX657" s="2009">
        <f t="shared" si="37"/>
        <v>0</v>
      </c>
      <c r="CY657" s="2010"/>
      <c r="CZ657" s="2010"/>
      <c r="DA657" s="2010"/>
      <c r="DB657" s="2011"/>
      <c r="DC657" s="2009">
        <f t="shared" si="38"/>
        <v>0</v>
      </c>
      <c r="DD657" s="2010"/>
      <c r="DE657" s="2010"/>
      <c r="DF657" s="2010"/>
      <c r="DG657" s="2011"/>
      <c r="DH657" s="2009">
        <f t="shared" si="39"/>
        <v>0</v>
      </c>
      <c r="DI657" s="2010"/>
      <c r="DJ657" s="2010"/>
      <c r="DK657" s="2010"/>
      <c r="DL657" s="2011"/>
      <c r="DM657" s="2009">
        <f t="shared" si="40"/>
        <v>0</v>
      </c>
      <c r="DN657" s="2010"/>
      <c r="DO657" s="2010"/>
      <c r="DP657" s="2010"/>
      <c r="DQ657" s="2011"/>
      <c r="DR657" s="2009">
        <f t="shared" si="41"/>
        <v>0</v>
      </c>
      <c r="DS657" s="2010"/>
      <c r="DT657" s="2010"/>
      <c r="DU657" s="2010"/>
      <c r="DV657" s="2011"/>
      <c r="DX657" s="2550" t="e">
        <f t="shared" si="22"/>
        <v>#VALUE!</v>
      </c>
      <c r="DY657" s="2550"/>
      <c r="DZ657" s="2550"/>
      <c r="EA657" s="2550"/>
      <c r="EB657" s="2550"/>
      <c r="EC657" s="2550" t="e">
        <f t="shared" si="23"/>
        <v>#VALUE!</v>
      </c>
      <c r="ED657" s="2550"/>
      <c r="EE657" s="2550"/>
      <c r="EF657" s="2550"/>
      <c r="EG657" s="2550"/>
      <c r="EH657" s="2550" t="e">
        <f t="shared" si="24"/>
        <v>#VALUE!</v>
      </c>
      <c r="EI657" s="2550"/>
      <c r="EJ657" s="2550"/>
      <c r="EK657" s="2550"/>
      <c r="EL657" s="2550"/>
      <c r="EM657" s="2550" t="e">
        <f t="shared" si="25"/>
        <v>#VALUE!</v>
      </c>
      <c r="EN657" s="2550"/>
      <c r="EO657" s="2550"/>
      <c r="EP657" s="2550"/>
      <c r="EQ657" s="2550"/>
      <c r="ER657" s="2550" t="e">
        <f t="shared" si="26"/>
        <v>#VALUE!</v>
      </c>
      <c r="ES657" s="2550"/>
      <c r="ET657" s="2550"/>
      <c r="EU657" s="2550"/>
      <c r="EV657" s="2550"/>
      <c r="EW657" s="2550" t="e">
        <f t="shared" si="27"/>
        <v>#VALUE!</v>
      </c>
      <c r="EX657" s="2550"/>
      <c r="EY657" s="2550"/>
      <c r="EZ657" s="2550"/>
      <c r="FA657" s="2550"/>
    </row>
    <row r="658" spans="1:157" ht="13.2">
      <c r="A658" s="35"/>
      <c r="B658" s="12" t="s">
        <v>18</v>
      </c>
      <c r="H658" s="2198" t="s">
        <v>2667</v>
      </c>
      <c r="I658" s="2036"/>
      <c r="J658" s="2036"/>
      <c r="K658" s="2036"/>
      <c r="L658" s="2036"/>
      <c r="M658" s="2036"/>
      <c r="N658" s="2036"/>
      <c r="O658" s="2036"/>
      <c r="P658" s="2036"/>
      <c r="Q658" s="2036"/>
      <c r="R658" s="2036"/>
      <c r="S658" s="14"/>
      <c r="T658" s="35"/>
      <c r="U658" s="12" t="s">
        <v>18</v>
      </c>
      <c r="AA658" s="2036" t="s">
        <v>2612</v>
      </c>
      <c r="AB658" s="2036"/>
      <c r="AC658" s="2036"/>
      <c r="AD658" s="2036"/>
      <c r="AE658" s="2036"/>
      <c r="AF658" s="2036"/>
      <c r="AG658" s="2036"/>
      <c r="AH658" s="2036"/>
      <c r="AI658" s="2036"/>
      <c r="AJ658" s="2036"/>
      <c r="AK658" s="2036"/>
      <c r="AZ658" s="61"/>
      <c r="BA658" s="61"/>
      <c r="BB658" s="61"/>
      <c r="BC658" s="61"/>
      <c r="BD658" s="61"/>
      <c r="BE658" s="61"/>
      <c r="BF658" s="61"/>
      <c r="BG658" s="61"/>
      <c r="BH658" s="61"/>
      <c r="BI658" s="61"/>
      <c r="BJ658" s="61"/>
      <c r="BK658" s="61"/>
      <c r="BL658" s="61"/>
      <c r="BM658" s="61"/>
      <c r="BN658" s="2012">
        <f>SUM(BN648:BR657)</f>
        <v>0</v>
      </c>
      <c r="BO658" s="2013"/>
      <c r="BP658" s="2013"/>
      <c r="BQ658" s="2013"/>
      <c r="BR658" s="2014"/>
      <c r="BS658" s="2005">
        <f>SUM(BS648:BW657)</f>
        <v>0</v>
      </c>
      <c r="BT658" s="2006"/>
      <c r="BU658" s="2006"/>
      <c r="BV658" s="2006"/>
      <c r="BW658" s="2007"/>
      <c r="BX658" s="2005">
        <f>SUM(BX648:CB657)</f>
        <v>0</v>
      </c>
      <c r="BY658" s="2006"/>
      <c r="BZ658" s="2006"/>
      <c r="CA658" s="2006"/>
      <c r="CB658" s="2007"/>
      <c r="CC658" s="2005">
        <f>SUM(CC648:CG657)</f>
        <v>0</v>
      </c>
      <c r="CD658" s="2006"/>
      <c r="CE658" s="2006"/>
      <c r="CF658" s="2006"/>
      <c r="CG658" s="2007"/>
      <c r="CH658" s="2005">
        <f>SUM(CH648:CL657)</f>
        <v>0</v>
      </c>
      <c r="CI658" s="2006"/>
      <c r="CJ658" s="2006"/>
      <c r="CK658" s="2006"/>
      <c r="CL658" s="2007"/>
      <c r="CM658" s="2005">
        <f>SUM(CM648:CQ657)</f>
        <v>0</v>
      </c>
      <c r="CN658" s="2006"/>
      <c r="CO658" s="2006"/>
      <c r="CP658" s="2006"/>
      <c r="CQ658" s="2007"/>
      <c r="CR658" s="1789"/>
      <c r="CS658" s="2562">
        <f>SUM(CS648:CW657)</f>
        <v>0</v>
      </c>
      <c r="CT658" s="2562"/>
      <c r="CU658" s="2562"/>
      <c r="CV658" s="2562"/>
      <c r="CW658" s="2562"/>
      <c r="CX658" s="2562">
        <f>SUM(CX648:DB657)</f>
        <v>0</v>
      </c>
      <c r="CY658" s="2562"/>
      <c r="CZ658" s="2562"/>
      <c r="DA658" s="2562"/>
      <c r="DB658" s="2562"/>
      <c r="DC658" s="2562">
        <f>SUM(DC648:DG657)</f>
        <v>0</v>
      </c>
      <c r="DD658" s="2562"/>
      <c r="DE658" s="2562"/>
      <c r="DF658" s="2562"/>
      <c r="DG658" s="2562"/>
      <c r="DH658" s="2562">
        <f>SUM(DH648:DL657)</f>
        <v>0</v>
      </c>
      <c r="DI658" s="2562"/>
      <c r="DJ658" s="2562"/>
      <c r="DK658" s="2562"/>
      <c r="DL658" s="2562"/>
      <c r="DM658" s="2562">
        <f>SUM(DM648:DQ657)</f>
        <v>0</v>
      </c>
      <c r="DN658" s="2562"/>
      <c r="DO658" s="2562"/>
      <c r="DP658" s="2562"/>
      <c r="DQ658" s="2562"/>
      <c r="DR658" s="2562">
        <f>SUM(DR648:DV657)</f>
        <v>0</v>
      </c>
      <c r="DS658" s="2562"/>
      <c r="DT658" s="2562"/>
      <c r="DU658" s="2562"/>
      <c r="DV658" s="2562"/>
      <c r="DX658" s="2550" t="e">
        <f t="shared" si="22"/>
        <v>#VALUE!</v>
      </c>
      <c r="DY658" s="2550"/>
      <c r="DZ658" s="2550"/>
      <c r="EA658" s="2550"/>
      <c r="EB658" s="2550"/>
      <c r="EC658" s="2550" t="e">
        <f t="shared" si="23"/>
        <v>#VALUE!</v>
      </c>
      <c r="ED658" s="2550"/>
      <c r="EE658" s="2550"/>
      <c r="EF658" s="2550"/>
      <c r="EG658" s="2550"/>
      <c r="EH658" s="2550" t="e">
        <f t="shared" si="24"/>
        <v>#VALUE!</v>
      </c>
      <c r="EI658" s="2550"/>
      <c r="EJ658" s="2550"/>
      <c r="EK658" s="2550"/>
      <c r="EL658" s="2550"/>
      <c r="EM658" s="2550" t="e">
        <f t="shared" si="25"/>
        <v>#VALUE!</v>
      </c>
      <c r="EN658" s="2550"/>
      <c r="EO658" s="2550"/>
      <c r="EP658" s="2550"/>
      <c r="EQ658" s="2550"/>
      <c r="ER658" s="2550" t="e">
        <f t="shared" si="26"/>
        <v>#VALUE!</v>
      </c>
      <c r="ES658" s="2550"/>
      <c r="ET658" s="2550"/>
      <c r="EU658" s="2550"/>
      <c r="EV658" s="2550"/>
      <c r="EW658" s="2550" t="e">
        <f t="shared" si="27"/>
        <v>#VALUE!</v>
      </c>
      <c r="EX658" s="2550"/>
      <c r="EY658" s="2550"/>
      <c r="EZ658" s="2550"/>
      <c r="FA658" s="2550"/>
    </row>
    <row r="659" spans="1:157" ht="13.2">
      <c r="A659" s="35"/>
      <c r="B659" s="12" t="s">
        <v>20</v>
      </c>
      <c r="N659" s="2034" t="s">
        <v>578</v>
      </c>
      <c r="O659" s="2035"/>
      <c r="T659" s="35"/>
      <c r="U659" s="12" t="s">
        <v>20</v>
      </c>
      <c r="AG659" s="2034" t="s">
        <v>578</v>
      </c>
      <c r="AH659" s="2035"/>
      <c r="AZ659" s="61"/>
      <c r="BA659" s="61"/>
      <c r="BB659" s="61"/>
      <c r="BC659" s="61"/>
      <c r="BD659" s="61"/>
      <c r="BE659" s="61"/>
      <c r="BF659" s="61"/>
      <c r="BG659" s="61"/>
      <c r="BH659" s="61"/>
      <c r="BI659" s="61"/>
      <c r="BJ659" s="61"/>
      <c r="BK659" s="61"/>
      <c r="BL659" s="61"/>
      <c r="BM659" s="61"/>
      <c r="BN659" s="714"/>
      <c r="BO659" s="714"/>
      <c r="BP659" s="714"/>
      <c r="BQ659" s="714"/>
      <c r="BR659" s="1464">
        <f>BN658*1</f>
        <v>0</v>
      </c>
      <c r="BS659" s="58"/>
      <c r="BT659" s="58"/>
      <c r="BU659" s="58"/>
      <c r="BV659" s="58"/>
      <c r="BW659" s="1464">
        <f>BS658*1</f>
        <v>0</v>
      </c>
      <c r="BX659" s="58"/>
      <c r="BY659" s="58"/>
      <c r="BZ659" s="58"/>
      <c r="CA659" s="58"/>
      <c r="CB659" s="1464">
        <f>BX658*2</f>
        <v>0</v>
      </c>
      <c r="CC659" s="58"/>
      <c r="CD659" s="58"/>
      <c r="CE659" s="58"/>
      <c r="CF659" s="58"/>
      <c r="CG659" s="1464">
        <f>CC658*3</f>
        <v>0</v>
      </c>
      <c r="CH659" s="58"/>
      <c r="CI659" s="58"/>
      <c r="CJ659" s="58"/>
      <c r="CK659" s="58"/>
      <c r="CL659" s="1464">
        <f>CH658*4</f>
        <v>0</v>
      </c>
      <c r="CM659" s="58"/>
      <c r="CN659" s="58"/>
      <c r="CO659" s="58"/>
      <c r="CP659" s="58"/>
      <c r="CQ659" s="1464">
        <f>CM658*5</f>
        <v>0</v>
      </c>
      <c r="CR659" s="177"/>
      <c r="CS659" s="714"/>
      <c r="CT659" s="714"/>
      <c r="CU659" s="714"/>
      <c r="CV659" s="714"/>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0" t="e">
        <f t="shared" si="22"/>
        <v>#VALUE!</v>
      </c>
      <c r="DY659" s="2550"/>
      <c r="DZ659" s="2550"/>
      <c r="EA659" s="2550"/>
      <c r="EB659" s="2550"/>
      <c r="EC659" s="2550" t="e">
        <f t="shared" si="23"/>
        <v>#VALUE!</v>
      </c>
      <c r="ED659" s="2550"/>
      <c r="EE659" s="2550"/>
      <c r="EF659" s="2550"/>
      <c r="EG659" s="2550"/>
      <c r="EH659" s="2550" t="e">
        <f t="shared" si="24"/>
        <v>#VALUE!</v>
      </c>
      <c r="EI659" s="2550"/>
      <c r="EJ659" s="2550"/>
      <c r="EK659" s="2550"/>
      <c r="EL659" s="2550"/>
      <c r="EM659" s="2550" t="e">
        <f t="shared" si="25"/>
        <v>#VALUE!</v>
      </c>
      <c r="EN659" s="2550"/>
      <c r="EO659" s="2550"/>
      <c r="EP659" s="2550"/>
      <c r="EQ659" s="2550"/>
      <c r="ER659" s="2550" t="e">
        <f t="shared" si="26"/>
        <v>#VALUE!</v>
      </c>
      <c r="ES659" s="2550"/>
      <c r="ET659" s="2550"/>
      <c r="EU659" s="2550"/>
      <c r="EV659" s="2550"/>
      <c r="EW659" s="2550" t="e">
        <f t="shared" si="27"/>
        <v>#VALUE!</v>
      </c>
      <c r="EX659" s="2550"/>
      <c r="EY659" s="2550"/>
      <c r="EZ659" s="2550"/>
      <c r="FA659" s="2550"/>
    </row>
    <row r="660" spans="1:157" ht="13.2">
      <c r="A660" s="35"/>
      <c r="T660" s="35"/>
      <c r="AZ660" s="61"/>
      <c r="BA660" s="61"/>
      <c r="BB660" s="61"/>
      <c r="BC660" s="61"/>
      <c r="BD660" s="61"/>
      <c r="BE660" s="61"/>
      <c r="BF660" s="61"/>
      <c r="BG660" s="61"/>
      <c r="BH660" s="61"/>
      <c r="BI660" s="61"/>
      <c r="BJ660" s="61"/>
      <c r="BK660" s="61"/>
      <c r="BL660" s="61"/>
      <c r="BM660" s="61"/>
      <c r="CR660" s="177"/>
      <c r="CS660" s="1464">
        <f>BN658+BS658+BX658+CC658+CH658+CM658</f>
        <v>0</v>
      </c>
      <c r="CT660" s="134" t="s">
        <v>2382</v>
      </c>
      <c r="CU660" s="58"/>
      <c r="CV660" s="58"/>
      <c r="CW660" s="58"/>
      <c r="CX660" s="58"/>
      <c r="CY660" s="58"/>
      <c r="CZ660" s="58"/>
      <c r="DA660" s="58"/>
      <c r="DB660" s="58"/>
      <c r="DC660" s="58"/>
      <c r="DD660" s="58"/>
      <c r="DE660" s="58"/>
      <c r="DF660" s="58"/>
      <c r="DQ660" s="136" t="s">
        <v>2394</v>
      </c>
      <c r="DR660" s="2550">
        <f>SUM(CS658:DV658)</f>
        <v>0</v>
      </c>
      <c r="DS660" s="2550"/>
      <c r="DT660" s="2550"/>
      <c r="DU660" s="2550"/>
      <c r="DV660" s="2550"/>
      <c r="DX660" s="2550" t="e">
        <f t="shared" si="22"/>
        <v>#VALUE!</v>
      </c>
      <c r="DY660" s="2550"/>
      <c r="DZ660" s="2550"/>
      <c r="EA660" s="2550"/>
      <c r="EB660" s="2550"/>
      <c r="EC660" s="2550" t="e">
        <f t="shared" si="23"/>
        <v>#VALUE!</v>
      </c>
      <c r="ED660" s="2550"/>
      <c r="EE660" s="2550"/>
      <c r="EF660" s="2550"/>
      <c r="EG660" s="2550"/>
      <c r="EH660" s="2550" t="e">
        <f t="shared" si="24"/>
        <v>#VALUE!</v>
      </c>
      <c r="EI660" s="2550"/>
      <c r="EJ660" s="2550"/>
      <c r="EK660" s="2550"/>
      <c r="EL660" s="2550"/>
      <c r="EM660" s="2550" t="e">
        <f t="shared" si="25"/>
        <v>#VALUE!</v>
      </c>
      <c r="EN660" s="2550"/>
      <c r="EO660" s="2550"/>
      <c r="EP660" s="2550"/>
      <c r="EQ660" s="2550"/>
      <c r="ER660" s="2550" t="e">
        <f t="shared" si="26"/>
        <v>#VALUE!</v>
      </c>
      <c r="ES660" s="2550"/>
      <c r="ET660" s="2550"/>
      <c r="EU660" s="2550"/>
      <c r="EV660" s="2550"/>
      <c r="EW660" s="2550" t="e">
        <f t="shared" si="27"/>
        <v>#VALUE!</v>
      </c>
      <c r="EX660" s="2550"/>
      <c r="EY660" s="2550"/>
      <c r="EZ660" s="2550"/>
      <c r="FA660" s="2550"/>
    </row>
    <row r="661" spans="1:157" ht="13.2">
      <c r="A661" s="87" t="s">
        <v>124</v>
      </c>
      <c r="B661" s="12" t="s">
        <v>496</v>
      </c>
      <c r="G661" s="2037" t="str">
        <f>C639</f>
        <v xml:space="preserve">SHRA/City of Sacramento Loan </v>
      </c>
      <c r="H661" s="2037"/>
      <c r="I661" s="2037"/>
      <c r="J661" s="2037"/>
      <c r="K661" s="2037"/>
      <c r="L661" s="2037"/>
      <c r="M661" s="2037"/>
      <c r="N661" s="2037"/>
      <c r="O661" s="2037"/>
      <c r="P661" s="2037"/>
      <c r="Q661" s="2037"/>
      <c r="R661" s="2037"/>
      <c r="T661" s="87" t="s">
        <v>616</v>
      </c>
      <c r="U661" s="12" t="s">
        <v>496</v>
      </c>
      <c r="Z661" s="2037" t="str">
        <f>C640</f>
        <v>Defered Developer Fee</v>
      </c>
      <c r="AA661" s="2037"/>
      <c r="AB661" s="2037"/>
      <c r="AC661" s="2037"/>
      <c r="AD661" s="2037"/>
      <c r="AE661" s="2037"/>
      <c r="AF661" s="2037"/>
      <c r="AG661" s="2037"/>
      <c r="AH661" s="2037"/>
      <c r="AI661" s="2037"/>
      <c r="AJ661" s="2037"/>
      <c r="AK661" s="2037"/>
      <c r="AZ661" s="61"/>
      <c r="BA661" s="61"/>
      <c r="BB661" s="61"/>
      <c r="BC661" s="61"/>
      <c r="BD661" s="61"/>
      <c r="BE661" s="61"/>
      <c r="BF661" s="61"/>
      <c r="BG661" s="61"/>
      <c r="BH661" s="61"/>
      <c r="BI661" s="61"/>
      <c r="BJ661" s="61"/>
      <c r="BK661" s="61"/>
      <c r="BL661" s="61"/>
      <c r="BM661" s="61"/>
      <c r="CR661" s="177"/>
      <c r="CS661" s="1464">
        <f>BR659+BW659+CB659+CG659+CL659+CQ659</f>
        <v>0</v>
      </c>
      <c r="CT661" s="134" t="s">
        <v>1977</v>
      </c>
      <c r="CU661" s="58"/>
      <c r="CV661" s="58"/>
      <c r="CW661" s="58"/>
      <c r="CX661" s="58"/>
      <c r="CY661" s="58"/>
      <c r="CZ661" s="58"/>
      <c r="DA661" s="58"/>
      <c r="DB661" s="58"/>
      <c r="DC661" s="58"/>
      <c r="DD661" s="58"/>
      <c r="DE661" s="58"/>
      <c r="DF661" s="58"/>
      <c r="DX661" s="2550" t="e">
        <f t="shared" si="22"/>
        <v>#VALUE!</v>
      </c>
      <c r="DY661" s="2550"/>
      <c r="DZ661" s="2550"/>
      <c r="EA661" s="2550"/>
      <c r="EB661" s="2550"/>
      <c r="EC661" s="2550" t="e">
        <f t="shared" si="23"/>
        <v>#VALUE!</v>
      </c>
      <c r="ED661" s="2550"/>
      <c r="EE661" s="2550"/>
      <c r="EF661" s="2550"/>
      <c r="EG661" s="2550"/>
      <c r="EH661" s="2550" t="e">
        <f t="shared" si="24"/>
        <v>#VALUE!</v>
      </c>
      <c r="EI661" s="2550"/>
      <c r="EJ661" s="2550"/>
      <c r="EK661" s="2550"/>
      <c r="EL661" s="2550"/>
      <c r="EM661" s="2550" t="e">
        <f t="shared" si="25"/>
        <v>#VALUE!</v>
      </c>
      <c r="EN661" s="2550"/>
      <c r="EO661" s="2550"/>
      <c r="EP661" s="2550"/>
      <c r="EQ661" s="2550"/>
      <c r="ER661" s="2550" t="e">
        <f t="shared" si="26"/>
        <v>#VALUE!</v>
      </c>
      <c r="ES661" s="2550"/>
      <c r="ET661" s="2550"/>
      <c r="EU661" s="2550"/>
      <c r="EV661" s="2550"/>
      <c r="EW661" s="2550" t="e">
        <f t="shared" si="27"/>
        <v>#VALUE!</v>
      </c>
      <c r="EX661" s="2550"/>
      <c r="EY661" s="2550"/>
      <c r="EZ661" s="2550"/>
      <c r="FA661" s="2550"/>
    </row>
    <row r="662" spans="1:157" ht="13.2">
      <c r="A662" s="35"/>
      <c r="B662" s="12" t="s">
        <v>90</v>
      </c>
      <c r="G662" s="2036" t="s">
        <v>2613</v>
      </c>
      <c r="H662" s="2036"/>
      <c r="I662" s="2036"/>
      <c r="J662" s="2036"/>
      <c r="K662" s="2036"/>
      <c r="L662" s="2036"/>
      <c r="M662" s="2036"/>
      <c r="N662" s="2036"/>
      <c r="O662" s="2036"/>
      <c r="P662" s="2036"/>
      <c r="Q662" s="2036"/>
      <c r="R662" s="2036"/>
      <c r="T662" s="35"/>
      <c r="U662" s="12" t="s">
        <v>90</v>
      </c>
      <c r="Z662" s="2036" t="s">
        <v>2581</v>
      </c>
      <c r="AA662" s="2036"/>
      <c r="AB662" s="2036"/>
      <c r="AC662" s="2036"/>
      <c r="AD662" s="2036"/>
      <c r="AE662" s="2036"/>
      <c r="AF662" s="2036"/>
      <c r="AG662" s="2036"/>
      <c r="AH662" s="2036"/>
      <c r="AI662" s="2036"/>
      <c r="AJ662" s="2036"/>
      <c r="AK662" s="203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0" t="e">
        <f t="shared" si="22"/>
        <v>#VALUE!</v>
      </c>
      <c r="DY662" s="2550"/>
      <c r="DZ662" s="2550"/>
      <c r="EA662" s="2550"/>
      <c r="EB662" s="2550"/>
      <c r="EC662" s="2550" t="e">
        <f t="shared" si="23"/>
        <v>#VALUE!</v>
      </c>
      <c r="ED662" s="2550"/>
      <c r="EE662" s="2550"/>
      <c r="EF662" s="2550"/>
      <c r="EG662" s="2550"/>
      <c r="EH662" s="2550" t="e">
        <f t="shared" si="24"/>
        <v>#VALUE!</v>
      </c>
      <c r="EI662" s="2550"/>
      <c r="EJ662" s="2550"/>
      <c r="EK662" s="2550"/>
      <c r="EL662" s="2550"/>
      <c r="EM662" s="2550" t="e">
        <f t="shared" si="25"/>
        <v>#VALUE!</v>
      </c>
      <c r="EN662" s="2550"/>
      <c r="EO662" s="2550"/>
      <c r="EP662" s="2550"/>
      <c r="EQ662" s="2550"/>
      <c r="ER662" s="2550" t="e">
        <f t="shared" si="26"/>
        <v>#VALUE!</v>
      </c>
      <c r="ES662" s="2550"/>
      <c r="ET662" s="2550"/>
      <c r="EU662" s="2550"/>
      <c r="EV662" s="2550"/>
      <c r="EW662" s="2550" t="e">
        <f t="shared" si="27"/>
        <v>#VALUE!</v>
      </c>
      <c r="EX662" s="2550"/>
      <c r="EY662" s="2550"/>
      <c r="EZ662" s="2550"/>
      <c r="FA662" s="2550"/>
    </row>
    <row r="663" spans="1:157" ht="13.2">
      <c r="A663" s="35"/>
      <c r="B663" s="12" t="s">
        <v>615</v>
      </c>
      <c r="G663" s="2038" t="s">
        <v>2519</v>
      </c>
      <c r="H663" s="2038"/>
      <c r="I663" s="2038"/>
      <c r="J663" s="2038"/>
      <c r="K663" s="2038"/>
      <c r="L663" s="2038"/>
      <c r="M663" s="2038"/>
      <c r="N663" s="2038"/>
      <c r="O663" s="2038"/>
      <c r="P663" s="2038"/>
      <c r="Q663" s="2038"/>
      <c r="R663" s="2038"/>
      <c r="T663" s="35"/>
      <c r="U663" s="12" t="s">
        <v>615</v>
      </c>
      <c r="Z663" s="2038" t="s">
        <v>2519</v>
      </c>
      <c r="AA663" s="2038"/>
      <c r="AB663" s="2038"/>
      <c r="AC663" s="2038"/>
      <c r="AD663" s="2038"/>
      <c r="AE663" s="2038"/>
      <c r="AF663" s="2038"/>
      <c r="AG663" s="2038"/>
      <c r="AH663" s="2038"/>
      <c r="AI663" s="2038"/>
      <c r="AJ663" s="2038"/>
      <c r="AK663" s="2038"/>
      <c r="AZ663" s="61"/>
      <c r="BA663" s="61"/>
      <c r="BB663" s="61"/>
      <c r="BC663" s="61"/>
      <c r="BD663" s="61"/>
      <c r="BE663" s="61"/>
      <c r="BF663" s="61"/>
      <c r="BG663" s="61"/>
      <c r="BH663" s="61"/>
      <c r="BI663" s="61"/>
      <c r="BJ663" s="61"/>
      <c r="BK663" s="61"/>
      <c r="BL663" s="61"/>
      <c r="BM663" s="61"/>
      <c r="BN663" s="2005">
        <f>BN635+BN644+BN658</f>
        <v>0</v>
      </c>
      <c r="BO663" s="2006"/>
      <c r="BP663" s="2006"/>
      <c r="BQ663" s="2006"/>
      <c r="BR663" s="2007"/>
      <c r="BS663" s="2005">
        <f>BS635+BS644+BS658</f>
        <v>47</v>
      </c>
      <c r="BT663" s="2006"/>
      <c r="BU663" s="2006"/>
      <c r="BV663" s="2006"/>
      <c r="BW663" s="2007"/>
      <c r="BX663" s="2005">
        <f>BX635+BX644+BX658</f>
        <v>95</v>
      </c>
      <c r="BY663" s="2006"/>
      <c r="BZ663" s="2006"/>
      <c r="CA663" s="2006"/>
      <c r="CB663" s="2007"/>
      <c r="CC663" s="2005">
        <f>CC635+CC644+CC658</f>
        <v>58</v>
      </c>
      <c r="CD663" s="2006"/>
      <c r="CE663" s="2006"/>
      <c r="CF663" s="2006"/>
      <c r="CG663" s="2007"/>
      <c r="CH663" s="2005">
        <f>CH635+CH644+CH658</f>
        <v>0</v>
      </c>
      <c r="CI663" s="2006"/>
      <c r="CJ663" s="2006"/>
      <c r="CK663" s="2006"/>
      <c r="CL663" s="2007"/>
      <c r="CM663" s="2015">
        <f>CM658+CM644+CM635</f>
        <v>0</v>
      </c>
      <c r="CN663" s="2177"/>
      <c r="CO663" s="2177"/>
      <c r="CP663" s="2177"/>
      <c r="CQ663" s="2016"/>
      <c r="CR663" s="177"/>
      <c r="CS663" s="1464">
        <f>CS637+CS661</f>
        <v>407</v>
      </c>
      <c r="CT663" s="134" t="s">
        <v>2387</v>
      </c>
      <c r="CU663" s="58"/>
      <c r="CV663" s="58"/>
      <c r="CW663" s="58"/>
      <c r="CX663" s="58"/>
      <c r="CY663" s="58"/>
      <c r="CZ663" s="58"/>
      <c r="DA663" s="58"/>
      <c r="DB663" s="58"/>
      <c r="DC663" s="58"/>
      <c r="DD663" s="58"/>
      <c r="DE663" s="58"/>
      <c r="DF663" s="58"/>
      <c r="DX663" s="2550">
        <f>SUMIF(DX638:EB662,"&gt;0")</f>
        <v>0</v>
      </c>
      <c r="DY663" s="2550"/>
      <c r="DZ663" s="2550"/>
      <c r="EA663" s="2550"/>
      <c r="EB663" s="2550"/>
      <c r="EC663" s="2550">
        <f>SUMIF(EC638:EG662,"&gt;0")</f>
        <v>864.191489361702</v>
      </c>
      <c r="ED663" s="2550"/>
      <c r="EE663" s="2550"/>
      <c r="EF663" s="2550"/>
      <c r="EG663" s="2550"/>
      <c r="EH663" s="2550">
        <f>SUMIF(EH638:EL662,"&gt;0")</f>
        <v>1021.741935483871</v>
      </c>
      <c r="EI663" s="2550"/>
      <c r="EJ663" s="2550"/>
      <c r="EK663" s="2550"/>
      <c r="EL663" s="2550"/>
      <c r="EM663" s="2550">
        <f>SUMIF(EM638:EQ662,"&gt;0")</f>
        <v>1202.655172413793</v>
      </c>
      <c r="EN663" s="2550"/>
      <c r="EO663" s="2550"/>
      <c r="EP663" s="2550"/>
      <c r="EQ663" s="2550"/>
      <c r="ER663" s="2550">
        <f>SUMIF(ER638:EV662,"&gt;0")</f>
        <v>0</v>
      </c>
      <c r="ES663" s="2550"/>
      <c r="ET663" s="2550"/>
      <c r="EU663" s="2550"/>
      <c r="EV663" s="2550"/>
      <c r="EW663" s="2550">
        <f>SUMIF(EW638:FA662,"&gt;0")</f>
        <v>0</v>
      </c>
      <c r="EX663" s="2550"/>
      <c r="EY663" s="2550"/>
      <c r="EZ663" s="2550"/>
      <c r="FA663" s="2550"/>
    </row>
    <row r="664" spans="1:157" ht="13.2">
      <c r="A664" s="35"/>
      <c r="B664" s="12" t="s">
        <v>17</v>
      </c>
      <c r="G664" s="2038" t="s">
        <v>2614</v>
      </c>
      <c r="H664" s="2038"/>
      <c r="I664" s="2038"/>
      <c r="J664" s="2038"/>
      <c r="K664" s="2038"/>
      <c r="L664" s="2038"/>
      <c r="M664" s="2038"/>
      <c r="N664" s="2038"/>
      <c r="O664" s="2038"/>
      <c r="P664" s="2038"/>
      <c r="Q664" s="2038"/>
      <c r="R664" s="2038"/>
      <c r="T664" s="35"/>
      <c r="U664" s="12" t="s">
        <v>17</v>
      </c>
      <c r="Z664" s="2038" t="s">
        <v>2531</v>
      </c>
      <c r="AA664" s="2038"/>
      <c r="AB664" s="2038"/>
      <c r="AC664" s="2038"/>
      <c r="AD664" s="2038"/>
      <c r="AE664" s="2038"/>
      <c r="AF664" s="2038"/>
      <c r="AG664" s="2038"/>
      <c r="AH664" s="2038"/>
      <c r="AI664" s="2038"/>
      <c r="AJ664" s="2038"/>
      <c r="AK664" s="2038"/>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4"/>
      <c r="DY664" s="714"/>
      <c r="DZ664" s="714"/>
      <c r="EA664" s="714"/>
      <c r="EB664" s="714"/>
      <c r="EC664" s="714"/>
      <c r="ED664" s="714"/>
      <c r="EE664" s="714"/>
      <c r="EF664" s="714"/>
      <c r="EG664" s="714"/>
      <c r="EH664" s="714"/>
      <c r="EI664" s="714"/>
      <c r="EJ664" s="714"/>
      <c r="EK664" s="714"/>
      <c r="EL664" s="714"/>
      <c r="EM664" s="714"/>
      <c r="EN664" s="714"/>
      <c r="EO664" s="714"/>
      <c r="EP664" s="714"/>
      <c r="EQ664" s="714"/>
      <c r="ER664" s="714"/>
      <c r="ES664" s="714"/>
      <c r="ET664" s="714"/>
      <c r="EU664" s="714"/>
      <c r="EV664" s="714"/>
      <c r="EW664" s="714"/>
      <c r="EX664" s="714"/>
      <c r="EY664" s="714"/>
      <c r="EZ664" s="714"/>
      <c r="FA664" s="714"/>
    </row>
    <row r="665" spans="1:157" ht="12.75" customHeight="1">
      <c r="A665" s="35"/>
      <c r="B665" s="12" t="s">
        <v>325</v>
      </c>
      <c r="G665" s="2159" t="s">
        <v>2615</v>
      </c>
      <c r="H665" s="2060"/>
      <c r="I665" s="2060"/>
      <c r="J665" s="2060"/>
      <c r="K665" s="2060"/>
      <c r="L665" s="2060"/>
      <c r="O665" s="137" t="s">
        <v>212</v>
      </c>
      <c r="P665" s="2026"/>
      <c r="Q665" s="2026"/>
      <c r="R665" s="2026"/>
      <c r="T665" s="35"/>
      <c r="U665" s="12" t="s">
        <v>325</v>
      </c>
      <c r="Z665" s="2159" t="s">
        <v>2616</v>
      </c>
      <c r="AA665" s="2060"/>
      <c r="AB665" s="2060"/>
      <c r="AC665" s="2060"/>
      <c r="AD665" s="2060"/>
      <c r="AE665" s="2060"/>
      <c r="AH665" s="137" t="s">
        <v>212</v>
      </c>
      <c r="AI665" s="2026"/>
      <c r="AJ665" s="2026"/>
      <c r="AK665" s="202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4"/>
      <c r="DY665" s="714"/>
      <c r="DZ665" s="714"/>
      <c r="EA665" s="714"/>
      <c r="EB665" s="714"/>
      <c r="EC665" s="714"/>
      <c r="ED665" s="714"/>
      <c r="EE665" s="714"/>
      <c r="EF665" s="714"/>
      <c r="EG665" s="714"/>
      <c r="EH665" s="714"/>
      <c r="EI665" s="714"/>
      <c r="EJ665" s="714"/>
      <c r="EK665" s="714"/>
      <c r="EL665" s="714"/>
      <c r="EM665" s="714"/>
      <c r="EN665" s="714"/>
      <c r="EO665" s="714"/>
      <c r="EP665" s="714"/>
      <c r="EQ665" s="714"/>
      <c r="ER665" s="714"/>
      <c r="ES665" s="714"/>
      <c r="ET665" s="714"/>
      <c r="EU665" s="714"/>
      <c r="EV665" s="714"/>
      <c r="EW665" s="714"/>
      <c r="EX665" s="714"/>
      <c r="EY665" s="714"/>
      <c r="EZ665" s="714"/>
      <c r="FA665" s="714"/>
    </row>
    <row r="666" spans="1:157" ht="12.75" customHeight="1">
      <c r="A666" s="35"/>
      <c r="B666" s="12" t="s">
        <v>18</v>
      </c>
      <c r="H666" s="2036" t="s">
        <v>2612</v>
      </c>
      <c r="I666" s="2036"/>
      <c r="J666" s="2036"/>
      <c r="K666" s="2036"/>
      <c r="L666" s="2036"/>
      <c r="M666" s="2036"/>
      <c r="N666" s="2036"/>
      <c r="O666" s="2036"/>
      <c r="P666" s="2036"/>
      <c r="Q666" s="2036"/>
      <c r="R666" s="2036"/>
      <c r="T666" s="35"/>
      <c r="U666" s="12" t="s">
        <v>18</v>
      </c>
      <c r="AA666" s="2198" t="s">
        <v>491</v>
      </c>
      <c r="AB666" s="2036"/>
      <c r="AC666" s="2036"/>
      <c r="AD666" s="2036"/>
      <c r="AE666" s="2036"/>
      <c r="AF666" s="2036"/>
      <c r="AG666" s="2036"/>
      <c r="AH666" s="2036"/>
      <c r="AI666" s="2036"/>
      <c r="AJ666" s="2036"/>
      <c r="AK666" s="2036"/>
      <c r="AZ666" s="58"/>
      <c r="BA666" s="58"/>
      <c r="BB666" s="58"/>
      <c r="BC666" s="58"/>
      <c r="BD666" s="58"/>
      <c r="BE666" s="58"/>
      <c r="BF666" s="58"/>
      <c r="BG666" s="58"/>
      <c r="BH666" s="58"/>
      <c r="BI666" s="58"/>
      <c r="BJ666" s="58"/>
      <c r="BK666" s="58"/>
      <c r="BL666" s="58"/>
      <c r="BM666" s="58"/>
      <c r="BN666" s="58"/>
      <c r="BO666" s="58"/>
      <c r="BP666" s="306" t="s">
        <v>2484</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4"/>
      <c r="DY666" s="714"/>
      <c r="DZ666" s="714"/>
      <c r="EA666" s="714"/>
      <c r="EB666" s="714"/>
      <c r="EC666" s="714"/>
      <c r="ED666" s="714"/>
      <c r="EE666" s="714"/>
      <c r="EF666" s="714"/>
      <c r="EG666" s="714"/>
      <c r="EH666" s="714"/>
      <c r="EI666" s="714"/>
      <c r="EJ666" s="714"/>
      <c r="EK666" s="714"/>
      <c r="EL666" s="714"/>
      <c r="EM666" s="714"/>
      <c r="EN666" s="714"/>
      <c r="EO666" s="714"/>
      <c r="EP666" s="714"/>
      <c r="EQ666" s="714"/>
      <c r="ER666" s="714"/>
      <c r="ES666" s="714"/>
      <c r="ET666" s="714"/>
      <c r="EU666" s="714"/>
      <c r="EV666" s="714"/>
      <c r="EW666" s="714"/>
      <c r="EX666" s="714"/>
      <c r="EY666" s="714"/>
      <c r="EZ666" s="714"/>
      <c r="FA666" s="714"/>
    </row>
    <row r="667" spans="1:157" ht="13.2">
      <c r="A667" s="35"/>
      <c r="B667" s="12" t="s">
        <v>20</v>
      </c>
      <c r="N667" s="2034" t="s">
        <v>578</v>
      </c>
      <c r="O667" s="2035"/>
      <c r="T667" s="35"/>
      <c r="U667" s="12" t="s">
        <v>20</v>
      </c>
      <c r="AG667" s="2034" t="s">
        <v>578</v>
      </c>
      <c r="AH667" s="2035"/>
      <c r="AZ667" s="58"/>
      <c r="BA667" s="58"/>
      <c r="BB667" s="58"/>
      <c r="BC667" s="58"/>
      <c r="BD667" s="58"/>
      <c r="BE667" s="58"/>
      <c r="BF667" s="58"/>
      <c r="BG667" s="58"/>
      <c r="BH667" s="58"/>
      <c r="BI667" s="58"/>
      <c r="BJ667" s="58"/>
      <c r="BK667" s="58"/>
      <c r="BL667" s="58"/>
      <c r="BM667" s="58"/>
      <c r="BN667" s="58"/>
      <c r="BO667" s="58"/>
      <c r="BP667" s="443"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0"/>
      <c r="BQ668" s="308"/>
      <c r="BR668" s="442"/>
      <c r="BS668" s="442"/>
      <c r="BT668" s="442"/>
      <c r="BU668" s="442"/>
      <c r="BV668" s="442"/>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2037" t="str">
        <f>C641</f>
        <v xml:space="preserve">Accrued/Deferred Interest </v>
      </c>
      <c r="H669" s="2037"/>
      <c r="I669" s="2037"/>
      <c r="J669" s="2037"/>
      <c r="K669" s="2037"/>
      <c r="L669" s="2037"/>
      <c r="M669" s="2037"/>
      <c r="N669" s="2037"/>
      <c r="O669" s="2037"/>
      <c r="P669" s="2037"/>
      <c r="Q669" s="2037"/>
      <c r="R669" s="2037"/>
      <c r="T669" s="87" t="s">
        <v>619</v>
      </c>
      <c r="U669" s="12" t="s">
        <v>496</v>
      </c>
      <c r="Z669" s="2037">
        <f>C642</f>
        <v>0</v>
      </c>
      <c r="AA669" s="2037"/>
      <c r="AB669" s="2037"/>
      <c r="AC669" s="2037"/>
      <c r="AD669" s="2037"/>
      <c r="AE669" s="2037"/>
      <c r="AF669" s="2037"/>
      <c r="AG669" s="2037"/>
      <c r="AH669" s="2037"/>
      <c r="AI669" s="2037"/>
      <c r="AJ669" s="2037"/>
      <c r="AK669" s="2037"/>
      <c r="AZ669" s="58"/>
      <c r="BA669" s="310" t="s">
        <v>685</v>
      </c>
      <c r="BB669" s="58"/>
      <c r="BC669" s="58"/>
      <c r="BD669" s="58"/>
      <c r="BE669" s="58"/>
      <c r="BF669" s="377"/>
      <c r="BG669" s="333" t="s">
        <v>962</v>
      </c>
      <c r="BH669" s="377"/>
      <c r="BI669" s="377"/>
      <c r="BJ669" s="58"/>
      <c r="BK669" s="58"/>
      <c r="BL669" s="58"/>
      <c r="BM669" s="58"/>
      <c r="BN669" s="58"/>
      <c r="BO669" s="58"/>
      <c r="BP669" s="534" t="s">
        <v>684</v>
      </c>
      <c r="BQ669" s="535" t="s">
        <v>333</v>
      </c>
      <c r="BR669" s="535" t="s">
        <v>334</v>
      </c>
      <c r="BS669" s="535" t="s">
        <v>168</v>
      </c>
      <c r="BT669" s="535" t="s">
        <v>169</v>
      </c>
      <c r="BU669" s="535" t="s">
        <v>170</v>
      </c>
      <c r="BV669" s="535"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36" t="s">
        <v>2529</v>
      </c>
      <c r="H670" s="2036"/>
      <c r="I670" s="2036"/>
      <c r="J670" s="2036"/>
      <c r="K670" s="2036"/>
      <c r="L670" s="2036"/>
      <c r="M670" s="2036"/>
      <c r="N670" s="2036"/>
      <c r="O670" s="2036"/>
      <c r="P670" s="2036"/>
      <c r="Q670" s="2036"/>
      <c r="R670" s="2036"/>
      <c r="T670" s="35"/>
      <c r="U670" s="12" t="s">
        <v>90</v>
      </c>
      <c r="Z670" s="2036"/>
      <c r="AA670" s="2036"/>
      <c r="AB670" s="2036"/>
      <c r="AC670" s="2036"/>
      <c r="AD670" s="2036"/>
      <c r="AE670" s="2036"/>
      <c r="AF670" s="2036"/>
      <c r="AG670" s="2036"/>
      <c r="AH670" s="2036"/>
      <c r="AI670" s="2036"/>
      <c r="AJ670" s="2036"/>
      <c r="AK670" s="2036"/>
      <c r="AZ670" s="58"/>
      <c r="BA670" s="441">
        <f t="shared" ref="BA670:BA694" si="42">IF($G728=0,"N/A",VLOOKUP($T$189,TC_Rent,(MATCH($B728,bedrooms,FALSE))))</f>
        <v>1700</v>
      </c>
      <c r="BB670" s="58"/>
      <c r="BC670" s="58"/>
      <c r="BD670" s="58"/>
      <c r="BE670" s="58"/>
      <c r="BF670" s="377"/>
      <c r="BG670" s="449" t="s">
        <v>963</v>
      </c>
      <c r="BH670" s="454" t="s">
        <v>964</v>
      </c>
      <c r="BI670" s="453" t="s">
        <v>965</v>
      </c>
      <c r="BJ670" s="58"/>
      <c r="BK670" s="58"/>
      <c r="BL670" s="58"/>
      <c r="BM670" s="58"/>
      <c r="BN670" s="58"/>
      <c r="BO670" s="58"/>
      <c r="BP670" s="536" t="s">
        <v>509</v>
      </c>
      <c r="BQ670" s="744">
        <v>2396</v>
      </c>
      <c r="BR670" s="745">
        <v>2568</v>
      </c>
      <c r="BS670" s="746">
        <v>3082</v>
      </c>
      <c r="BT670" s="745">
        <v>3562</v>
      </c>
      <c r="BU670" s="746">
        <v>3974</v>
      </c>
      <c r="BV670" s="747">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2036" t="s">
        <v>2519</v>
      </c>
      <c r="H671" s="2036"/>
      <c r="I671" s="2036"/>
      <c r="J671" s="2036"/>
      <c r="K671" s="2036"/>
      <c r="L671" s="2036"/>
      <c r="M671" s="2036"/>
      <c r="N671" s="2036"/>
      <c r="O671" s="2036"/>
      <c r="P671" s="2036"/>
      <c r="Q671" s="2036"/>
      <c r="R671" s="2036"/>
      <c r="T671" s="35"/>
      <c r="U671" s="12" t="s">
        <v>615</v>
      </c>
      <c r="Z671" s="2038"/>
      <c r="AA671" s="2038"/>
      <c r="AB671" s="2038"/>
      <c r="AC671" s="2038"/>
      <c r="AD671" s="2038"/>
      <c r="AE671" s="2038"/>
      <c r="AF671" s="2038"/>
      <c r="AG671" s="2038"/>
      <c r="AH671" s="2038"/>
      <c r="AI671" s="2038"/>
      <c r="AJ671" s="2038"/>
      <c r="AK671" s="2038"/>
      <c r="AZ671" s="58"/>
      <c r="BA671" s="441">
        <f t="shared" si="42"/>
        <v>2040</v>
      </c>
      <c r="BB671" s="58"/>
      <c r="BC671" s="58"/>
      <c r="BD671" s="58"/>
      <c r="BE671" s="58"/>
      <c r="BF671" s="377"/>
      <c r="BG671" s="451">
        <f t="shared" ref="BG671:BG695" si="43">G728</f>
        <v>9</v>
      </c>
      <c r="BH671" s="455">
        <f>BG671/$BG$696</f>
        <v>4.5454545454545456E-2</v>
      </c>
      <c r="BI671" s="456">
        <f t="shared" ref="BI671:BI695" si="44">IF(BH671=0," ",BH671*AH728)</f>
        <v>1.3636363636363636E-2</v>
      </c>
      <c r="BJ671" s="58"/>
      <c r="BK671" s="58"/>
      <c r="BL671" s="58"/>
      <c r="BM671" s="58"/>
      <c r="BN671" s="58"/>
      <c r="BO671" s="58"/>
      <c r="BP671" s="537" t="s">
        <v>510</v>
      </c>
      <c r="BQ671" s="748">
        <v>1422</v>
      </c>
      <c r="BR671" s="749">
        <v>1522</v>
      </c>
      <c r="BS671" s="748">
        <v>1826</v>
      </c>
      <c r="BT671" s="749">
        <v>2110</v>
      </c>
      <c r="BU671" s="749">
        <v>2354</v>
      </c>
      <c r="BV671" s="750">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36" t="s">
        <v>2531</v>
      </c>
      <c r="H672" s="2036"/>
      <c r="I672" s="2036"/>
      <c r="J672" s="2036"/>
      <c r="K672" s="2036"/>
      <c r="L672" s="2036"/>
      <c r="M672" s="2036"/>
      <c r="N672" s="2036"/>
      <c r="O672" s="2036"/>
      <c r="P672" s="2036"/>
      <c r="Q672" s="2036"/>
      <c r="R672" s="2036"/>
      <c r="T672" s="35"/>
      <c r="U672" s="12" t="s">
        <v>17</v>
      </c>
      <c r="Z672" s="2038"/>
      <c r="AA672" s="2038"/>
      <c r="AB672" s="2038"/>
      <c r="AC672" s="2038"/>
      <c r="AD672" s="2038"/>
      <c r="AE672" s="2038"/>
      <c r="AF672" s="2038"/>
      <c r="AG672" s="2038"/>
      <c r="AH672" s="2038"/>
      <c r="AI672" s="2038"/>
      <c r="AJ672" s="2038"/>
      <c r="AK672" s="2038"/>
      <c r="AZ672" s="58"/>
      <c r="BA672" s="441">
        <f t="shared" si="42"/>
        <v>2356</v>
      </c>
      <c r="BB672" s="58"/>
      <c r="BC672" s="58"/>
      <c r="BD672" s="58"/>
      <c r="BE672" s="58"/>
      <c r="BF672" s="377"/>
      <c r="BG672" s="452">
        <f t="shared" si="43"/>
        <v>9</v>
      </c>
      <c r="BH672" s="455">
        <f t="shared" ref="BH672:BH695" si="45">BG672/$BG$696</f>
        <v>4.5454545454545456E-2</v>
      </c>
      <c r="BI672" s="456">
        <f t="shared" si="44"/>
        <v>1.3636363636363636E-2</v>
      </c>
      <c r="BJ672" s="58"/>
      <c r="BK672" s="58"/>
      <c r="BL672" s="58"/>
      <c r="BM672" s="58"/>
      <c r="BN672" s="58"/>
      <c r="BO672" s="58"/>
      <c r="BP672" s="537" t="s">
        <v>511</v>
      </c>
      <c r="BQ672" s="751">
        <v>1364</v>
      </c>
      <c r="BR672" s="752">
        <v>1462</v>
      </c>
      <c r="BS672" s="751">
        <v>1754</v>
      </c>
      <c r="BT672" s="752">
        <v>2026</v>
      </c>
      <c r="BU672" s="752">
        <v>2260</v>
      </c>
      <c r="BV672" s="753">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159" t="s">
        <v>2616</v>
      </c>
      <c r="H673" s="2060"/>
      <c r="I673" s="2060"/>
      <c r="J673" s="2060"/>
      <c r="K673" s="2060"/>
      <c r="L673" s="2060"/>
      <c r="O673" s="137" t="s">
        <v>212</v>
      </c>
      <c r="P673" s="2026"/>
      <c r="Q673" s="2026"/>
      <c r="R673" s="2026"/>
      <c r="T673" s="35"/>
      <c r="U673" s="12" t="s">
        <v>325</v>
      </c>
      <c r="Z673" s="2060"/>
      <c r="AA673" s="2060"/>
      <c r="AB673" s="2060"/>
      <c r="AC673" s="2060"/>
      <c r="AD673" s="2060"/>
      <c r="AE673" s="2060"/>
      <c r="AH673" s="137" t="s">
        <v>212</v>
      </c>
      <c r="AI673" s="2026"/>
      <c r="AJ673" s="2026"/>
      <c r="AK673" s="2026"/>
      <c r="AZ673" s="58"/>
      <c r="BA673" s="441" t="str">
        <f t="shared" si="42"/>
        <v>N/A</v>
      </c>
      <c r="BB673" s="58"/>
      <c r="BC673" s="58"/>
      <c r="BD673" s="58"/>
      <c r="BE673" s="58"/>
      <c r="BF673" s="377"/>
      <c r="BG673" s="452">
        <f t="shared" si="43"/>
        <v>9</v>
      </c>
      <c r="BH673" s="455">
        <f t="shared" si="45"/>
        <v>4.5454545454545456E-2</v>
      </c>
      <c r="BI673" s="456">
        <f t="shared" si="44"/>
        <v>1.3636363636363636E-2</v>
      </c>
      <c r="BJ673" s="58"/>
      <c r="BK673" s="58"/>
      <c r="BL673" s="58"/>
      <c r="BM673" s="58"/>
      <c r="BN673" s="58"/>
      <c r="BO673" s="58"/>
      <c r="BP673" s="537" t="s">
        <v>512</v>
      </c>
      <c r="BQ673" s="751">
        <v>1220</v>
      </c>
      <c r="BR673" s="752">
        <v>1306</v>
      </c>
      <c r="BS673" s="751">
        <v>1570</v>
      </c>
      <c r="BT673" s="752">
        <v>1812</v>
      </c>
      <c r="BU673" s="752">
        <v>2022</v>
      </c>
      <c r="BV673" s="753">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198" t="s">
        <v>491</v>
      </c>
      <c r="I674" s="2036"/>
      <c r="J674" s="2036"/>
      <c r="K674" s="2036"/>
      <c r="L674" s="2036"/>
      <c r="M674" s="2036"/>
      <c r="N674" s="2036"/>
      <c r="O674" s="2036"/>
      <c r="P674" s="2036"/>
      <c r="Q674" s="2036"/>
      <c r="R674" s="2036"/>
      <c r="T674" s="35"/>
      <c r="U674" s="12" t="s">
        <v>18</v>
      </c>
      <c r="AA674" s="2036"/>
      <c r="AB674" s="2036"/>
      <c r="AC674" s="2036"/>
      <c r="AD674" s="2036"/>
      <c r="AE674" s="2036"/>
      <c r="AF674" s="2036"/>
      <c r="AG674" s="2036"/>
      <c r="AH674" s="2036"/>
      <c r="AI674" s="2036"/>
      <c r="AJ674" s="2036"/>
      <c r="AK674" s="2036"/>
      <c r="AZ674" s="58"/>
      <c r="BA674" s="441">
        <f t="shared" si="42"/>
        <v>1700</v>
      </c>
      <c r="BB674" s="58"/>
      <c r="BC674" s="58"/>
      <c r="BD674" s="58"/>
      <c r="BE674" s="58"/>
      <c r="BF674" s="377"/>
      <c r="BG674" s="452">
        <f t="shared" si="43"/>
        <v>0</v>
      </c>
      <c r="BH674" s="455">
        <f t="shared" si="45"/>
        <v>0</v>
      </c>
      <c r="BI674" s="456" t="str">
        <f t="shared" si="44"/>
        <v xml:space="preserve"> </v>
      </c>
      <c r="BJ674" s="58"/>
      <c r="BK674" s="58"/>
      <c r="BL674" s="58"/>
      <c r="BM674" s="58"/>
      <c r="BN674" s="58"/>
      <c r="BO674" s="58"/>
      <c r="BP674" s="537" t="s">
        <v>513</v>
      </c>
      <c r="BQ674" s="751">
        <v>1430</v>
      </c>
      <c r="BR674" s="752">
        <v>1532</v>
      </c>
      <c r="BS674" s="751">
        <v>1840</v>
      </c>
      <c r="BT674" s="752">
        <v>2124</v>
      </c>
      <c r="BU674" s="752">
        <v>2370</v>
      </c>
      <c r="BV674" s="753">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34" t="s">
        <v>578</v>
      </c>
      <c r="O675" s="2035"/>
      <c r="T675" s="35"/>
      <c r="U675" s="12" t="s">
        <v>20</v>
      </c>
      <c r="AG675" s="2035" t="s">
        <v>706</v>
      </c>
      <c r="AH675" s="2035"/>
      <c r="AZ675" s="58"/>
      <c r="BA675" s="441">
        <f t="shared" si="42"/>
        <v>2040</v>
      </c>
      <c r="BB675" s="58"/>
      <c r="BC675" s="58"/>
      <c r="BD675" s="58"/>
      <c r="BE675" s="58"/>
      <c r="BF675" s="377"/>
      <c r="BG675" s="452">
        <f t="shared" si="43"/>
        <v>10</v>
      </c>
      <c r="BH675" s="455">
        <f t="shared" si="45"/>
        <v>5.0505050505050504E-2</v>
      </c>
      <c r="BI675" s="456">
        <f t="shared" si="44"/>
        <v>2.5252525252525252E-2</v>
      </c>
      <c r="BJ675" s="58"/>
      <c r="BK675" s="58"/>
      <c r="BL675" s="58"/>
      <c r="BM675" s="58"/>
      <c r="BN675" s="58"/>
      <c r="BO675" s="58"/>
      <c r="BP675" s="537" t="s">
        <v>514</v>
      </c>
      <c r="BQ675" s="751">
        <v>1220</v>
      </c>
      <c r="BR675" s="752">
        <v>1306</v>
      </c>
      <c r="BS675" s="751">
        <v>1570</v>
      </c>
      <c r="BT675" s="752">
        <v>1812</v>
      </c>
      <c r="BU675" s="752">
        <v>2022</v>
      </c>
      <c r="BV675" s="753">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1">
        <f t="shared" si="42"/>
        <v>2356</v>
      </c>
      <c r="BB676" s="58"/>
      <c r="BC676" s="58"/>
      <c r="BD676" s="58"/>
      <c r="BE676" s="58"/>
      <c r="BF676" s="377"/>
      <c r="BG676" s="452">
        <f t="shared" si="43"/>
        <v>44</v>
      </c>
      <c r="BH676" s="455">
        <f t="shared" si="45"/>
        <v>0.22222222222222221</v>
      </c>
      <c r="BI676" s="456">
        <f t="shared" si="44"/>
        <v>0.1111111111111111</v>
      </c>
      <c r="BJ676" s="58"/>
      <c r="BK676" s="58"/>
      <c r="BL676" s="58"/>
      <c r="BM676" s="58"/>
      <c r="BN676" s="58"/>
      <c r="BO676" s="58"/>
      <c r="BP676" s="537" t="s">
        <v>515</v>
      </c>
      <c r="BQ676" s="751">
        <v>2396</v>
      </c>
      <c r="BR676" s="752">
        <v>2568</v>
      </c>
      <c r="BS676" s="751">
        <v>3082</v>
      </c>
      <c r="BT676" s="752">
        <v>3562</v>
      </c>
      <c r="BU676" s="752">
        <v>3974</v>
      </c>
      <c r="BV676" s="753">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2037">
        <f>C643</f>
        <v>0</v>
      </c>
      <c r="H677" s="2037"/>
      <c r="I677" s="2037"/>
      <c r="J677" s="2037"/>
      <c r="K677" s="2037"/>
      <c r="L677" s="2037"/>
      <c r="M677" s="2037"/>
      <c r="N677" s="2037"/>
      <c r="O677" s="2037"/>
      <c r="P677" s="2037"/>
      <c r="Q677" s="2037"/>
      <c r="R677" s="2037"/>
      <c r="T677" s="87" t="s">
        <v>488</v>
      </c>
      <c r="U677" s="12" t="s">
        <v>496</v>
      </c>
      <c r="Z677" s="2037">
        <f>C644</f>
        <v>0</v>
      </c>
      <c r="AA677" s="2037"/>
      <c r="AB677" s="2037"/>
      <c r="AC677" s="2037"/>
      <c r="AD677" s="2037"/>
      <c r="AE677" s="2037"/>
      <c r="AF677" s="2037"/>
      <c r="AG677" s="2037"/>
      <c r="AH677" s="2037"/>
      <c r="AI677" s="2037"/>
      <c r="AJ677" s="2037"/>
      <c r="AK677" s="2037"/>
      <c r="AZ677" s="58"/>
      <c r="BA677" s="441" t="str">
        <f t="shared" si="42"/>
        <v>N/A</v>
      </c>
      <c r="BB677" s="58"/>
      <c r="BC677" s="58"/>
      <c r="BD677" s="58"/>
      <c r="BE677" s="58"/>
      <c r="BF677" s="377"/>
      <c r="BG677" s="452">
        <f t="shared" si="43"/>
        <v>17</v>
      </c>
      <c r="BH677" s="455">
        <f t="shared" si="45"/>
        <v>8.5858585858585856E-2</v>
      </c>
      <c r="BI677" s="456">
        <f t="shared" si="44"/>
        <v>4.2929292929292928E-2</v>
      </c>
      <c r="BJ677" s="58"/>
      <c r="BK677" s="58"/>
      <c r="BL677" s="58"/>
      <c r="BM677" s="58"/>
      <c r="BN677" s="58"/>
      <c r="BO677" s="58"/>
      <c r="BP677" s="537" t="s">
        <v>516</v>
      </c>
      <c r="BQ677" s="751">
        <v>1220</v>
      </c>
      <c r="BR677" s="752">
        <v>1306</v>
      </c>
      <c r="BS677" s="751">
        <v>1570</v>
      </c>
      <c r="BT677" s="752">
        <v>1812</v>
      </c>
      <c r="BU677" s="752">
        <v>2022</v>
      </c>
      <c r="BV677" s="753">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36"/>
      <c r="H678" s="2036"/>
      <c r="I678" s="2036"/>
      <c r="J678" s="2036"/>
      <c r="K678" s="2036"/>
      <c r="L678" s="2036"/>
      <c r="M678" s="2036"/>
      <c r="N678" s="2036"/>
      <c r="O678" s="2036"/>
      <c r="P678" s="2036"/>
      <c r="Q678" s="2036"/>
      <c r="R678" s="2036"/>
      <c r="T678" s="35"/>
      <c r="U678" s="12" t="s">
        <v>90</v>
      </c>
      <c r="Z678" s="2036"/>
      <c r="AA678" s="2036"/>
      <c r="AB678" s="2036"/>
      <c r="AC678" s="2036"/>
      <c r="AD678" s="2036"/>
      <c r="AE678" s="2036"/>
      <c r="AF678" s="2036"/>
      <c r="AG678" s="2036"/>
      <c r="AH678" s="2036"/>
      <c r="AI678" s="2036"/>
      <c r="AJ678" s="2036"/>
      <c r="AK678" s="2036"/>
      <c r="AZ678" s="58"/>
      <c r="BA678" s="441">
        <f t="shared" si="42"/>
        <v>1700</v>
      </c>
      <c r="BB678" s="58"/>
      <c r="BC678" s="58"/>
      <c r="BD678" s="58"/>
      <c r="BE678" s="58"/>
      <c r="BF678" s="377"/>
      <c r="BG678" s="452">
        <f t="shared" si="43"/>
        <v>0</v>
      </c>
      <c r="BH678" s="455">
        <f t="shared" si="45"/>
        <v>0</v>
      </c>
      <c r="BI678" s="456" t="str">
        <f t="shared" si="44"/>
        <v xml:space="preserve"> </v>
      </c>
      <c r="BJ678" s="58"/>
      <c r="BK678" s="58"/>
      <c r="BL678" s="58"/>
      <c r="BM678" s="58"/>
      <c r="BN678" s="58"/>
      <c r="BO678" s="58"/>
      <c r="BP678" s="537" t="s">
        <v>517</v>
      </c>
      <c r="BQ678" s="751">
        <v>1586</v>
      </c>
      <c r="BR678" s="752">
        <v>1700</v>
      </c>
      <c r="BS678" s="751">
        <v>2040</v>
      </c>
      <c r="BT678" s="752">
        <v>2356</v>
      </c>
      <c r="BU678" s="752">
        <v>2626</v>
      </c>
      <c r="BV678" s="753">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2036"/>
      <c r="H679" s="2036"/>
      <c r="I679" s="2036"/>
      <c r="J679" s="2036"/>
      <c r="K679" s="2036"/>
      <c r="L679" s="2036"/>
      <c r="M679" s="2036"/>
      <c r="N679" s="2036"/>
      <c r="O679" s="2036"/>
      <c r="P679" s="2036"/>
      <c r="Q679" s="2036"/>
      <c r="R679" s="2036"/>
      <c r="T679" s="35"/>
      <c r="U679" s="12" t="s">
        <v>615</v>
      </c>
      <c r="Z679" s="2038"/>
      <c r="AA679" s="2038"/>
      <c r="AB679" s="2038"/>
      <c r="AC679" s="2038"/>
      <c r="AD679" s="2038"/>
      <c r="AE679" s="2038"/>
      <c r="AF679" s="2038"/>
      <c r="AG679" s="2038"/>
      <c r="AH679" s="2038"/>
      <c r="AI679" s="2038"/>
      <c r="AJ679" s="2038"/>
      <c r="AK679" s="2038"/>
      <c r="AZ679" s="58"/>
      <c r="BA679" s="441">
        <f t="shared" si="42"/>
        <v>2040</v>
      </c>
      <c r="BB679" s="58"/>
      <c r="BC679" s="58"/>
      <c r="BD679" s="58"/>
      <c r="BE679" s="58"/>
      <c r="BF679" s="377"/>
      <c r="BG679" s="452">
        <f t="shared" si="43"/>
        <v>15</v>
      </c>
      <c r="BH679" s="455">
        <f t="shared" si="45"/>
        <v>7.575757575757576E-2</v>
      </c>
      <c r="BI679" s="456">
        <f t="shared" si="44"/>
        <v>4.5454545454545456E-2</v>
      </c>
      <c r="BJ679" s="58"/>
      <c r="BK679" s="58"/>
      <c r="BL679" s="58"/>
      <c r="BM679" s="58"/>
      <c r="BN679" s="58"/>
      <c r="BO679" s="58"/>
      <c r="BP679" s="537" t="s">
        <v>518</v>
      </c>
      <c r="BQ679" s="751">
        <v>1220</v>
      </c>
      <c r="BR679" s="752">
        <v>1306</v>
      </c>
      <c r="BS679" s="751">
        <v>1570</v>
      </c>
      <c r="BT679" s="752">
        <v>1812</v>
      </c>
      <c r="BU679" s="752">
        <v>2022</v>
      </c>
      <c r="BV679" s="753">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36"/>
      <c r="H680" s="2036"/>
      <c r="I680" s="2036"/>
      <c r="J680" s="2036"/>
      <c r="K680" s="2036"/>
      <c r="L680" s="2036"/>
      <c r="M680" s="2036"/>
      <c r="N680" s="2036"/>
      <c r="O680" s="2036"/>
      <c r="P680" s="2036"/>
      <c r="Q680" s="2036"/>
      <c r="R680" s="2036"/>
      <c r="T680" s="35"/>
      <c r="U680" s="12" t="s">
        <v>17</v>
      </c>
      <c r="Z680" s="2038"/>
      <c r="AA680" s="2038"/>
      <c r="AB680" s="2038"/>
      <c r="AC680" s="2038"/>
      <c r="AD680" s="2038"/>
      <c r="AE680" s="2038"/>
      <c r="AF680" s="2038"/>
      <c r="AG680" s="2038"/>
      <c r="AH680" s="2038"/>
      <c r="AI680" s="2038"/>
      <c r="AJ680" s="2038"/>
      <c r="AK680" s="2038"/>
      <c r="AZ680" s="58"/>
      <c r="BA680" s="441">
        <f t="shared" si="42"/>
        <v>2356</v>
      </c>
      <c r="BB680" s="58"/>
      <c r="BC680" s="58"/>
      <c r="BD680" s="58"/>
      <c r="BE680" s="58"/>
      <c r="BF680" s="377"/>
      <c r="BG680" s="452">
        <f t="shared" si="43"/>
        <v>22</v>
      </c>
      <c r="BH680" s="455">
        <f t="shared" si="45"/>
        <v>0.1111111111111111</v>
      </c>
      <c r="BI680" s="456">
        <f t="shared" si="44"/>
        <v>6.6666666666666666E-2</v>
      </c>
      <c r="BJ680" s="58"/>
      <c r="BK680" s="58"/>
      <c r="BL680" s="58"/>
      <c r="BM680" s="58"/>
      <c r="BN680" s="58"/>
      <c r="BO680" s="58"/>
      <c r="BP680" s="537" t="s">
        <v>519</v>
      </c>
      <c r="BQ680" s="751">
        <v>1220</v>
      </c>
      <c r="BR680" s="752">
        <v>1306</v>
      </c>
      <c r="BS680" s="751">
        <v>1570</v>
      </c>
      <c r="BT680" s="752">
        <v>1812</v>
      </c>
      <c r="BU680" s="752">
        <v>2022</v>
      </c>
      <c r="BV680" s="753">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60"/>
      <c r="H681" s="2060"/>
      <c r="I681" s="2060"/>
      <c r="J681" s="2060"/>
      <c r="K681" s="2060"/>
      <c r="L681" s="2060"/>
      <c r="O681" s="137" t="s">
        <v>212</v>
      </c>
      <c r="P681" s="2026"/>
      <c r="Q681" s="2026"/>
      <c r="R681" s="2026"/>
      <c r="T681" s="35"/>
      <c r="U681" s="12" t="s">
        <v>325</v>
      </c>
      <c r="Z681" s="2060"/>
      <c r="AA681" s="2060"/>
      <c r="AB681" s="2060"/>
      <c r="AC681" s="2060"/>
      <c r="AD681" s="2060"/>
      <c r="AE681" s="2060"/>
      <c r="AH681" s="137" t="s">
        <v>212</v>
      </c>
      <c r="AI681" s="2026"/>
      <c r="AJ681" s="2026"/>
      <c r="AK681" s="2026"/>
      <c r="AZ681" s="58"/>
      <c r="BA681" s="441" t="str">
        <f t="shared" si="42"/>
        <v>N/A</v>
      </c>
      <c r="BB681" s="58"/>
      <c r="BC681" s="58"/>
      <c r="BD681" s="58"/>
      <c r="BE681" s="58"/>
      <c r="BF681" s="377"/>
      <c r="BG681" s="452">
        <f t="shared" si="43"/>
        <v>14</v>
      </c>
      <c r="BH681" s="455">
        <f t="shared" si="45"/>
        <v>7.0707070707070704E-2</v>
      </c>
      <c r="BI681" s="456">
        <f t="shared" si="44"/>
        <v>4.242424242424242E-2</v>
      </c>
      <c r="BJ681" s="58"/>
      <c r="BK681" s="58"/>
      <c r="BL681" s="58"/>
      <c r="BM681" s="58"/>
      <c r="BN681" s="58"/>
      <c r="BO681" s="58"/>
      <c r="BP681" s="537" t="s">
        <v>520</v>
      </c>
      <c r="BQ681" s="751">
        <v>1220</v>
      </c>
      <c r="BR681" s="752">
        <v>1306</v>
      </c>
      <c r="BS681" s="751">
        <v>1570</v>
      </c>
      <c r="BT681" s="752">
        <v>1812</v>
      </c>
      <c r="BU681" s="752">
        <v>2022</v>
      </c>
      <c r="BV681" s="753">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36"/>
      <c r="I682" s="2036"/>
      <c r="J682" s="2036"/>
      <c r="K682" s="2036"/>
      <c r="L682" s="2036"/>
      <c r="M682" s="2036"/>
      <c r="N682" s="2036"/>
      <c r="O682" s="2036"/>
      <c r="P682" s="2036"/>
      <c r="Q682" s="2036"/>
      <c r="R682" s="2036"/>
      <c r="T682" s="35"/>
      <c r="U682" s="12" t="s">
        <v>18</v>
      </c>
      <c r="AA682" s="2036"/>
      <c r="AB682" s="2036"/>
      <c r="AC682" s="2036"/>
      <c r="AD682" s="2036"/>
      <c r="AE682" s="2036"/>
      <c r="AF682" s="2036"/>
      <c r="AG682" s="2036"/>
      <c r="AH682" s="2036"/>
      <c r="AI682" s="2036"/>
      <c r="AJ682" s="2036"/>
      <c r="AK682" s="2036"/>
      <c r="AZ682" s="58"/>
      <c r="BA682" s="441">
        <f t="shared" si="42"/>
        <v>1700</v>
      </c>
      <c r="BB682" s="58"/>
      <c r="BC682" s="58"/>
      <c r="BD682" s="58"/>
      <c r="BE682" s="58"/>
      <c r="BF682" s="377"/>
      <c r="BG682" s="452">
        <f t="shared" si="43"/>
        <v>0</v>
      </c>
      <c r="BH682" s="455">
        <f t="shared" si="45"/>
        <v>0</v>
      </c>
      <c r="BI682" s="456" t="str">
        <f t="shared" si="44"/>
        <v xml:space="preserve"> </v>
      </c>
      <c r="BJ682" s="58"/>
      <c r="BK682" s="58"/>
      <c r="BL682" s="58"/>
      <c r="BM682" s="58"/>
      <c r="BN682" s="58"/>
      <c r="BO682" s="58"/>
      <c r="BP682" s="537" t="s">
        <v>521</v>
      </c>
      <c r="BQ682" s="751">
        <v>1220</v>
      </c>
      <c r="BR682" s="752">
        <v>1306</v>
      </c>
      <c r="BS682" s="751">
        <v>1570</v>
      </c>
      <c r="BT682" s="752">
        <v>1812</v>
      </c>
      <c r="BU682" s="752">
        <v>2022</v>
      </c>
      <c r="BV682" s="753">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35" t="s">
        <v>706</v>
      </c>
      <c r="O683" s="2035"/>
      <c r="T683" s="35"/>
      <c r="U683" s="12" t="s">
        <v>20</v>
      </c>
      <c r="AG683" s="2035" t="s">
        <v>706</v>
      </c>
      <c r="AH683" s="2035"/>
      <c r="AZ683" s="58"/>
      <c r="BA683" s="441">
        <f t="shared" si="42"/>
        <v>2040</v>
      </c>
      <c r="BB683" s="58"/>
      <c r="BC683" s="58"/>
      <c r="BD683" s="58"/>
      <c r="BE683" s="58"/>
      <c r="BF683" s="377"/>
      <c r="BG683" s="452">
        <f t="shared" si="43"/>
        <v>13</v>
      </c>
      <c r="BH683" s="455">
        <f t="shared" si="45"/>
        <v>6.5656565656565663E-2</v>
      </c>
      <c r="BI683" s="456">
        <f t="shared" si="44"/>
        <v>4.5959595959595964E-2</v>
      </c>
      <c r="BJ683" s="58"/>
      <c r="BK683" s="58"/>
      <c r="BL683" s="58"/>
      <c r="BM683" s="58"/>
      <c r="BN683" s="58"/>
      <c r="BO683" s="58"/>
      <c r="BP683" s="537" t="s">
        <v>522</v>
      </c>
      <c r="BQ683" s="751">
        <v>1296</v>
      </c>
      <c r="BR683" s="752">
        <v>1390</v>
      </c>
      <c r="BS683" s="751">
        <v>1666</v>
      </c>
      <c r="BT683" s="752">
        <v>1926</v>
      </c>
      <c r="BU683" s="752">
        <v>2150</v>
      </c>
      <c r="BV683" s="753">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1">
        <f t="shared" si="42"/>
        <v>2356</v>
      </c>
      <c r="BB684" s="58"/>
      <c r="BC684" s="58"/>
      <c r="BD684" s="58"/>
      <c r="BE684" s="58"/>
      <c r="BF684" s="377"/>
      <c r="BG684" s="452">
        <f t="shared" si="43"/>
        <v>18</v>
      </c>
      <c r="BH684" s="455">
        <f t="shared" si="45"/>
        <v>9.0909090909090912E-2</v>
      </c>
      <c r="BI684" s="456">
        <f t="shared" si="44"/>
        <v>6.363636363636363E-2</v>
      </c>
      <c r="BJ684" s="58"/>
      <c r="BK684" s="58"/>
      <c r="BL684" s="58"/>
      <c r="BM684" s="58"/>
      <c r="BN684" s="58"/>
      <c r="BO684" s="58"/>
      <c r="BP684" s="537" t="s">
        <v>523</v>
      </c>
      <c r="BQ684" s="751">
        <v>1220</v>
      </c>
      <c r="BR684" s="752">
        <v>1306</v>
      </c>
      <c r="BS684" s="751">
        <v>1570</v>
      </c>
      <c r="BT684" s="752">
        <v>1812</v>
      </c>
      <c r="BU684" s="752">
        <v>2022</v>
      </c>
      <c r="BV684" s="753">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2037">
        <f>C645</f>
        <v>0</v>
      </c>
      <c r="H685" s="2037"/>
      <c r="I685" s="2037"/>
      <c r="J685" s="2037"/>
      <c r="K685" s="2037"/>
      <c r="L685" s="2037"/>
      <c r="M685" s="2037"/>
      <c r="N685" s="2037"/>
      <c r="O685" s="2037"/>
      <c r="P685" s="2037"/>
      <c r="Q685" s="2037"/>
      <c r="R685" s="2037"/>
      <c r="T685" s="87" t="s">
        <v>681</v>
      </c>
      <c r="U685" s="12" t="s">
        <v>496</v>
      </c>
      <c r="Z685" s="2037">
        <f>C646</f>
        <v>0</v>
      </c>
      <c r="AA685" s="2037"/>
      <c r="AB685" s="2037"/>
      <c r="AC685" s="2037"/>
      <c r="AD685" s="2037"/>
      <c r="AE685" s="2037"/>
      <c r="AF685" s="2037"/>
      <c r="AG685" s="2037"/>
      <c r="AH685" s="2037"/>
      <c r="AI685" s="2037"/>
      <c r="AJ685" s="2037"/>
      <c r="AK685" s="2037"/>
      <c r="AZ685" s="58"/>
      <c r="BA685" s="441" t="str">
        <f t="shared" si="42"/>
        <v>N/A</v>
      </c>
      <c r="BB685" s="58"/>
      <c r="BC685" s="58"/>
      <c r="BD685" s="58"/>
      <c r="BE685" s="58"/>
      <c r="BF685" s="377"/>
      <c r="BG685" s="452">
        <f t="shared" si="43"/>
        <v>18</v>
      </c>
      <c r="BH685" s="455">
        <f t="shared" si="45"/>
        <v>9.0909090909090912E-2</v>
      </c>
      <c r="BI685" s="456">
        <f t="shared" si="44"/>
        <v>6.363636363636363E-2</v>
      </c>
      <c r="BJ685" s="58"/>
      <c r="BK685" s="58"/>
      <c r="BL685" s="58"/>
      <c r="BM685" s="58"/>
      <c r="BN685" s="58"/>
      <c r="BO685" s="58"/>
      <c r="BP685" s="537" t="s">
        <v>524</v>
      </c>
      <c r="BQ685" s="751">
        <v>1220</v>
      </c>
      <c r="BR685" s="752">
        <v>1306</v>
      </c>
      <c r="BS685" s="751">
        <v>1570</v>
      </c>
      <c r="BT685" s="752">
        <v>1812</v>
      </c>
      <c r="BU685" s="752">
        <v>2022</v>
      </c>
      <c r="BV685" s="753">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36"/>
      <c r="H686" s="2036"/>
      <c r="I686" s="2036"/>
      <c r="J686" s="2036"/>
      <c r="K686" s="2036"/>
      <c r="L686" s="2036"/>
      <c r="M686" s="2036"/>
      <c r="N686" s="2036"/>
      <c r="O686" s="2036"/>
      <c r="P686" s="2036"/>
      <c r="Q686" s="2036"/>
      <c r="R686" s="2036"/>
      <c r="T686" s="35"/>
      <c r="U686" s="12" t="s">
        <v>90</v>
      </c>
      <c r="Z686" s="2036"/>
      <c r="AA686" s="2036"/>
      <c r="AB686" s="2036"/>
      <c r="AC686" s="2036"/>
      <c r="AD686" s="2036"/>
      <c r="AE686" s="2036"/>
      <c r="AF686" s="2036"/>
      <c r="AG686" s="2036"/>
      <c r="AH686" s="2036"/>
      <c r="AI686" s="2036"/>
      <c r="AJ686" s="2036"/>
      <c r="AK686" s="2036"/>
      <c r="AZ686" s="58"/>
      <c r="BA686" s="441" t="str">
        <f t="shared" si="42"/>
        <v>N/A</v>
      </c>
      <c r="BB686" s="58"/>
      <c r="BC686" s="58"/>
      <c r="BD686" s="58"/>
      <c r="BE686" s="58"/>
      <c r="BF686" s="377"/>
      <c r="BG686" s="452">
        <f t="shared" si="43"/>
        <v>0</v>
      </c>
      <c r="BH686" s="455">
        <f t="shared" si="45"/>
        <v>0</v>
      </c>
      <c r="BI686" s="456" t="str">
        <f t="shared" si="44"/>
        <v xml:space="preserve"> </v>
      </c>
      <c r="BJ686" s="58"/>
      <c r="BK686" s="58"/>
      <c r="BL686" s="58"/>
      <c r="BM686" s="58"/>
      <c r="BN686" s="58"/>
      <c r="BO686" s="58"/>
      <c r="BP686" s="537" t="s">
        <v>525</v>
      </c>
      <c r="BQ686" s="751">
        <v>1220</v>
      </c>
      <c r="BR686" s="752">
        <v>1306</v>
      </c>
      <c r="BS686" s="751">
        <v>1570</v>
      </c>
      <c r="BT686" s="752">
        <v>1812</v>
      </c>
      <c r="BU686" s="752">
        <v>2022</v>
      </c>
      <c r="BV686" s="753">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2036"/>
      <c r="H687" s="2036"/>
      <c r="I687" s="2036"/>
      <c r="J687" s="2036"/>
      <c r="K687" s="2036"/>
      <c r="L687" s="2036"/>
      <c r="M687" s="2036"/>
      <c r="N687" s="2036"/>
      <c r="O687" s="2036"/>
      <c r="P687" s="2036"/>
      <c r="Q687" s="2036"/>
      <c r="R687" s="2036"/>
      <c r="T687" s="35"/>
      <c r="U687" s="12" t="s">
        <v>615</v>
      </c>
      <c r="Z687" s="2038"/>
      <c r="AA687" s="2038"/>
      <c r="AB687" s="2038"/>
      <c r="AC687" s="2038"/>
      <c r="AD687" s="2038"/>
      <c r="AE687" s="2038"/>
      <c r="AF687" s="2038"/>
      <c r="AG687" s="2038"/>
      <c r="AH687" s="2038"/>
      <c r="AI687" s="2038"/>
      <c r="AJ687" s="2038"/>
      <c r="AK687" s="2038"/>
      <c r="AZ687" s="58"/>
      <c r="BA687" s="441" t="str">
        <f t="shared" si="42"/>
        <v>N/A</v>
      </c>
      <c r="BB687" s="58"/>
      <c r="BC687" s="58"/>
      <c r="BD687" s="58"/>
      <c r="BE687" s="58"/>
      <c r="BF687" s="377"/>
      <c r="BG687" s="452">
        <f t="shared" si="43"/>
        <v>0</v>
      </c>
      <c r="BH687" s="455">
        <f t="shared" si="45"/>
        <v>0</v>
      </c>
      <c r="BI687" s="456" t="str">
        <f t="shared" si="44"/>
        <v xml:space="preserve"> </v>
      </c>
      <c r="BJ687" s="58"/>
      <c r="BK687" s="58"/>
      <c r="BL687" s="58"/>
      <c r="BM687" s="58"/>
      <c r="BN687" s="58"/>
      <c r="BO687" s="58"/>
      <c r="BP687" s="537" t="s">
        <v>526</v>
      </c>
      <c r="BQ687" s="751">
        <v>1264</v>
      </c>
      <c r="BR687" s="752">
        <v>1354</v>
      </c>
      <c r="BS687" s="751">
        <v>1624</v>
      </c>
      <c r="BT687" s="752">
        <v>1876</v>
      </c>
      <c r="BU687" s="752">
        <v>2094</v>
      </c>
      <c r="BV687" s="753">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36"/>
      <c r="H688" s="2036"/>
      <c r="I688" s="2036"/>
      <c r="J688" s="2036"/>
      <c r="K688" s="2036"/>
      <c r="L688" s="2036"/>
      <c r="M688" s="2036"/>
      <c r="N688" s="2036"/>
      <c r="O688" s="2036"/>
      <c r="P688" s="2036"/>
      <c r="Q688" s="2036"/>
      <c r="R688" s="2036"/>
      <c r="T688" s="35"/>
      <c r="U688" s="12" t="s">
        <v>17</v>
      </c>
      <c r="Z688" s="2038"/>
      <c r="AA688" s="2038"/>
      <c r="AB688" s="2038"/>
      <c r="AC688" s="2038"/>
      <c r="AD688" s="2038"/>
      <c r="AE688" s="2038"/>
      <c r="AF688" s="2038"/>
      <c r="AG688" s="2038"/>
      <c r="AH688" s="2038"/>
      <c r="AI688" s="2038"/>
      <c r="AJ688" s="2038"/>
      <c r="AK688" s="2038"/>
      <c r="AZ688" s="58"/>
      <c r="BA688" s="441" t="str">
        <f t="shared" si="42"/>
        <v>N/A</v>
      </c>
      <c r="BB688" s="58"/>
      <c r="BC688" s="58"/>
      <c r="BD688" s="58"/>
      <c r="BE688" s="58"/>
      <c r="BF688" s="377"/>
      <c r="BG688" s="452">
        <f t="shared" si="43"/>
        <v>0</v>
      </c>
      <c r="BH688" s="455">
        <f t="shared" si="45"/>
        <v>0</v>
      </c>
      <c r="BI688" s="456" t="str">
        <f t="shared" si="44"/>
        <v xml:space="preserve"> </v>
      </c>
      <c r="BJ688" s="58"/>
      <c r="BK688" s="58"/>
      <c r="BL688" s="58"/>
      <c r="BM688" s="58"/>
      <c r="BN688" s="58"/>
      <c r="BO688" s="58"/>
      <c r="BP688" s="537" t="s">
        <v>527</v>
      </c>
      <c r="BQ688" s="751">
        <v>2070</v>
      </c>
      <c r="BR688" s="752">
        <v>2216</v>
      </c>
      <c r="BS688" s="751">
        <v>2660</v>
      </c>
      <c r="BT688" s="752">
        <v>3072</v>
      </c>
      <c r="BU688" s="752">
        <v>3430</v>
      </c>
      <c r="BV688" s="753">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60"/>
      <c r="H689" s="2060"/>
      <c r="I689" s="2060"/>
      <c r="J689" s="2060"/>
      <c r="K689" s="2060"/>
      <c r="L689" s="2060"/>
      <c r="O689" s="137" t="s">
        <v>212</v>
      </c>
      <c r="P689" s="2026"/>
      <c r="Q689" s="2026"/>
      <c r="R689" s="2026"/>
      <c r="T689" s="35"/>
      <c r="U689" s="12" t="s">
        <v>325</v>
      </c>
      <c r="Z689" s="2060"/>
      <c r="AA689" s="2060"/>
      <c r="AB689" s="2060"/>
      <c r="AC689" s="2060"/>
      <c r="AD689" s="2060"/>
      <c r="AE689" s="2060"/>
      <c r="AH689" s="137" t="s">
        <v>212</v>
      </c>
      <c r="AI689" s="2026"/>
      <c r="AJ689" s="2026"/>
      <c r="AK689" s="2026"/>
      <c r="AZ689" s="58"/>
      <c r="BA689" s="441" t="str">
        <f t="shared" si="42"/>
        <v>N/A</v>
      </c>
      <c r="BB689" s="58"/>
      <c r="BC689" s="58"/>
      <c r="BD689" s="58"/>
      <c r="BE689" s="58"/>
      <c r="BF689" s="377"/>
      <c r="BG689" s="452">
        <f t="shared" si="43"/>
        <v>0</v>
      </c>
      <c r="BH689" s="455">
        <f t="shared" si="45"/>
        <v>0</v>
      </c>
      <c r="BI689" s="456" t="str">
        <f t="shared" si="44"/>
        <v xml:space="preserve"> </v>
      </c>
      <c r="BJ689" s="58"/>
      <c r="BK689" s="58"/>
      <c r="BL689" s="58"/>
      <c r="BM689" s="58"/>
      <c r="BN689" s="58"/>
      <c r="BO689" s="58"/>
      <c r="BP689" s="537" t="s">
        <v>528</v>
      </c>
      <c r="BQ689" s="751">
        <v>1220</v>
      </c>
      <c r="BR689" s="752">
        <v>1306</v>
      </c>
      <c r="BS689" s="751">
        <v>1570</v>
      </c>
      <c r="BT689" s="752">
        <v>1812</v>
      </c>
      <c r="BU689" s="752">
        <v>2022</v>
      </c>
      <c r="BV689" s="753">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36"/>
      <c r="I690" s="2036"/>
      <c r="J690" s="2036"/>
      <c r="K690" s="2036"/>
      <c r="L690" s="2036"/>
      <c r="M690" s="2036"/>
      <c r="N690" s="2036"/>
      <c r="O690" s="2036"/>
      <c r="P690" s="2036"/>
      <c r="Q690" s="2036"/>
      <c r="R690" s="2036"/>
      <c r="T690" s="35"/>
      <c r="U690" s="12" t="s">
        <v>18</v>
      </c>
      <c r="AA690" s="2036"/>
      <c r="AB690" s="2036"/>
      <c r="AC690" s="2036"/>
      <c r="AD690" s="2036"/>
      <c r="AE690" s="2036"/>
      <c r="AF690" s="2036"/>
      <c r="AG690" s="2036"/>
      <c r="AH690" s="2036"/>
      <c r="AI690" s="2036"/>
      <c r="AJ690" s="2036"/>
      <c r="AK690" s="2036"/>
      <c r="AZ690" s="58"/>
      <c r="BA690" s="441" t="str">
        <f t="shared" si="42"/>
        <v>N/A</v>
      </c>
      <c r="BB690" s="58"/>
      <c r="BC690" s="58"/>
      <c r="BD690" s="58"/>
      <c r="BE690" s="58"/>
      <c r="BF690" s="377"/>
      <c r="BG690" s="452">
        <f t="shared" si="43"/>
        <v>0</v>
      </c>
      <c r="BH690" s="455">
        <f t="shared" si="45"/>
        <v>0</v>
      </c>
      <c r="BI690" s="456" t="str">
        <f t="shared" si="44"/>
        <v xml:space="preserve"> </v>
      </c>
      <c r="BJ690" s="58"/>
      <c r="BK690" s="58"/>
      <c r="BL690" s="58"/>
      <c r="BM690" s="58"/>
      <c r="BN690" s="58"/>
      <c r="BO690" s="58"/>
      <c r="BP690" s="537" t="s">
        <v>529</v>
      </c>
      <c r="BQ690" s="751">
        <v>3196</v>
      </c>
      <c r="BR690" s="752">
        <v>3426</v>
      </c>
      <c r="BS690" s="751">
        <v>4112</v>
      </c>
      <c r="BT690" s="752">
        <v>4750</v>
      </c>
      <c r="BU690" s="752">
        <v>5300</v>
      </c>
      <c r="BV690" s="753">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35" t="s">
        <v>706</v>
      </c>
      <c r="O691" s="2035"/>
      <c r="T691" s="35"/>
      <c r="U691" s="12" t="s">
        <v>20</v>
      </c>
      <c r="AG691" s="2035" t="s">
        <v>706</v>
      </c>
      <c r="AH691" s="2035"/>
      <c r="AZ691" s="58"/>
      <c r="BA691" s="441" t="str">
        <f t="shared" si="42"/>
        <v>N/A</v>
      </c>
      <c r="BB691" s="58"/>
      <c r="BF691" s="377"/>
      <c r="BG691" s="452">
        <f t="shared" si="43"/>
        <v>0</v>
      </c>
      <c r="BH691" s="455">
        <f t="shared" si="45"/>
        <v>0</v>
      </c>
      <c r="BI691" s="456" t="str">
        <f t="shared" si="44"/>
        <v xml:space="preserve"> </v>
      </c>
      <c r="BL691" s="58"/>
      <c r="BM691" s="58"/>
      <c r="BN691" s="58"/>
      <c r="BO691" s="58"/>
      <c r="BP691" s="537" t="s">
        <v>56</v>
      </c>
      <c r="BQ691" s="751">
        <v>1220</v>
      </c>
      <c r="BR691" s="752">
        <v>1306</v>
      </c>
      <c r="BS691" s="751">
        <v>1570</v>
      </c>
      <c r="BT691" s="752">
        <v>1812</v>
      </c>
      <c r="BU691" s="752">
        <v>2022</v>
      </c>
      <c r="BV691" s="753">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1" t="str">
        <f t="shared" si="42"/>
        <v>N/A</v>
      </c>
      <c r="BB692" s="58"/>
      <c r="BF692" s="377"/>
      <c r="BG692" s="452">
        <f t="shared" si="43"/>
        <v>0</v>
      </c>
      <c r="BH692" s="455">
        <f t="shared" si="45"/>
        <v>0</v>
      </c>
      <c r="BI692" s="456" t="str">
        <f t="shared" si="44"/>
        <v xml:space="preserve"> </v>
      </c>
      <c r="BL692" s="58"/>
      <c r="BM692" s="58"/>
      <c r="BN692" s="58"/>
      <c r="BO692" s="58"/>
      <c r="BP692" s="537" t="s">
        <v>57</v>
      </c>
      <c r="BQ692" s="751">
        <v>1266</v>
      </c>
      <c r="BR692" s="752">
        <v>1356</v>
      </c>
      <c r="BS692" s="751">
        <v>1626</v>
      </c>
      <c r="BT692" s="752">
        <v>1880</v>
      </c>
      <c r="BU692" s="752">
        <v>2096</v>
      </c>
      <c r="BV692" s="753">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2037">
        <f>C647</f>
        <v>0</v>
      </c>
      <c r="H693" s="2037"/>
      <c r="I693" s="2037"/>
      <c r="J693" s="2037"/>
      <c r="K693" s="2037"/>
      <c r="L693" s="2037"/>
      <c r="M693" s="2037"/>
      <c r="N693" s="2037"/>
      <c r="O693" s="2037"/>
      <c r="P693" s="2037"/>
      <c r="Q693" s="2037"/>
      <c r="R693" s="2037"/>
      <c r="T693" s="87" t="s">
        <v>373</v>
      </c>
      <c r="U693" s="12" t="s">
        <v>496</v>
      </c>
      <c r="Z693" s="2037">
        <f>C648</f>
        <v>0</v>
      </c>
      <c r="AA693" s="2037"/>
      <c r="AB693" s="2037"/>
      <c r="AC693" s="2037"/>
      <c r="AD693" s="2037"/>
      <c r="AE693" s="2037"/>
      <c r="AF693" s="2037"/>
      <c r="AG693" s="2037"/>
      <c r="AH693" s="2037"/>
      <c r="AI693" s="2037"/>
      <c r="AJ693" s="2037"/>
      <c r="AK693" s="2037"/>
      <c r="AZ693" s="58"/>
      <c r="BA693" s="441" t="str">
        <f t="shared" si="42"/>
        <v>N/A</v>
      </c>
      <c r="BB693" s="58"/>
      <c r="BF693" s="377"/>
      <c r="BG693" s="452">
        <f t="shared" si="43"/>
        <v>0</v>
      </c>
      <c r="BH693" s="455">
        <f t="shared" si="45"/>
        <v>0</v>
      </c>
      <c r="BI693" s="456" t="str">
        <f t="shared" si="44"/>
        <v xml:space="preserve"> </v>
      </c>
      <c r="BL693" s="58"/>
      <c r="BM693" s="58"/>
      <c r="BN693" s="58"/>
      <c r="BO693" s="58"/>
      <c r="BP693" s="537" t="s">
        <v>58</v>
      </c>
      <c r="BQ693" s="751">
        <v>1220</v>
      </c>
      <c r="BR693" s="752">
        <v>1306</v>
      </c>
      <c r="BS693" s="751">
        <v>1570</v>
      </c>
      <c r="BT693" s="752">
        <v>1812</v>
      </c>
      <c r="BU693" s="752">
        <v>2022</v>
      </c>
      <c r="BV693" s="753">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36"/>
      <c r="H694" s="2036"/>
      <c r="I694" s="2036"/>
      <c r="J694" s="2036"/>
      <c r="K694" s="2036"/>
      <c r="L694" s="2036"/>
      <c r="M694" s="2036"/>
      <c r="N694" s="2036"/>
      <c r="O694" s="2036"/>
      <c r="P694" s="2036"/>
      <c r="Q694" s="2036"/>
      <c r="R694" s="2036"/>
      <c r="T694" s="35"/>
      <c r="U694" s="12" t="s">
        <v>90</v>
      </c>
      <c r="Z694" s="2036"/>
      <c r="AA694" s="2036"/>
      <c r="AB694" s="2036"/>
      <c r="AC694" s="2036"/>
      <c r="AD694" s="2036"/>
      <c r="AE694" s="2036"/>
      <c r="AF694" s="2036"/>
      <c r="AG694" s="2036"/>
      <c r="AH694" s="2036"/>
      <c r="AI694" s="2036"/>
      <c r="AJ694" s="2036"/>
      <c r="AK694" s="2036"/>
      <c r="AZ694" s="58"/>
      <c r="BA694" s="441" t="str">
        <f t="shared" si="42"/>
        <v>N/A</v>
      </c>
      <c r="BB694" s="58"/>
      <c r="BF694" s="377"/>
      <c r="BG694" s="452">
        <f t="shared" si="43"/>
        <v>0</v>
      </c>
      <c r="BH694" s="455">
        <f t="shared" si="45"/>
        <v>0</v>
      </c>
      <c r="BI694" s="456" t="str">
        <f t="shared" si="44"/>
        <v xml:space="preserve"> </v>
      </c>
      <c r="BL694" s="58"/>
      <c r="BM694" s="58"/>
      <c r="BN694" s="58"/>
      <c r="BO694" s="58"/>
      <c r="BP694" s="537" t="s">
        <v>59</v>
      </c>
      <c r="BQ694" s="751">
        <v>1220</v>
      </c>
      <c r="BR694" s="752">
        <v>1306</v>
      </c>
      <c r="BS694" s="751">
        <v>1570</v>
      </c>
      <c r="BT694" s="752">
        <v>1812</v>
      </c>
      <c r="BU694" s="752">
        <v>2022</v>
      </c>
      <c r="BV694" s="753">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2036"/>
      <c r="H695" s="2036"/>
      <c r="I695" s="2036"/>
      <c r="J695" s="2036"/>
      <c r="K695" s="2036"/>
      <c r="L695" s="2036"/>
      <c r="M695" s="2036"/>
      <c r="N695" s="2036"/>
      <c r="O695" s="2036"/>
      <c r="P695" s="2036"/>
      <c r="Q695" s="2036"/>
      <c r="R695" s="2036"/>
      <c r="U695" s="12" t="s">
        <v>615</v>
      </c>
      <c r="Z695" s="2038"/>
      <c r="AA695" s="2038"/>
      <c r="AB695" s="2038"/>
      <c r="AC695" s="2038"/>
      <c r="AD695" s="2038"/>
      <c r="AE695" s="2038"/>
      <c r="AF695" s="2038"/>
      <c r="AG695" s="2038"/>
      <c r="AH695" s="2038"/>
      <c r="AI695" s="2038"/>
      <c r="AJ695" s="2038"/>
      <c r="AK695" s="2038"/>
      <c r="AZ695" s="58"/>
      <c r="BA695" s="58"/>
      <c r="BB695" s="58"/>
      <c r="BC695" s="58"/>
      <c r="BF695" s="377"/>
      <c r="BG695" s="452">
        <f t="shared" si="43"/>
        <v>0</v>
      </c>
      <c r="BH695" s="455">
        <f t="shared" si="45"/>
        <v>0</v>
      </c>
      <c r="BI695" s="456" t="str">
        <f t="shared" si="44"/>
        <v xml:space="preserve"> </v>
      </c>
      <c r="BM695" s="58"/>
      <c r="BN695" s="58"/>
      <c r="BO695" s="58"/>
      <c r="BP695" s="537" t="s">
        <v>63</v>
      </c>
      <c r="BQ695" s="751">
        <v>1382</v>
      </c>
      <c r="BR695" s="752">
        <v>1480</v>
      </c>
      <c r="BS695" s="751">
        <v>1776</v>
      </c>
      <c r="BT695" s="752">
        <v>2052</v>
      </c>
      <c r="BU695" s="752">
        <v>2290</v>
      </c>
      <c r="BV695" s="753">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36"/>
      <c r="H696" s="2036"/>
      <c r="I696" s="2036"/>
      <c r="J696" s="2036"/>
      <c r="K696" s="2036"/>
      <c r="L696" s="2036"/>
      <c r="M696" s="2036"/>
      <c r="N696" s="2036"/>
      <c r="O696" s="2036"/>
      <c r="P696" s="2036"/>
      <c r="Q696" s="2036"/>
      <c r="R696" s="2036"/>
      <c r="U696" s="12" t="s">
        <v>17</v>
      </c>
      <c r="Z696" s="2038"/>
      <c r="AA696" s="2038"/>
      <c r="AB696" s="2038"/>
      <c r="AC696" s="2038"/>
      <c r="AD696" s="2038"/>
      <c r="AE696" s="2038"/>
      <c r="AF696" s="2038"/>
      <c r="AG696" s="2038"/>
      <c r="AH696" s="2038"/>
      <c r="AI696" s="2038"/>
      <c r="AJ696" s="2038"/>
      <c r="AK696" s="2038"/>
      <c r="AZ696" s="58"/>
      <c r="BA696" s="58"/>
      <c r="BB696" s="58"/>
      <c r="BC696" s="58"/>
      <c r="BD696" s="58"/>
      <c r="BF696" s="448" t="s">
        <v>966</v>
      </c>
      <c r="BG696" s="457">
        <f>SUM(BG671:BG695)</f>
        <v>198</v>
      </c>
      <c r="BH696" s="458">
        <f>SUM(BH671:BH695)</f>
        <v>1</v>
      </c>
      <c r="BI696" s="458">
        <f>SUM(BI671:BI695)</f>
        <v>0.5479797979797979</v>
      </c>
      <c r="BN696" s="58"/>
      <c r="BO696" s="58"/>
      <c r="BP696" s="537" t="s">
        <v>64</v>
      </c>
      <c r="BQ696" s="751">
        <v>1780</v>
      </c>
      <c r="BR696" s="752">
        <v>1906</v>
      </c>
      <c r="BS696" s="751">
        <v>2290</v>
      </c>
      <c r="BT696" s="752">
        <v>2644</v>
      </c>
      <c r="BU696" s="752">
        <v>2950</v>
      </c>
      <c r="BV696" s="753">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60"/>
      <c r="H697" s="2060"/>
      <c r="I697" s="2060"/>
      <c r="J697" s="2060"/>
      <c r="K697" s="2060"/>
      <c r="L697" s="2060"/>
      <c r="O697" s="137" t="s">
        <v>212</v>
      </c>
      <c r="P697" s="2026"/>
      <c r="Q697" s="2026"/>
      <c r="R697" s="2026"/>
      <c r="U697" s="12" t="s">
        <v>325</v>
      </c>
      <c r="Z697" s="2060"/>
      <c r="AA697" s="2060"/>
      <c r="AB697" s="2060"/>
      <c r="AC697" s="2060"/>
      <c r="AD697" s="2060"/>
      <c r="AE697" s="2060"/>
      <c r="AH697" s="137" t="s">
        <v>212</v>
      </c>
      <c r="AI697" s="2026"/>
      <c r="AJ697" s="2026"/>
      <c r="AK697" s="2026"/>
      <c r="AZ697" s="58"/>
      <c r="BA697" s="58"/>
      <c r="BB697" s="58"/>
      <c r="BC697" s="58"/>
      <c r="BD697" s="58"/>
      <c r="BE697" s="58"/>
      <c r="BF697" s="58"/>
      <c r="BG697" s="58"/>
      <c r="BH697" s="58"/>
      <c r="BI697" s="58"/>
      <c r="BJ697" s="58"/>
      <c r="BK697" s="58"/>
      <c r="BL697" s="58"/>
      <c r="BM697" s="58"/>
      <c r="BN697" s="58"/>
      <c r="BO697" s="58"/>
      <c r="BP697" s="537" t="s">
        <v>65</v>
      </c>
      <c r="BQ697" s="751">
        <v>1990</v>
      </c>
      <c r="BR697" s="752">
        <v>2132</v>
      </c>
      <c r="BS697" s="751">
        <v>2560</v>
      </c>
      <c r="BT697" s="752">
        <v>2956</v>
      </c>
      <c r="BU697" s="752">
        <v>3296</v>
      </c>
      <c r="BV697" s="753">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36"/>
      <c r="I698" s="2036"/>
      <c r="J698" s="2036"/>
      <c r="K698" s="2036"/>
      <c r="L698" s="2036"/>
      <c r="M698" s="2036"/>
      <c r="N698" s="2036"/>
      <c r="O698" s="2036"/>
      <c r="P698" s="2036"/>
      <c r="Q698" s="2036"/>
      <c r="R698" s="2036"/>
      <c r="U698" s="12" t="s">
        <v>18</v>
      </c>
      <c r="AA698" s="2036"/>
      <c r="AB698" s="2036"/>
      <c r="AC698" s="2036"/>
      <c r="AD698" s="2036"/>
      <c r="AE698" s="2036"/>
      <c r="AF698" s="2036"/>
      <c r="AG698" s="2036"/>
      <c r="AH698" s="2036"/>
      <c r="AI698" s="2036"/>
      <c r="AJ698" s="2036"/>
      <c r="AK698" s="2036"/>
      <c r="AZ698" s="58"/>
      <c r="BA698" s="58"/>
      <c r="BB698" s="58"/>
      <c r="BC698" s="58"/>
      <c r="BD698" s="58"/>
      <c r="BE698" s="58"/>
      <c r="BF698" s="58"/>
      <c r="BG698" s="58"/>
      <c r="BH698" s="58"/>
      <c r="BI698" s="58"/>
      <c r="BJ698" s="58"/>
      <c r="BK698" s="58"/>
      <c r="BL698" s="58"/>
      <c r="BM698" s="58"/>
      <c r="BN698" s="58"/>
      <c r="BO698" s="58"/>
      <c r="BP698" s="537" t="s">
        <v>66</v>
      </c>
      <c r="BQ698" s="751">
        <v>1572</v>
      </c>
      <c r="BR698" s="752">
        <v>1684</v>
      </c>
      <c r="BS698" s="751">
        <v>2022</v>
      </c>
      <c r="BT698" s="752">
        <v>2334</v>
      </c>
      <c r="BU698" s="752">
        <v>2604</v>
      </c>
      <c r="BV698" s="753">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35" t="s">
        <v>706</v>
      </c>
      <c r="O699" s="2035"/>
      <c r="U699" s="12" t="s">
        <v>20</v>
      </c>
      <c r="AG699" s="2035" t="s">
        <v>706</v>
      </c>
      <c r="AH699" s="2035"/>
      <c r="AZ699" s="61"/>
      <c r="BA699" s="61"/>
      <c r="BB699" s="61"/>
      <c r="BC699" s="61"/>
      <c r="BD699" s="61"/>
      <c r="BE699" s="61"/>
      <c r="BF699" s="61"/>
      <c r="BG699" s="61"/>
      <c r="BH699" s="61"/>
      <c r="BI699" s="61"/>
      <c r="BJ699" s="61"/>
      <c r="BK699" s="61"/>
      <c r="BL699" s="61"/>
      <c r="BM699" s="61"/>
      <c r="BN699" s="61"/>
      <c r="BO699" s="61"/>
      <c r="BP699" s="537" t="s">
        <v>67</v>
      </c>
      <c r="BQ699" s="751">
        <v>2354</v>
      </c>
      <c r="BR699" s="752">
        <v>2522</v>
      </c>
      <c r="BS699" s="751">
        <v>3026</v>
      </c>
      <c r="BT699" s="752">
        <v>3496</v>
      </c>
      <c r="BU699" s="752">
        <v>3902</v>
      </c>
      <c r="BV699" s="753">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37" t="s">
        <v>68</v>
      </c>
      <c r="BQ700" s="751">
        <v>1586</v>
      </c>
      <c r="BR700" s="752">
        <v>1700</v>
      </c>
      <c r="BS700" s="751">
        <v>2040</v>
      </c>
      <c r="BT700" s="752">
        <v>2356</v>
      </c>
      <c r="BU700" s="752">
        <v>2626</v>
      </c>
      <c r="BV700" s="753">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6"/>
      <c r="AN701" s="676"/>
      <c r="AO701" s="676"/>
      <c r="AP701" s="676"/>
      <c r="AQ701" s="676"/>
      <c r="AR701" s="676"/>
      <c r="AS701" s="676"/>
      <c r="AT701" s="676"/>
      <c r="AU701" s="676"/>
      <c r="AV701" s="676"/>
      <c r="AW701" s="676"/>
      <c r="AX701" s="676"/>
      <c r="AY701" s="676"/>
      <c r="AZ701" s="61"/>
      <c r="BA701" s="61"/>
      <c r="BB701" s="61"/>
      <c r="BC701" s="61"/>
      <c r="BD701" s="61"/>
      <c r="BE701" s="61"/>
      <c r="BF701" s="61"/>
      <c r="BG701" s="333" t="s">
        <v>1933</v>
      </c>
      <c r="BH701" s="377"/>
      <c r="BI701" s="377"/>
      <c r="BJ701" s="58"/>
      <c r="BK701" s="61"/>
      <c r="BL701" s="61"/>
      <c r="BM701" s="61"/>
      <c r="BN701" s="61"/>
      <c r="BO701" s="61"/>
      <c r="BP701" s="537" t="s">
        <v>69</v>
      </c>
      <c r="BQ701" s="751">
        <v>1280</v>
      </c>
      <c r="BR701" s="752">
        <v>1370</v>
      </c>
      <c r="BS701" s="751">
        <v>1644</v>
      </c>
      <c r="BT701" s="752">
        <v>1900</v>
      </c>
      <c r="BU701" s="752">
        <v>2120</v>
      </c>
      <c r="BV701" s="753">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49" t="s">
        <v>963</v>
      </c>
      <c r="BH702" s="454" t="s">
        <v>964</v>
      </c>
      <c r="BI702" s="453" t="s">
        <v>965</v>
      </c>
      <c r="BJ702" s="58"/>
      <c r="BK702" s="61"/>
      <c r="BL702" s="61"/>
      <c r="BM702" s="61"/>
      <c r="BN702" s="61"/>
      <c r="BO702" s="61"/>
      <c r="BP702" s="537" t="s">
        <v>70</v>
      </c>
      <c r="BQ702" s="751">
        <v>1382</v>
      </c>
      <c r="BR702" s="752">
        <v>1480</v>
      </c>
      <c r="BS702" s="751">
        <v>1776</v>
      </c>
      <c r="BT702" s="752">
        <v>2054</v>
      </c>
      <c r="BU702" s="752">
        <v>2292</v>
      </c>
      <c r="BV702" s="753">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5" t="s">
        <v>578</v>
      </c>
      <c r="AF703" s="203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1">
        <f t="shared" ref="BG703:BG727" si="46">G728</f>
        <v>9</v>
      </c>
      <c r="BH703" s="455">
        <f>BG703/$BG$728</f>
        <v>4.5454545454545456E-2</v>
      </c>
      <c r="BI703" s="456">
        <f t="shared" ref="BI703:BI727" si="47">IF(BH703=0," ",BH703*AM728)</f>
        <v>1.3636363636363636E-2</v>
      </c>
      <c r="BJ703" s="58"/>
      <c r="BK703" s="61"/>
      <c r="BL703" s="61"/>
      <c r="BM703" s="61"/>
      <c r="BN703" s="61"/>
      <c r="BO703" s="61"/>
      <c r="BP703" s="537" t="s">
        <v>71</v>
      </c>
      <c r="BQ703" s="751">
        <v>1586</v>
      </c>
      <c r="BR703" s="752">
        <v>1700</v>
      </c>
      <c r="BS703" s="751">
        <v>2040</v>
      </c>
      <c r="BT703" s="752">
        <v>2356</v>
      </c>
      <c r="BU703" s="752">
        <v>2626</v>
      </c>
      <c r="BV703" s="753">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5" t="s">
        <v>706</v>
      </c>
      <c r="AF704" s="203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2">
        <f t="shared" si="46"/>
        <v>9</v>
      </c>
      <c r="BH704" s="455">
        <f t="shared" ref="BH704:BH727" si="48">BG704/$BG$728</f>
        <v>4.5454545454545456E-2</v>
      </c>
      <c r="BI704" s="456">
        <f t="shared" si="47"/>
        <v>1.3636363636363636E-2</v>
      </c>
      <c r="BJ704" s="58"/>
      <c r="BK704" s="61"/>
      <c r="BL704" s="61"/>
      <c r="BM704" s="61"/>
      <c r="BN704" s="61"/>
      <c r="BO704" s="61"/>
      <c r="BP704" s="537" t="s">
        <v>768</v>
      </c>
      <c r="BQ704" s="751">
        <v>1710</v>
      </c>
      <c r="BR704" s="752">
        <v>1830</v>
      </c>
      <c r="BS704" s="751">
        <v>2196</v>
      </c>
      <c r="BT704" s="752">
        <v>2538</v>
      </c>
      <c r="BU704" s="752">
        <v>2832</v>
      </c>
      <c r="BV704" s="753">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2">
        <v>44341</v>
      </c>
      <c r="AF705" s="2212"/>
      <c r="AG705" s="2212"/>
      <c r="AH705" s="2212"/>
      <c r="AI705" s="221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2">
        <f t="shared" si="46"/>
        <v>9</v>
      </c>
      <c r="BH705" s="455">
        <f t="shared" si="48"/>
        <v>4.5454545454545456E-2</v>
      </c>
      <c r="BI705" s="456">
        <f t="shared" si="47"/>
        <v>1.3620929155733911E-2</v>
      </c>
      <c r="BJ705" s="58"/>
      <c r="BK705" s="58"/>
      <c r="BL705" s="58"/>
      <c r="BM705" s="58"/>
      <c r="BN705" s="61"/>
      <c r="BO705" s="61"/>
      <c r="BP705" s="537" t="s">
        <v>769</v>
      </c>
      <c r="BQ705" s="751">
        <v>1382</v>
      </c>
      <c r="BR705" s="752">
        <v>1480</v>
      </c>
      <c r="BS705" s="751">
        <v>1776</v>
      </c>
      <c r="BT705" s="752">
        <v>2054</v>
      </c>
      <c r="BU705" s="752">
        <v>2292</v>
      </c>
      <c r="BV705" s="753">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4"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4">
        <v>44419</v>
      </c>
      <c r="AF706" s="2394"/>
      <c r="AG706" s="2394"/>
      <c r="AH706" s="2394"/>
      <c r="AI706" s="239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2">
        <f t="shared" si="46"/>
        <v>0</v>
      </c>
      <c r="BH706" s="455">
        <f t="shared" si="48"/>
        <v>0</v>
      </c>
      <c r="BI706" s="456" t="str">
        <f t="shared" si="47"/>
        <v xml:space="preserve"> </v>
      </c>
      <c r="BJ706" s="58"/>
      <c r="BK706" s="58"/>
      <c r="BL706" s="58"/>
      <c r="BM706" s="58"/>
      <c r="BN706" s="61"/>
      <c r="BO706" s="61"/>
      <c r="BP706" s="537" t="s">
        <v>770</v>
      </c>
      <c r="BQ706" s="751">
        <v>2122</v>
      </c>
      <c r="BR706" s="752">
        <v>2272</v>
      </c>
      <c r="BS706" s="751">
        <v>2726</v>
      </c>
      <c r="BT706" s="752">
        <v>3150</v>
      </c>
      <c r="BU706" s="752">
        <v>3514</v>
      </c>
      <c r="BV706" s="753">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2">
        <f t="shared" si="46"/>
        <v>10</v>
      </c>
      <c r="BH707" s="455">
        <f t="shared" si="48"/>
        <v>5.0505050505050504E-2</v>
      </c>
      <c r="BI707" s="456">
        <f t="shared" si="47"/>
        <v>2.5252525252525252E-2</v>
      </c>
      <c r="BJ707" s="58"/>
      <c r="BK707" s="58"/>
      <c r="BL707" s="58"/>
      <c r="BM707" s="58"/>
      <c r="BN707" s="61"/>
      <c r="BO707" s="61"/>
      <c r="BP707" s="537" t="s">
        <v>771</v>
      </c>
      <c r="BQ707" s="751">
        <v>3196</v>
      </c>
      <c r="BR707" s="752">
        <v>3426</v>
      </c>
      <c r="BS707" s="751">
        <v>4112</v>
      </c>
      <c r="BT707" s="752">
        <v>4750</v>
      </c>
      <c r="BU707" s="752">
        <v>5300</v>
      </c>
      <c r="BV707" s="753">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2">
        <v>44593</v>
      </c>
      <c r="AF708" s="2212"/>
      <c r="AG708" s="2212"/>
      <c r="AH708" s="2212"/>
      <c r="AI708" s="221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2">
        <f t="shared" si="46"/>
        <v>44</v>
      </c>
      <c r="BH708" s="455">
        <f t="shared" si="48"/>
        <v>0.22222222222222221</v>
      </c>
      <c r="BI708" s="456">
        <f t="shared" si="47"/>
        <v>0.1111111111111111</v>
      </c>
      <c r="BJ708" s="58"/>
      <c r="BK708" s="58"/>
      <c r="BL708" s="58"/>
      <c r="BM708" s="58"/>
      <c r="BN708" s="58"/>
      <c r="BO708" s="58"/>
      <c r="BP708" s="537" t="s">
        <v>772</v>
      </c>
      <c r="BQ708" s="751">
        <v>1294</v>
      </c>
      <c r="BR708" s="752">
        <v>1386</v>
      </c>
      <c r="BS708" s="751">
        <v>1664</v>
      </c>
      <c r="BT708" s="752">
        <v>1924</v>
      </c>
      <c r="BU708" s="752">
        <v>2146</v>
      </c>
      <c r="BV708" s="753">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4">
        <v>0.55000000000000004</v>
      </c>
      <c r="AF709" s="2354"/>
      <c r="AG709" s="2354"/>
      <c r="AH709" s="2354"/>
      <c r="AI709" s="235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2">
        <f t="shared" si="46"/>
        <v>17</v>
      </c>
      <c r="BH709" s="455">
        <f t="shared" si="48"/>
        <v>8.5858585858585856E-2</v>
      </c>
      <c r="BI709" s="456">
        <f t="shared" si="47"/>
        <v>4.2929292929292928E-2</v>
      </c>
      <c r="BJ709" s="58"/>
      <c r="BK709" s="58"/>
      <c r="BL709" s="58"/>
      <c r="BM709" s="58"/>
      <c r="BN709" s="58"/>
      <c r="BO709" s="58"/>
      <c r="BP709" s="537" t="s">
        <v>72</v>
      </c>
      <c r="BQ709" s="751">
        <v>1712</v>
      </c>
      <c r="BR709" s="752">
        <v>1834</v>
      </c>
      <c r="BS709" s="751">
        <v>2202</v>
      </c>
      <c r="BT709" s="752">
        <v>2542</v>
      </c>
      <c r="BU709" s="752">
        <v>2836</v>
      </c>
      <c r="BV709" s="753">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37" t="str">
        <f>H334</f>
        <v>California Municipal Finance Authority</v>
      </c>
      <c r="X710" s="2037"/>
      <c r="Y710" s="2037"/>
      <c r="Z710" s="2037"/>
      <c r="AA710" s="2037"/>
      <c r="AB710" s="2037"/>
      <c r="AC710" s="2037"/>
      <c r="AD710" s="2037"/>
      <c r="AE710" s="2037"/>
      <c r="AF710" s="2037"/>
      <c r="AG710" s="2037"/>
      <c r="AH710" s="2037"/>
      <c r="AI710" s="2037"/>
      <c r="AJ710" s="2037"/>
      <c r="AK710" s="203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2">
        <f t="shared" si="46"/>
        <v>0</v>
      </c>
      <c r="BH710" s="455">
        <f t="shared" si="48"/>
        <v>0</v>
      </c>
      <c r="BI710" s="456" t="str">
        <f t="shared" si="47"/>
        <v xml:space="preserve"> </v>
      </c>
      <c r="BJ710" s="58"/>
      <c r="BK710" s="58"/>
      <c r="BL710" s="58"/>
      <c r="BM710" s="58"/>
      <c r="BN710" s="58"/>
      <c r="BO710" s="58"/>
      <c r="BP710" s="537" t="s">
        <v>73</v>
      </c>
      <c r="BQ710" s="751">
        <v>3196</v>
      </c>
      <c r="BR710" s="752">
        <v>3426</v>
      </c>
      <c r="BS710" s="751">
        <v>4112</v>
      </c>
      <c r="BT710" s="752">
        <v>4750</v>
      </c>
      <c r="BU710" s="752">
        <v>5300</v>
      </c>
      <c r="BV710" s="753">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2">
        <f t="shared" si="46"/>
        <v>15</v>
      </c>
      <c r="BH711" s="455">
        <f t="shared" si="48"/>
        <v>7.575757575757576E-2</v>
      </c>
      <c r="BI711" s="456">
        <f t="shared" si="47"/>
        <v>4.5454545454545456E-2</v>
      </c>
      <c r="BJ711" s="58"/>
      <c r="BK711" s="58"/>
      <c r="BL711" s="58"/>
      <c r="BM711" s="58"/>
      <c r="BN711" s="58"/>
      <c r="BO711" s="58"/>
      <c r="BP711" s="537" t="s">
        <v>197</v>
      </c>
      <c r="BQ711" s="751">
        <v>2186</v>
      </c>
      <c r="BR711" s="752">
        <v>2342</v>
      </c>
      <c r="BS711" s="751">
        <v>2812</v>
      </c>
      <c r="BT711" s="752">
        <v>3246</v>
      </c>
      <c r="BU711" s="752">
        <v>3622</v>
      </c>
      <c r="BV711" s="753">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5" t="s">
        <v>706</v>
      </c>
      <c r="AF712" s="203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2">
        <f t="shared" si="46"/>
        <v>22</v>
      </c>
      <c r="BH712" s="455">
        <f t="shared" si="48"/>
        <v>0.1111111111111111</v>
      </c>
      <c r="BI712" s="456">
        <f t="shared" si="47"/>
        <v>6.6666666666666666E-2</v>
      </c>
      <c r="BJ712" s="58"/>
      <c r="BK712" s="58"/>
      <c r="BL712" s="58"/>
      <c r="BM712" s="58"/>
      <c r="BN712" s="58"/>
      <c r="BO712" s="58"/>
      <c r="BP712" s="537" t="s">
        <v>198</v>
      </c>
      <c r="BQ712" s="751">
        <v>2900</v>
      </c>
      <c r="BR712" s="752">
        <v>3106</v>
      </c>
      <c r="BS712" s="751">
        <v>3730</v>
      </c>
      <c r="BT712" s="752">
        <v>4308</v>
      </c>
      <c r="BU712" s="752">
        <v>4806</v>
      </c>
      <c r="BV712" s="753">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6"/>
      <c r="X713" s="2036"/>
      <c r="Y713" s="2036"/>
      <c r="Z713" s="2036"/>
      <c r="AA713" s="2036"/>
      <c r="AB713" s="2036"/>
      <c r="AC713" s="2036"/>
      <c r="AD713" s="2036"/>
      <c r="AE713" s="2036"/>
      <c r="AF713" s="2036"/>
      <c r="AG713" s="2036"/>
      <c r="AH713" s="2036"/>
      <c r="AI713" s="2036"/>
      <c r="AJ713" s="2036"/>
      <c r="AK713" s="203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2">
        <f t="shared" si="46"/>
        <v>14</v>
      </c>
      <c r="BH713" s="455">
        <f t="shared" si="48"/>
        <v>7.0707070707070704E-2</v>
      </c>
      <c r="BI713" s="456">
        <f t="shared" si="47"/>
        <v>4.2406235530174405E-2</v>
      </c>
      <c r="BJ713" s="58"/>
      <c r="BK713" s="58"/>
      <c r="BL713" s="58"/>
      <c r="BM713" s="58"/>
      <c r="BN713" s="58"/>
      <c r="BO713" s="58"/>
      <c r="BP713" s="537" t="s">
        <v>199</v>
      </c>
      <c r="BQ713" s="751">
        <v>2432</v>
      </c>
      <c r="BR713" s="752">
        <v>2606</v>
      </c>
      <c r="BS713" s="751">
        <v>3126</v>
      </c>
      <c r="BT713" s="752">
        <v>3614</v>
      </c>
      <c r="BU713" s="752">
        <v>4032</v>
      </c>
      <c r="BV713" s="753">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36"/>
      <c r="K714" s="2036"/>
      <c r="L714" s="2036"/>
      <c r="M714" s="2036"/>
      <c r="N714" s="2036"/>
      <c r="O714" s="2036"/>
      <c r="P714" s="2036"/>
      <c r="Q714" s="2036"/>
      <c r="R714" s="2036"/>
      <c r="S714" s="2036"/>
      <c r="T714" s="2036"/>
      <c r="U714" s="2036"/>
      <c r="V714" s="2036"/>
      <c r="W714" s="2036"/>
      <c r="X714" s="203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2">
        <f t="shared" si="46"/>
        <v>0</v>
      </c>
      <c r="BH714" s="455">
        <f t="shared" si="48"/>
        <v>0</v>
      </c>
      <c r="BI714" s="456" t="str">
        <f t="shared" si="47"/>
        <v xml:space="preserve"> </v>
      </c>
      <c r="BJ714" s="58"/>
      <c r="BK714" s="58"/>
      <c r="BL714" s="58"/>
      <c r="BM714" s="58"/>
      <c r="BN714" s="58"/>
      <c r="BO714" s="58"/>
      <c r="BP714" s="537" t="s">
        <v>200</v>
      </c>
      <c r="BQ714" s="751">
        <v>1242</v>
      </c>
      <c r="BR714" s="752">
        <v>1330</v>
      </c>
      <c r="BS714" s="751">
        <v>1596</v>
      </c>
      <c r="BT714" s="752">
        <v>1846</v>
      </c>
      <c r="BU714" s="752">
        <v>2060</v>
      </c>
      <c r="BV714" s="753">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60"/>
      <c r="K715" s="2060"/>
      <c r="L715" s="2060"/>
      <c r="M715" s="2060"/>
      <c r="N715" s="2060"/>
      <c r="O715" s="2060"/>
      <c r="P715" s="7" t="s">
        <v>212</v>
      </c>
      <c r="Q715" s="7"/>
      <c r="R715" s="2026"/>
      <c r="S715" s="2026"/>
      <c r="T715" s="202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2">
        <f t="shared" si="46"/>
        <v>13</v>
      </c>
      <c r="BH715" s="455">
        <f t="shared" si="48"/>
        <v>6.5656565656565663E-2</v>
      </c>
      <c r="BI715" s="456">
        <f t="shared" si="47"/>
        <v>4.5959595959595964E-2</v>
      </c>
      <c r="BJ715" s="58"/>
      <c r="BK715" s="58"/>
      <c r="BL715" s="58"/>
      <c r="BM715" s="58"/>
      <c r="BN715" s="58"/>
      <c r="BO715" s="58"/>
      <c r="BP715" s="537" t="s">
        <v>201</v>
      </c>
      <c r="BQ715" s="751">
        <v>1480</v>
      </c>
      <c r="BR715" s="752">
        <v>1584</v>
      </c>
      <c r="BS715" s="751">
        <v>1902</v>
      </c>
      <c r="BT715" s="752">
        <v>2196</v>
      </c>
      <c r="BU715" s="752">
        <v>2452</v>
      </c>
      <c r="BV715" s="753">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2036" t="s">
        <v>316</v>
      </c>
      <c r="X716" s="2036"/>
      <c r="Y716" s="2036"/>
      <c r="Z716" s="2036"/>
      <c r="AA716" s="2036"/>
      <c r="AB716" s="2036"/>
      <c r="AC716" s="2036"/>
      <c r="AD716" s="2036"/>
      <c r="AE716" s="2036"/>
      <c r="AF716" s="2036"/>
      <c r="AG716" s="2036"/>
      <c r="AH716" s="2036"/>
      <c r="AI716" s="2036"/>
      <c r="AJ716" s="2036"/>
      <c r="AK716" s="203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2">
        <f t="shared" si="46"/>
        <v>18</v>
      </c>
      <c r="BH716" s="455">
        <f t="shared" si="48"/>
        <v>9.0909090909090912E-2</v>
      </c>
      <c r="BI716" s="456">
        <f t="shared" si="47"/>
        <v>6.363636363636363E-2</v>
      </c>
      <c r="BJ716" s="58"/>
      <c r="BK716" s="58"/>
      <c r="BL716" s="58"/>
      <c r="BM716" s="58"/>
      <c r="BN716" s="58"/>
      <c r="BO716" s="58"/>
      <c r="BP716" s="537" t="s">
        <v>202</v>
      </c>
      <c r="BQ716" s="751">
        <v>1220</v>
      </c>
      <c r="BR716" s="752">
        <v>1306</v>
      </c>
      <c r="BS716" s="751">
        <v>1570</v>
      </c>
      <c r="BT716" s="752">
        <v>1812</v>
      </c>
      <c r="BU716" s="752">
        <v>2022</v>
      </c>
      <c r="BV716" s="753">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36" t="s">
        <v>343</v>
      </c>
      <c r="F717" s="2036"/>
      <c r="G717" s="2036"/>
      <c r="H717" s="2036"/>
      <c r="I717" s="2036"/>
      <c r="J717" s="2036"/>
      <c r="K717" s="2036"/>
      <c r="L717" s="2036"/>
      <c r="M717" s="2036"/>
      <c r="N717" s="2036"/>
      <c r="O717" s="2036"/>
      <c r="P717" s="2036"/>
      <c r="Q717" s="2036"/>
      <c r="R717" s="2036"/>
      <c r="S717" s="2036"/>
      <c r="T717" s="2036"/>
      <c r="U717" s="2036"/>
      <c r="V717" s="2036"/>
      <c r="W717" s="2036"/>
      <c r="X717" s="2036"/>
      <c r="Y717" s="2036"/>
      <c r="Z717" s="2036"/>
      <c r="AA717" s="2036"/>
      <c r="AB717" s="2036"/>
      <c r="AC717" s="2036"/>
      <c r="AD717" s="2036"/>
      <c r="AE717" s="2036"/>
      <c r="AF717" s="2036"/>
      <c r="AG717" s="2036"/>
      <c r="AH717" s="2036"/>
      <c r="AI717" s="2036"/>
      <c r="AJ717" s="2036"/>
      <c r="AK717" s="203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2">
        <f t="shared" si="46"/>
        <v>18</v>
      </c>
      <c r="BH717" s="455">
        <f t="shared" si="48"/>
        <v>9.0909090909090912E-2</v>
      </c>
      <c r="BI717" s="456">
        <f t="shared" si="47"/>
        <v>6.3628646396048774E-2</v>
      </c>
      <c r="BJ717" s="58"/>
      <c r="BK717" s="58"/>
      <c r="BL717" s="58"/>
      <c r="BM717" s="58"/>
      <c r="BN717" s="58"/>
      <c r="BO717" s="58"/>
      <c r="BP717" s="537" t="s">
        <v>203</v>
      </c>
      <c r="BQ717" s="751">
        <v>1700</v>
      </c>
      <c r="BR717" s="752">
        <v>1820</v>
      </c>
      <c r="BS717" s="751">
        <v>2184</v>
      </c>
      <c r="BT717" s="752">
        <v>2524</v>
      </c>
      <c r="BU717" s="752">
        <v>2816</v>
      </c>
      <c r="BV717" s="753">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2">
        <f t="shared" si="46"/>
        <v>0</v>
      </c>
      <c r="BH718" s="455">
        <f t="shared" si="48"/>
        <v>0</v>
      </c>
      <c r="BI718" s="456" t="str">
        <f t="shared" si="47"/>
        <v xml:space="preserve"> </v>
      </c>
      <c r="BJ718" s="58"/>
      <c r="BK718" s="58"/>
      <c r="BL718" s="58"/>
      <c r="BM718" s="58"/>
      <c r="BN718" s="58"/>
      <c r="BO718" s="58"/>
      <c r="BP718" s="537" t="s">
        <v>179</v>
      </c>
      <c r="BQ718" s="751">
        <v>2036</v>
      </c>
      <c r="BR718" s="752">
        <v>2182</v>
      </c>
      <c r="BS718" s="751">
        <v>2616</v>
      </c>
      <c r="BT718" s="752">
        <v>3024</v>
      </c>
      <c r="BU718" s="752">
        <v>3374</v>
      </c>
      <c r="BV718" s="753">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8" t="s">
        <v>100</v>
      </c>
      <c r="B719" s="1868"/>
      <c r="C719" s="1868"/>
      <c r="D719" s="1868"/>
      <c r="E719" s="1868"/>
      <c r="F719" s="1868"/>
      <c r="G719" s="1868"/>
      <c r="H719" s="1868"/>
      <c r="I719" s="1868"/>
      <c r="J719" s="1868"/>
      <c r="K719" s="1868"/>
      <c r="L719" s="1868"/>
      <c r="M719" s="1868"/>
      <c r="N719" s="1868"/>
      <c r="O719" s="1868"/>
      <c r="P719" s="1868"/>
      <c r="Q719" s="1868"/>
      <c r="R719" s="1868"/>
      <c r="S719" s="1868"/>
      <c r="T719" s="1868"/>
      <c r="U719" s="1868"/>
      <c r="V719" s="1868"/>
      <c r="W719" s="1868"/>
      <c r="X719" s="1868"/>
      <c r="Y719" s="1868"/>
      <c r="Z719" s="1868"/>
      <c r="AA719" s="1868"/>
      <c r="AB719" s="1868"/>
      <c r="AC719" s="1868"/>
      <c r="AD719" s="1868"/>
      <c r="AE719" s="1868"/>
      <c r="AF719" s="1868"/>
      <c r="AG719" s="1868"/>
      <c r="AH719" s="1868"/>
      <c r="AI719" s="1868"/>
      <c r="AJ719" s="1868"/>
      <c r="AK719" s="1868"/>
      <c r="AL719" s="1868"/>
      <c r="AM719" s="1868"/>
      <c r="AN719" s="1868"/>
      <c r="AO719" s="1868"/>
      <c r="AP719" s="1566"/>
      <c r="AQ719" s="1566"/>
      <c r="AR719" s="1566"/>
      <c r="AS719" s="1566"/>
      <c r="AT719" s="1566"/>
      <c r="AU719" s="1566"/>
      <c r="AV719" s="1566"/>
      <c r="AW719" s="1566"/>
      <c r="AX719" s="1566"/>
      <c r="AY719" s="1566"/>
      <c r="AZ719" s="58"/>
      <c r="BA719" s="58"/>
      <c r="BB719" s="58"/>
      <c r="BC719" s="58"/>
      <c r="BD719" s="58"/>
      <c r="BE719" s="58"/>
      <c r="BF719" s="58"/>
      <c r="BG719" s="452">
        <f t="shared" si="46"/>
        <v>0</v>
      </c>
      <c r="BH719" s="455">
        <f t="shared" si="48"/>
        <v>0</v>
      </c>
      <c r="BI719" s="456" t="str">
        <f t="shared" si="47"/>
        <v xml:space="preserve"> </v>
      </c>
      <c r="BJ719" s="58"/>
      <c r="BK719" s="58"/>
      <c r="BL719" s="58"/>
      <c r="BM719" s="58"/>
      <c r="BN719" s="58"/>
      <c r="BO719" s="58"/>
      <c r="BP719" s="537" t="s">
        <v>204</v>
      </c>
      <c r="BQ719" s="751">
        <v>1250</v>
      </c>
      <c r="BR719" s="752">
        <v>1338</v>
      </c>
      <c r="BS719" s="751">
        <v>1604</v>
      </c>
      <c r="BT719" s="752">
        <v>1854</v>
      </c>
      <c r="BU719" s="752">
        <v>2070</v>
      </c>
      <c r="BV719" s="753">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68"/>
      <c r="B720" s="1868"/>
      <c r="C720" s="1868"/>
      <c r="D720" s="1868"/>
      <c r="E720" s="1868"/>
      <c r="F720" s="1868"/>
      <c r="G720" s="1868"/>
      <c r="H720" s="1868"/>
      <c r="I720" s="1868"/>
      <c r="J720" s="1868"/>
      <c r="K720" s="1868"/>
      <c r="L720" s="1868"/>
      <c r="M720" s="1868"/>
      <c r="N720" s="1868"/>
      <c r="O720" s="1868"/>
      <c r="P720" s="1868"/>
      <c r="Q720" s="1868"/>
      <c r="R720" s="1868"/>
      <c r="S720" s="1868"/>
      <c r="T720" s="1868"/>
      <c r="U720" s="1868"/>
      <c r="V720" s="1868"/>
      <c r="W720" s="1868"/>
      <c r="X720" s="1868"/>
      <c r="Y720" s="1868"/>
      <c r="Z720" s="1868"/>
      <c r="AA720" s="1868"/>
      <c r="AB720" s="1868"/>
      <c r="AC720" s="1868"/>
      <c r="AD720" s="1868"/>
      <c r="AE720" s="1868"/>
      <c r="AF720" s="1868"/>
      <c r="AG720" s="1868"/>
      <c r="AH720" s="1868"/>
      <c r="AI720" s="1868"/>
      <c r="AJ720" s="1868"/>
      <c r="AK720" s="1868"/>
      <c r="AL720" s="1868"/>
      <c r="AM720" s="1868"/>
      <c r="AN720" s="1868"/>
      <c r="AO720" s="1868"/>
      <c r="AP720" s="1566"/>
      <c r="AQ720" s="1566"/>
      <c r="AR720" s="1566"/>
      <c r="AS720" s="1566"/>
      <c r="AT720" s="1566"/>
      <c r="AU720" s="1566"/>
      <c r="AV720" s="1566"/>
      <c r="AW720" s="1566"/>
      <c r="AX720" s="1566"/>
      <c r="AY720" s="1566"/>
      <c r="AZ720" s="58"/>
      <c r="BA720" s="58"/>
      <c r="BB720" s="58"/>
      <c r="BC720" s="58"/>
      <c r="BD720" s="58"/>
      <c r="BE720" s="58"/>
      <c r="BF720" s="58"/>
      <c r="BG720" s="452">
        <f t="shared" si="46"/>
        <v>0</v>
      </c>
      <c r="BH720" s="455">
        <f t="shared" si="48"/>
        <v>0</v>
      </c>
      <c r="BI720" s="456" t="str">
        <f t="shared" si="47"/>
        <v xml:space="preserve"> </v>
      </c>
      <c r="BJ720" s="58"/>
      <c r="BK720" s="58"/>
      <c r="BL720" s="58"/>
      <c r="BM720" s="58"/>
      <c r="BN720" s="58"/>
      <c r="BO720" s="58"/>
      <c r="BP720" s="537" t="s">
        <v>205</v>
      </c>
      <c r="BQ720" s="751">
        <v>1220</v>
      </c>
      <c r="BR720" s="752">
        <v>1306</v>
      </c>
      <c r="BS720" s="751">
        <v>1570</v>
      </c>
      <c r="BT720" s="752">
        <v>1812</v>
      </c>
      <c r="BU720" s="752">
        <v>2022</v>
      </c>
      <c r="BV720" s="753">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68"/>
      <c r="B721" s="1868"/>
      <c r="C721" s="1868"/>
      <c r="D721" s="1868"/>
      <c r="E721" s="1868"/>
      <c r="F721" s="1868"/>
      <c r="G721" s="1868"/>
      <c r="H721" s="1868"/>
      <c r="I721" s="1868"/>
      <c r="J721" s="1868"/>
      <c r="K721" s="1868"/>
      <c r="L721" s="1868"/>
      <c r="M721" s="1868"/>
      <c r="N721" s="1868"/>
      <c r="O721" s="1868"/>
      <c r="P721" s="1868"/>
      <c r="Q721" s="1868"/>
      <c r="R721" s="1868"/>
      <c r="S721" s="1868"/>
      <c r="T721" s="1868"/>
      <c r="U721" s="1868"/>
      <c r="V721" s="1868"/>
      <c r="W721" s="1868"/>
      <c r="X721" s="1868"/>
      <c r="Y721" s="1868"/>
      <c r="Z721" s="1868"/>
      <c r="AA721" s="1868"/>
      <c r="AB721" s="1868"/>
      <c r="AC721" s="1868"/>
      <c r="AD721" s="1868"/>
      <c r="AE721" s="1868"/>
      <c r="AF721" s="1868"/>
      <c r="AG721" s="1868"/>
      <c r="AH721" s="1868"/>
      <c r="AI721" s="1868"/>
      <c r="AJ721" s="1868"/>
      <c r="AK721" s="1868"/>
      <c r="AL721" s="1868"/>
      <c r="AM721" s="1868"/>
      <c r="AN721" s="1868"/>
      <c r="AO721" s="1868"/>
      <c r="AZ721" s="58"/>
      <c r="BA721" s="58"/>
      <c r="BB721" s="58"/>
      <c r="BC721" s="58"/>
      <c r="BD721" s="58"/>
      <c r="BE721" s="58"/>
      <c r="BF721" s="58"/>
      <c r="BG721" s="452">
        <f t="shared" si="46"/>
        <v>0</v>
      </c>
      <c r="BH721" s="455">
        <f t="shared" si="48"/>
        <v>0</v>
      </c>
      <c r="BI721" s="456" t="str">
        <f t="shared" si="47"/>
        <v xml:space="preserve"> </v>
      </c>
      <c r="BJ721" s="58"/>
      <c r="BK721" s="58"/>
      <c r="BL721" s="58"/>
      <c r="BM721" s="58"/>
      <c r="BN721" s="58"/>
      <c r="BO721" s="58"/>
      <c r="BP721" s="537" t="s">
        <v>206</v>
      </c>
      <c r="BQ721" s="751">
        <v>1220</v>
      </c>
      <c r="BR721" s="752">
        <v>1306</v>
      </c>
      <c r="BS721" s="751">
        <v>1570</v>
      </c>
      <c r="BT721" s="752">
        <v>1812</v>
      </c>
      <c r="BU721" s="752">
        <v>2022</v>
      </c>
      <c r="BV721" s="753">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2">
        <f t="shared" si="46"/>
        <v>0</v>
      </c>
      <c r="BH722" s="455">
        <f t="shared" si="48"/>
        <v>0</v>
      </c>
      <c r="BI722" s="456" t="str">
        <f t="shared" si="47"/>
        <v xml:space="preserve"> </v>
      </c>
      <c r="BJ722" s="58"/>
      <c r="BK722" s="58"/>
      <c r="BL722" s="58"/>
      <c r="BM722" s="58"/>
      <c r="BN722" s="58"/>
      <c r="BO722" s="58"/>
      <c r="BP722" s="537" t="s">
        <v>207</v>
      </c>
      <c r="BQ722" s="751">
        <v>1220</v>
      </c>
      <c r="BR722" s="752">
        <v>1306</v>
      </c>
      <c r="BS722" s="751">
        <v>1570</v>
      </c>
      <c r="BT722" s="752">
        <v>1812</v>
      </c>
      <c r="BU722" s="752">
        <v>2022</v>
      </c>
      <c r="BV722" s="753">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09"/>
      <c r="C723" s="50"/>
      <c r="AZ723" s="58"/>
      <c r="BA723" s="58"/>
      <c r="BB723" s="58"/>
      <c r="BC723" s="58"/>
      <c r="BD723" s="58"/>
      <c r="BE723" s="58"/>
      <c r="BF723" s="58"/>
      <c r="BG723" s="452">
        <f t="shared" si="46"/>
        <v>0</v>
      </c>
      <c r="BH723" s="455">
        <f t="shared" si="48"/>
        <v>0</v>
      </c>
      <c r="BI723" s="456" t="str">
        <f t="shared" si="47"/>
        <v xml:space="preserve"> </v>
      </c>
      <c r="BJ723" s="714"/>
      <c r="BK723" s="58"/>
      <c r="BL723" s="58"/>
      <c r="BM723" s="58"/>
      <c r="BN723" s="58"/>
      <c r="BO723" s="58"/>
      <c r="BP723" s="537" t="s">
        <v>208</v>
      </c>
      <c r="BQ723" s="751">
        <v>1220</v>
      </c>
      <c r="BR723" s="752">
        <v>1306</v>
      </c>
      <c r="BS723" s="751">
        <v>1570</v>
      </c>
      <c r="BT723" s="752">
        <v>1812</v>
      </c>
      <c r="BU723" s="752">
        <v>2022</v>
      </c>
      <c r="BV723" s="753">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9" t="s">
        <v>407</v>
      </c>
      <c r="C724" s="2110"/>
      <c r="D724" s="2110"/>
      <c r="E724" s="2110"/>
      <c r="F724" s="2111"/>
      <c r="G724" s="2109" t="s">
        <v>291</v>
      </c>
      <c r="H724" s="2110"/>
      <c r="I724" s="2110"/>
      <c r="J724" s="2111"/>
      <c r="K724" s="2285" t="s">
        <v>2152</v>
      </c>
      <c r="L724" s="2286"/>
      <c r="M724" s="2286"/>
      <c r="N724" s="2287"/>
      <c r="O724" s="2109" t="s">
        <v>478</v>
      </c>
      <c r="P724" s="2110"/>
      <c r="Q724" s="2110"/>
      <c r="R724" s="2110"/>
      <c r="S724" s="2111"/>
      <c r="T724" s="2109" t="s">
        <v>292</v>
      </c>
      <c r="U724" s="2110"/>
      <c r="V724" s="2110"/>
      <c r="W724" s="2110"/>
      <c r="X724" s="2111"/>
      <c r="Y724" s="2109" t="s">
        <v>293</v>
      </c>
      <c r="Z724" s="2110"/>
      <c r="AA724" s="2110"/>
      <c r="AB724" s="2111"/>
      <c r="AC724" s="2109" t="s">
        <v>294</v>
      </c>
      <c r="AD724" s="2110"/>
      <c r="AE724" s="2110"/>
      <c r="AF724" s="2110"/>
      <c r="AG724" s="2111"/>
      <c r="AH724" s="2109" t="s">
        <v>408</v>
      </c>
      <c r="AI724" s="2110"/>
      <c r="AJ724" s="2110"/>
      <c r="AK724" s="2110"/>
      <c r="AL724" s="2111"/>
      <c r="AM724" s="2109" t="s">
        <v>682</v>
      </c>
      <c r="AN724" s="2110"/>
      <c r="AO724" s="2111"/>
      <c r="AP724" s="239"/>
      <c r="AQ724" s="239"/>
      <c r="AR724" s="239"/>
      <c r="AS724" s="239"/>
      <c r="AT724" s="239"/>
      <c r="AU724" s="239"/>
      <c r="AV724" s="239"/>
      <c r="AW724" s="239"/>
      <c r="AX724" s="239"/>
      <c r="AY724" s="239"/>
      <c r="AZ724" s="58"/>
      <c r="BA724" s="58"/>
      <c r="BB724" s="58"/>
      <c r="BC724" s="58"/>
      <c r="BD724" s="58"/>
      <c r="BE724" s="58"/>
      <c r="BF724" s="58"/>
      <c r="BG724" s="452">
        <f t="shared" si="46"/>
        <v>0</v>
      </c>
      <c r="BH724" s="455">
        <f t="shared" si="48"/>
        <v>0</v>
      </c>
      <c r="BI724" s="456" t="str">
        <f t="shared" si="47"/>
        <v xml:space="preserve"> </v>
      </c>
      <c r="BJ724" s="714"/>
      <c r="BK724" s="58"/>
      <c r="BL724" s="58"/>
      <c r="BM724" s="58"/>
      <c r="BN724" s="58"/>
      <c r="BO724" s="58"/>
      <c r="BP724" s="537" t="s">
        <v>135</v>
      </c>
      <c r="BQ724" s="751">
        <v>1302</v>
      </c>
      <c r="BR724" s="752">
        <v>1396</v>
      </c>
      <c r="BS724" s="751">
        <v>1674</v>
      </c>
      <c r="BT724" s="752">
        <v>1934</v>
      </c>
      <c r="BU724" s="752">
        <v>2160</v>
      </c>
      <c r="BV724" s="753">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12"/>
      <c r="C725" s="2113"/>
      <c r="D725" s="2113"/>
      <c r="E725" s="2113"/>
      <c r="F725" s="2114"/>
      <c r="G725" s="2112"/>
      <c r="H725" s="2113"/>
      <c r="I725" s="2113"/>
      <c r="J725" s="2114"/>
      <c r="K725" s="2288"/>
      <c r="L725" s="2289"/>
      <c r="M725" s="2289"/>
      <c r="N725" s="2290"/>
      <c r="O725" s="2112"/>
      <c r="P725" s="2113"/>
      <c r="Q725" s="2113"/>
      <c r="R725" s="2113"/>
      <c r="S725" s="2114"/>
      <c r="T725" s="2112"/>
      <c r="U725" s="2113"/>
      <c r="V725" s="2113"/>
      <c r="W725" s="2113"/>
      <c r="X725" s="2114"/>
      <c r="Y725" s="2112"/>
      <c r="Z725" s="2113"/>
      <c r="AA725" s="2113"/>
      <c r="AB725" s="2114"/>
      <c r="AC725" s="2112"/>
      <c r="AD725" s="2113"/>
      <c r="AE725" s="2113"/>
      <c r="AF725" s="2113"/>
      <c r="AG725" s="2114"/>
      <c r="AH725" s="2112"/>
      <c r="AI725" s="2113"/>
      <c r="AJ725" s="2113"/>
      <c r="AK725" s="2113"/>
      <c r="AL725" s="2114"/>
      <c r="AM725" s="2112"/>
      <c r="AN725" s="2113"/>
      <c r="AO725" s="2114"/>
      <c r="AP725" s="239"/>
      <c r="AQ725" s="239"/>
      <c r="AR725" s="239"/>
      <c r="AS725" s="239"/>
      <c r="AT725" s="239"/>
      <c r="AU725" s="239"/>
      <c r="AV725" s="239"/>
      <c r="AW725" s="239"/>
      <c r="AX725" s="239"/>
      <c r="AY725" s="239"/>
      <c r="AZ725" s="58"/>
      <c r="BA725" s="58"/>
      <c r="BB725" s="58"/>
      <c r="BC725" s="58"/>
      <c r="BD725" s="58"/>
      <c r="BE725" s="58"/>
      <c r="BF725" s="58"/>
      <c r="BG725" s="452">
        <f t="shared" si="46"/>
        <v>0</v>
      </c>
      <c r="BH725" s="455">
        <f t="shared" si="48"/>
        <v>0</v>
      </c>
      <c r="BI725" s="456" t="str">
        <f t="shared" si="47"/>
        <v xml:space="preserve"> </v>
      </c>
      <c r="BJ725" s="714"/>
      <c r="BK725" s="58"/>
      <c r="BL725" s="58"/>
      <c r="BM725" s="58"/>
      <c r="BN725" s="58"/>
      <c r="BO725" s="58"/>
      <c r="BP725" s="537" t="s">
        <v>209</v>
      </c>
      <c r="BQ725" s="754">
        <v>1962</v>
      </c>
      <c r="BR725" s="755">
        <v>2102</v>
      </c>
      <c r="BS725" s="754">
        <v>2522</v>
      </c>
      <c r="BT725" s="755">
        <v>2914</v>
      </c>
      <c r="BU725" s="755">
        <v>3252</v>
      </c>
      <c r="BV725" s="756">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12"/>
      <c r="C726" s="2113"/>
      <c r="D726" s="2113"/>
      <c r="E726" s="2113"/>
      <c r="F726" s="2114"/>
      <c r="G726" s="2112"/>
      <c r="H726" s="2113"/>
      <c r="I726" s="2113"/>
      <c r="J726" s="2114"/>
      <c r="K726" s="2288"/>
      <c r="L726" s="2289"/>
      <c r="M726" s="2289"/>
      <c r="N726" s="2290"/>
      <c r="O726" s="2112"/>
      <c r="P726" s="2113"/>
      <c r="Q726" s="2113"/>
      <c r="R726" s="2113"/>
      <c r="S726" s="2114"/>
      <c r="T726" s="2112"/>
      <c r="U726" s="2113"/>
      <c r="V726" s="2113"/>
      <c r="W726" s="2113"/>
      <c r="X726" s="2114"/>
      <c r="Y726" s="2112"/>
      <c r="Z726" s="2113"/>
      <c r="AA726" s="2113"/>
      <c r="AB726" s="2114"/>
      <c r="AC726" s="2112"/>
      <c r="AD726" s="2113"/>
      <c r="AE726" s="2113"/>
      <c r="AF726" s="2113"/>
      <c r="AG726" s="2114"/>
      <c r="AH726" s="2112"/>
      <c r="AI726" s="2113"/>
      <c r="AJ726" s="2113"/>
      <c r="AK726" s="2113"/>
      <c r="AL726" s="2114"/>
      <c r="AM726" s="2112"/>
      <c r="AN726" s="2113"/>
      <c r="AO726" s="2114"/>
      <c r="AP726" s="239"/>
      <c r="AQ726" s="239"/>
      <c r="AR726" s="239"/>
      <c r="AS726" s="239"/>
      <c r="AT726" s="239"/>
      <c r="AU726" s="239"/>
      <c r="AV726" s="239"/>
      <c r="AW726" s="239"/>
      <c r="AX726" s="239"/>
      <c r="AY726" s="239"/>
      <c r="AZ726" s="58"/>
      <c r="BA726" s="58"/>
      <c r="BB726" s="58"/>
      <c r="BC726" s="58"/>
      <c r="BD726" s="58"/>
      <c r="BE726" s="58"/>
      <c r="BF726" s="58"/>
      <c r="BG726" s="452">
        <f t="shared" si="46"/>
        <v>0</v>
      </c>
      <c r="BH726" s="455">
        <f t="shared" si="48"/>
        <v>0</v>
      </c>
      <c r="BI726" s="456" t="str">
        <f t="shared" si="47"/>
        <v xml:space="preserve"> </v>
      </c>
      <c r="BJ726" s="714"/>
      <c r="BK726" s="58"/>
      <c r="BL726" s="58"/>
      <c r="BM726" s="58"/>
      <c r="BN726" s="58"/>
      <c r="BO726" s="58"/>
      <c r="BP726" s="537" t="s">
        <v>210</v>
      </c>
      <c r="BQ726" s="757">
        <v>1552</v>
      </c>
      <c r="BR726" s="758">
        <v>1662</v>
      </c>
      <c r="BS726" s="757">
        <v>1994</v>
      </c>
      <c r="BT726" s="758">
        <v>2302</v>
      </c>
      <c r="BU726" s="758">
        <v>2570</v>
      </c>
      <c r="BV726" s="759">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15"/>
      <c r="C727" s="2116"/>
      <c r="D727" s="2116"/>
      <c r="E727" s="2116"/>
      <c r="F727" s="2117"/>
      <c r="G727" s="2115"/>
      <c r="H727" s="2116"/>
      <c r="I727" s="2116"/>
      <c r="J727" s="2117"/>
      <c r="K727" s="2288"/>
      <c r="L727" s="2289"/>
      <c r="M727" s="2289"/>
      <c r="N727" s="2290"/>
      <c r="O727" s="2115"/>
      <c r="P727" s="2116"/>
      <c r="Q727" s="2116"/>
      <c r="R727" s="2116"/>
      <c r="S727" s="2117"/>
      <c r="T727" s="2115"/>
      <c r="U727" s="2116"/>
      <c r="V727" s="2116"/>
      <c r="W727" s="2116"/>
      <c r="X727" s="2117"/>
      <c r="Y727" s="2115"/>
      <c r="Z727" s="2116"/>
      <c r="AA727" s="2116"/>
      <c r="AB727" s="2117"/>
      <c r="AC727" s="2115"/>
      <c r="AD727" s="2116"/>
      <c r="AE727" s="2116"/>
      <c r="AF727" s="2116"/>
      <c r="AG727" s="2117"/>
      <c r="AH727" s="2115"/>
      <c r="AI727" s="2116"/>
      <c r="AJ727" s="2116"/>
      <c r="AK727" s="2116"/>
      <c r="AL727" s="2117"/>
      <c r="AM727" s="2115"/>
      <c r="AN727" s="2116"/>
      <c r="AO727" s="2117"/>
      <c r="AP727" s="239"/>
      <c r="AQ727" s="239"/>
      <c r="AR727" s="239"/>
      <c r="AS727" s="239"/>
      <c r="AT727" s="239"/>
      <c r="AU727" s="239"/>
      <c r="AV727" s="239"/>
      <c r="AW727" s="239"/>
      <c r="AX727" s="239"/>
      <c r="AY727" s="239"/>
      <c r="AZ727" s="58"/>
      <c r="BA727" s="58"/>
      <c r="BB727" s="58"/>
      <c r="BC727" s="58"/>
      <c r="BD727" s="58"/>
      <c r="BE727" s="58"/>
      <c r="BF727" s="58"/>
      <c r="BG727" s="1415">
        <f t="shared" si="46"/>
        <v>0</v>
      </c>
      <c r="BH727" s="455">
        <f t="shared" si="48"/>
        <v>0</v>
      </c>
      <c r="BI727" s="456" t="str">
        <f t="shared" si="47"/>
        <v xml:space="preserve"> </v>
      </c>
      <c r="BJ727" s="714"/>
      <c r="BK727" s="58"/>
      <c r="BL727" s="58"/>
      <c r="BM727" s="58"/>
      <c r="BN727" s="58"/>
      <c r="BO727" s="58"/>
      <c r="BP727" s="537" t="s">
        <v>211</v>
      </c>
      <c r="BQ727" s="760">
        <v>1220</v>
      </c>
      <c r="BR727" s="761">
        <v>1306</v>
      </c>
      <c r="BS727" s="760">
        <v>1570</v>
      </c>
      <c r="BT727" s="761">
        <v>1812</v>
      </c>
      <c r="BU727" s="761">
        <v>2022</v>
      </c>
      <c r="BV727" s="762">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042" t="s">
        <v>334</v>
      </c>
      <c r="C728" s="2043"/>
      <c r="D728" s="2043"/>
      <c r="E728" s="2043"/>
      <c r="F728" s="2044"/>
      <c r="G728" s="2274">
        <v>9</v>
      </c>
      <c r="H728" s="2275"/>
      <c r="I728" s="2275"/>
      <c r="J728" s="2276"/>
      <c r="K728" s="2072">
        <v>579</v>
      </c>
      <c r="L728" s="2073"/>
      <c r="M728" s="2073"/>
      <c r="N728" s="2074"/>
      <c r="O728" s="2063">
        <v>441</v>
      </c>
      <c r="P728" s="2064"/>
      <c r="Q728" s="2064"/>
      <c r="R728" s="2064"/>
      <c r="S728" s="2065"/>
      <c r="T728" s="2139">
        <f t="shared" ref="T728:T752" si="49">G728*O728</f>
        <v>3969</v>
      </c>
      <c r="U728" s="2140"/>
      <c r="V728" s="2140"/>
      <c r="W728" s="2140"/>
      <c r="X728" s="2141"/>
      <c r="Y728" s="2063">
        <v>69</v>
      </c>
      <c r="Z728" s="2064"/>
      <c r="AA728" s="2064"/>
      <c r="AB728" s="2065"/>
      <c r="AC728" s="2139">
        <f t="shared" ref="AC728:AC752" si="50">O728+Y728</f>
        <v>510</v>
      </c>
      <c r="AD728" s="2140"/>
      <c r="AE728" s="2140"/>
      <c r="AF728" s="2140"/>
      <c r="AG728" s="2141"/>
      <c r="AH728" s="2267">
        <v>0.3</v>
      </c>
      <c r="AI728" s="2268"/>
      <c r="AJ728" s="2268"/>
      <c r="AK728" s="2268"/>
      <c r="AL728" s="2269"/>
      <c r="AM728" s="2360">
        <f t="shared" ref="AM728:AM752" si="51">IF($AH728&gt;0,($AC728/$BA670), " ")</f>
        <v>0.3</v>
      </c>
      <c r="AN728" s="2361"/>
      <c r="AO728" s="2362"/>
      <c r="AP728" s="239"/>
      <c r="AQ728" s="239"/>
      <c r="AR728" s="239"/>
      <c r="AS728" s="239"/>
      <c r="AT728" s="239"/>
      <c r="AU728" s="239"/>
      <c r="AV728" s="239"/>
      <c r="AW728" s="239"/>
      <c r="AX728" s="239"/>
      <c r="AY728" s="239"/>
      <c r="AZ728" s="58"/>
      <c r="BA728" s="58"/>
      <c r="BB728" s="58"/>
      <c r="BC728" s="58"/>
      <c r="BD728" s="58"/>
      <c r="BE728" s="58"/>
      <c r="BF728" s="58"/>
      <c r="BG728" s="1414">
        <f>SUM(BG703:BG727)</f>
        <v>198</v>
      </c>
      <c r="BH728" s="458">
        <f>SUM(BH703:BH727)</f>
        <v>1</v>
      </c>
      <c r="BI728" s="458">
        <f>SUM(BI703:BI727)</f>
        <v>0.54793863936478537</v>
      </c>
      <c r="BJ728" s="714"/>
      <c r="BK728" s="58"/>
      <c r="BL728" s="58"/>
      <c r="BM728" s="58"/>
      <c r="BN728" s="58"/>
      <c r="BO728" s="58"/>
      <c r="BP728" s="436"/>
      <c r="BQ728" s="309"/>
      <c r="BR728" s="450"/>
      <c r="BS728" s="450"/>
      <c r="BT728" s="450"/>
      <c r="BU728" s="450"/>
      <c r="BV728" s="450"/>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42" t="s">
        <v>168</v>
      </c>
      <c r="C729" s="2043"/>
      <c r="D729" s="2043"/>
      <c r="E729" s="2043"/>
      <c r="F729" s="2044"/>
      <c r="G729" s="2274">
        <v>9</v>
      </c>
      <c r="H729" s="2275"/>
      <c r="I729" s="2275"/>
      <c r="J729" s="2276"/>
      <c r="K729" s="2072">
        <v>953</v>
      </c>
      <c r="L729" s="2073"/>
      <c r="M729" s="2073"/>
      <c r="N729" s="2074"/>
      <c r="O729" s="2063">
        <v>526</v>
      </c>
      <c r="P729" s="2064"/>
      <c r="Q729" s="2064"/>
      <c r="R729" s="2064"/>
      <c r="S729" s="2065"/>
      <c r="T729" s="2139">
        <f t="shared" si="49"/>
        <v>4734</v>
      </c>
      <c r="U729" s="2140"/>
      <c r="V729" s="2140"/>
      <c r="W729" s="2140"/>
      <c r="X729" s="2141"/>
      <c r="Y729" s="2063">
        <v>86</v>
      </c>
      <c r="Z729" s="2064"/>
      <c r="AA729" s="2064"/>
      <c r="AB729" s="2065"/>
      <c r="AC729" s="2139">
        <f t="shared" si="50"/>
        <v>612</v>
      </c>
      <c r="AD729" s="2140"/>
      <c r="AE729" s="2140"/>
      <c r="AF729" s="2140"/>
      <c r="AG729" s="2141"/>
      <c r="AH729" s="2267">
        <v>0.3</v>
      </c>
      <c r="AI729" s="2268"/>
      <c r="AJ729" s="2268"/>
      <c r="AK729" s="2268"/>
      <c r="AL729" s="2269"/>
      <c r="AM729" s="2360">
        <f t="shared" si="51"/>
        <v>0.3</v>
      </c>
      <c r="AN729" s="2361"/>
      <c r="AO729" s="236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42" t="s">
        <v>169</v>
      </c>
      <c r="C730" s="2043"/>
      <c r="D730" s="2043"/>
      <c r="E730" s="2043"/>
      <c r="F730" s="2044"/>
      <c r="G730" s="2274">
        <v>9</v>
      </c>
      <c r="H730" s="2275"/>
      <c r="I730" s="2275"/>
      <c r="J730" s="2276"/>
      <c r="K730" s="2072">
        <v>1198</v>
      </c>
      <c r="L730" s="2073"/>
      <c r="M730" s="2073"/>
      <c r="N730" s="2074"/>
      <c r="O730" s="2063">
        <v>601</v>
      </c>
      <c r="P730" s="2064"/>
      <c r="Q730" s="2064"/>
      <c r="R730" s="2064"/>
      <c r="S730" s="2065"/>
      <c r="T730" s="2139">
        <f t="shared" si="49"/>
        <v>5409</v>
      </c>
      <c r="U730" s="2140"/>
      <c r="V730" s="2140"/>
      <c r="W730" s="2140"/>
      <c r="X730" s="2141"/>
      <c r="Y730" s="2063">
        <v>105</v>
      </c>
      <c r="Z730" s="2064"/>
      <c r="AA730" s="2064"/>
      <c r="AB730" s="2065"/>
      <c r="AC730" s="2139">
        <f t="shared" si="50"/>
        <v>706</v>
      </c>
      <c r="AD730" s="2140"/>
      <c r="AE730" s="2140"/>
      <c r="AF730" s="2140"/>
      <c r="AG730" s="2141"/>
      <c r="AH730" s="2267">
        <v>0.3</v>
      </c>
      <c r="AI730" s="2268"/>
      <c r="AJ730" s="2268"/>
      <c r="AK730" s="2268"/>
      <c r="AL730" s="2269"/>
      <c r="AM730" s="2360">
        <f t="shared" si="51"/>
        <v>0.29966044142614601</v>
      </c>
      <c r="AN730" s="2361"/>
      <c r="AO730" s="236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42"/>
      <c r="C731" s="2043"/>
      <c r="D731" s="2043"/>
      <c r="E731" s="2043"/>
      <c r="F731" s="2044"/>
      <c r="G731" s="2274"/>
      <c r="H731" s="2275"/>
      <c r="I731" s="2275"/>
      <c r="J731" s="2276"/>
      <c r="K731" s="2072"/>
      <c r="L731" s="2073"/>
      <c r="M731" s="2073"/>
      <c r="N731" s="2074"/>
      <c r="O731" s="2063"/>
      <c r="P731" s="2064"/>
      <c r="Q731" s="2064"/>
      <c r="R731" s="2064"/>
      <c r="S731" s="2065"/>
      <c r="T731" s="2139">
        <f t="shared" si="49"/>
        <v>0</v>
      </c>
      <c r="U731" s="2140"/>
      <c r="V731" s="2140"/>
      <c r="W731" s="2140"/>
      <c r="X731" s="2141"/>
      <c r="Y731" s="2063"/>
      <c r="Z731" s="2064"/>
      <c r="AA731" s="2064"/>
      <c r="AB731" s="2065"/>
      <c r="AC731" s="2139">
        <f t="shared" si="50"/>
        <v>0</v>
      </c>
      <c r="AD731" s="2140"/>
      <c r="AE731" s="2140"/>
      <c r="AF731" s="2140"/>
      <c r="AG731" s="2141"/>
      <c r="AH731" s="2267"/>
      <c r="AI731" s="2268"/>
      <c r="AJ731" s="2268"/>
      <c r="AK731" s="2268"/>
      <c r="AL731" s="2269"/>
      <c r="AM731" s="2360" t="str">
        <f t="shared" si="51"/>
        <v xml:space="preserve"> </v>
      </c>
      <c r="AN731" s="2361"/>
      <c r="AO731" s="236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42" t="s">
        <v>334</v>
      </c>
      <c r="C732" s="2043"/>
      <c r="D732" s="2043"/>
      <c r="E732" s="2043"/>
      <c r="F732" s="2044"/>
      <c r="G732" s="2274">
        <v>10</v>
      </c>
      <c r="H732" s="2275"/>
      <c r="I732" s="2275"/>
      <c r="J732" s="2276"/>
      <c r="K732" s="2072">
        <v>579</v>
      </c>
      <c r="L732" s="2073"/>
      <c r="M732" s="2073"/>
      <c r="N732" s="2074"/>
      <c r="O732" s="2063">
        <v>781</v>
      </c>
      <c r="P732" s="2064"/>
      <c r="Q732" s="2064"/>
      <c r="R732" s="2064"/>
      <c r="S732" s="2065"/>
      <c r="T732" s="2139">
        <f t="shared" si="49"/>
        <v>7810</v>
      </c>
      <c r="U732" s="2140"/>
      <c r="V732" s="2140"/>
      <c r="W732" s="2140"/>
      <c r="X732" s="2141"/>
      <c r="Y732" s="2063">
        <v>69</v>
      </c>
      <c r="Z732" s="2064"/>
      <c r="AA732" s="2064"/>
      <c r="AB732" s="2065"/>
      <c r="AC732" s="2139">
        <f t="shared" si="50"/>
        <v>850</v>
      </c>
      <c r="AD732" s="2140"/>
      <c r="AE732" s="2140"/>
      <c r="AF732" s="2140"/>
      <c r="AG732" s="2141"/>
      <c r="AH732" s="2267">
        <v>0.5</v>
      </c>
      <c r="AI732" s="2268"/>
      <c r="AJ732" s="2268"/>
      <c r="AK732" s="2268"/>
      <c r="AL732" s="2269"/>
      <c r="AM732" s="2360">
        <f t="shared" si="51"/>
        <v>0.5</v>
      </c>
      <c r="AN732" s="2361"/>
      <c r="AO732" s="236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42" t="s">
        <v>168</v>
      </c>
      <c r="C733" s="2043"/>
      <c r="D733" s="2043"/>
      <c r="E733" s="2043"/>
      <c r="F733" s="2044"/>
      <c r="G733" s="2274">
        <v>44</v>
      </c>
      <c r="H733" s="2275"/>
      <c r="I733" s="2275"/>
      <c r="J733" s="2276"/>
      <c r="K733" s="2072">
        <v>953</v>
      </c>
      <c r="L733" s="2073"/>
      <c r="M733" s="2073"/>
      <c r="N733" s="2074"/>
      <c r="O733" s="2063">
        <v>934</v>
      </c>
      <c r="P733" s="2064"/>
      <c r="Q733" s="2064"/>
      <c r="R733" s="2064"/>
      <c r="S733" s="2065"/>
      <c r="T733" s="2139">
        <f t="shared" si="49"/>
        <v>41096</v>
      </c>
      <c r="U733" s="2140"/>
      <c r="V733" s="2140"/>
      <c r="W733" s="2140"/>
      <c r="X733" s="2141"/>
      <c r="Y733" s="2063">
        <v>86</v>
      </c>
      <c r="Z733" s="2064"/>
      <c r="AA733" s="2064"/>
      <c r="AB733" s="2065"/>
      <c r="AC733" s="2139">
        <f t="shared" si="50"/>
        <v>1020</v>
      </c>
      <c r="AD733" s="2140"/>
      <c r="AE733" s="2140"/>
      <c r="AF733" s="2140"/>
      <c r="AG733" s="2141"/>
      <c r="AH733" s="2267">
        <v>0.5</v>
      </c>
      <c r="AI733" s="2268"/>
      <c r="AJ733" s="2268"/>
      <c r="AK733" s="2268"/>
      <c r="AL733" s="2269"/>
      <c r="AM733" s="2360">
        <f t="shared" si="51"/>
        <v>0.5</v>
      </c>
      <c r="AN733" s="2361"/>
      <c r="AO733" s="236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42" t="s">
        <v>169</v>
      </c>
      <c r="C734" s="2043"/>
      <c r="D734" s="2043"/>
      <c r="E734" s="2043"/>
      <c r="F734" s="2044"/>
      <c r="G734" s="2274">
        <v>17</v>
      </c>
      <c r="H734" s="2275"/>
      <c r="I734" s="2275"/>
      <c r="J734" s="2276"/>
      <c r="K734" s="2072">
        <v>1198</v>
      </c>
      <c r="L734" s="2073"/>
      <c r="M734" s="2073"/>
      <c r="N734" s="2074"/>
      <c r="O734" s="2063">
        <v>1073</v>
      </c>
      <c r="P734" s="2064"/>
      <c r="Q734" s="2064"/>
      <c r="R734" s="2064"/>
      <c r="S734" s="2065"/>
      <c r="T734" s="2139">
        <f t="shared" si="49"/>
        <v>18241</v>
      </c>
      <c r="U734" s="2140"/>
      <c r="V734" s="2140"/>
      <c r="W734" s="2140"/>
      <c r="X734" s="2141"/>
      <c r="Y734" s="2063">
        <v>105</v>
      </c>
      <c r="Z734" s="2064"/>
      <c r="AA734" s="2064"/>
      <c r="AB734" s="2065"/>
      <c r="AC734" s="2139">
        <f t="shared" si="50"/>
        <v>1178</v>
      </c>
      <c r="AD734" s="2140"/>
      <c r="AE734" s="2140"/>
      <c r="AF734" s="2140"/>
      <c r="AG734" s="2141"/>
      <c r="AH734" s="2267">
        <v>0.5</v>
      </c>
      <c r="AI734" s="2268"/>
      <c r="AJ734" s="2268"/>
      <c r="AK734" s="2268"/>
      <c r="AL734" s="2269"/>
      <c r="AM734" s="2360">
        <f t="shared" si="51"/>
        <v>0.5</v>
      </c>
      <c r="AN734" s="2361"/>
      <c r="AO734" s="236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42"/>
      <c r="C735" s="2043"/>
      <c r="D735" s="2043"/>
      <c r="E735" s="2043"/>
      <c r="F735" s="2044"/>
      <c r="G735" s="2274"/>
      <c r="H735" s="2275"/>
      <c r="I735" s="2275"/>
      <c r="J735" s="2276"/>
      <c r="K735" s="2072"/>
      <c r="L735" s="2073"/>
      <c r="M735" s="2073"/>
      <c r="N735" s="2074"/>
      <c r="O735" s="2063"/>
      <c r="P735" s="2064"/>
      <c r="Q735" s="2064"/>
      <c r="R735" s="2064"/>
      <c r="S735" s="2065"/>
      <c r="T735" s="2139">
        <f t="shared" si="49"/>
        <v>0</v>
      </c>
      <c r="U735" s="2140"/>
      <c r="V735" s="2140"/>
      <c r="W735" s="2140"/>
      <c r="X735" s="2141"/>
      <c r="Y735" s="2063"/>
      <c r="Z735" s="2064"/>
      <c r="AA735" s="2064"/>
      <c r="AB735" s="2065"/>
      <c r="AC735" s="2139">
        <f t="shared" si="50"/>
        <v>0</v>
      </c>
      <c r="AD735" s="2140"/>
      <c r="AE735" s="2140"/>
      <c r="AF735" s="2140"/>
      <c r="AG735" s="2141"/>
      <c r="AH735" s="2267"/>
      <c r="AI735" s="2268"/>
      <c r="AJ735" s="2268"/>
      <c r="AK735" s="2268"/>
      <c r="AL735" s="2269"/>
      <c r="AM735" s="2360" t="str">
        <f t="shared" si="51"/>
        <v xml:space="preserve"> </v>
      </c>
      <c r="AN735" s="2361"/>
      <c r="AO735" s="236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42" t="s">
        <v>334</v>
      </c>
      <c r="C736" s="2043"/>
      <c r="D736" s="2043"/>
      <c r="E736" s="2043"/>
      <c r="F736" s="2044"/>
      <c r="G736" s="2274">
        <v>15</v>
      </c>
      <c r="H736" s="2275"/>
      <c r="I736" s="2275"/>
      <c r="J736" s="2276"/>
      <c r="K736" s="2072">
        <v>579</v>
      </c>
      <c r="L736" s="2073"/>
      <c r="M736" s="2073"/>
      <c r="N736" s="2074"/>
      <c r="O736" s="2063">
        <v>951</v>
      </c>
      <c r="P736" s="2064"/>
      <c r="Q736" s="2064"/>
      <c r="R736" s="2064"/>
      <c r="S736" s="2065"/>
      <c r="T736" s="2139">
        <f t="shared" si="49"/>
        <v>14265</v>
      </c>
      <c r="U736" s="2140"/>
      <c r="V736" s="2140"/>
      <c r="W736" s="2140"/>
      <c r="X736" s="2141"/>
      <c r="Y736" s="2063">
        <v>69</v>
      </c>
      <c r="Z736" s="2064"/>
      <c r="AA736" s="2064"/>
      <c r="AB736" s="2065"/>
      <c r="AC736" s="2139">
        <f t="shared" si="50"/>
        <v>1020</v>
      </c>
      <c r="AD736" s="2140"/>
      <c r="AE736" s="2140"/>
      <c r="AF736" s="2140"/>
      <c r="AG736" s="2141"/>
      <c r="AH736" s="2267">
        <v>0.6</v>
      </c>
      <c r="AI736" s="2268"/>
      <c r="AJ736" s="2268"/>
      <c r="AK736" s="2268"/>
      <c r="AL736" s="2269"/>
      <c r="AM736" s="2360">
        <f t="shared" si="51"/>
        <v>0.6</v>
      </c>
      <c r="AN736" s="2361"/>
      <c r="AO736" s="236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42" t="s">
        <v>168</v>
      </c>
      <c r="C737" s="2043"/>
      <c r="D737" s="2043"/>
      <c r="E737" s="2043"/>
      <c r="F737" s="2044"/>
      <c r="G737" s="2274">
        <v>22</v>
      </c>
      <c r="H737" s="2275"/>
      <c r="I737" s="2275"/>
      <c r="J737" s="2276"/>
      <c r="K737" s="2072">
        <v>953</v>
      </c>
      <c r="L737" s="2073"/>
      <c r="M737" s="2073"/>
      <c r="N737" s="2074"/>
      <c r="O737" s="2063">
        <v>1138</v>
      </c>
      <c r="P737" s="2064"/>
      <c r="Q737" s="2064"/>
      <c r="R737" s="2064"/>
      <c r="S737" s="2065"/>
      <c r="T737" s="2139">
        <f t="shared" si="49"/>
        <v>25036</v>
      </c>
      <c r="U737" s="2140"/>
      <c r="V737" s="2140"/>
      <c r="W737" s="2140"/>
      <c r="X737" s="2141"/>
      <c r="Y737" s="2063">
        <v>86</v>
      </c>
      <c r="Z737" s="2064"/>
      <c r="AA737" s="2064"/>
      <c r="AB737" s="2065"/>
      <c r="AC737" s="2139">
        <f t="shared" si="50"/>
        <v>1224</v>
      </c>
      <c r="AD737" s="2140"/>
      <c r="AE737" s="2140"/>
      <c r="AF737" s="2140"/>
      <c r="AG737" s="2141"/>
      <c r="AH737" s="2267">
        <v>0.6</v>
      </c>
      <c r="AI737" s="2268"/>
      <c r="AJ737" s="2268"/>
      <c r="AK737" s="2268"/>
      <c r="AL737" s="2269"/>
      <c r="AM737" s="2360">
        <f t="shared" si="51"/>
        <v>0.6</v>
      </c>
      <c r="AN737" s="2361"/>
      <c r="AO737" s="236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42" t="s">
        <v>169</v>
      </c>
      <c r="C738" s="2043"/>
      <c r="D738" s="2043"/>
      <c r="E738" s="2043"/>
      <c r="F738" s="2044"/>
      <c r="G738" s="2274">
        <v>14</v>
      </c>
      <c r="H738" s="2275"/>
      <c r="I738" s="2275"/>
      <c r="J738" s="2276"/>
      <c r="K738" s="2072">
        <v>1198</v>
      </c>
      <c r="L738" s="2073"/>
      <c r="M738" s="2073"/>
      <c r="N738" s="2074"/>
      <c r="O738" s="2063">
        <v>1308</v>
      </c>
      <c r="P738" s="2064"/>
      <c r="Q738" s="2064"/>
      <c r="R738" s="2064"/>
      <c r="S738" s="2065"/>
      <c r="T738" s="2139">
        <f t="shared" si="49"/>
        <v>18312</v>
      </c>
      <c r="U738" s="2140"/>
      <c r="V738" s="2140"/>
      <c r="W738" s="2140"/>
      <c r="X738" s="2141"/>
      <c r="Y738" s="2063">
        <v>105</v>
      </c>
      <c r="Z738" s="2064"/>
      <c r="AA738" s="2064"/>
      <c r="AB738" s="2065"/>
      <c r="AC738" s="2139">
        <f t="shared" si="50"/>
        <v>1413</v>
      </c>
      <c r="AD738" s="2140"/>
      <c r="AE738" s="2140"/>
      <c r="AF738" s="2140"/>
      <c r="AG738" s="2141"/>
      <c r="AH738" s="2267">
        <v>0.6</v>
      </c>
      <c r="AI738" s="2268"/>
      <c r="AJ738" s="2268"/>
      <c r="AK738" s="2268"/>
      <c r="AL738" s="2269"/>
      <c r="AM738" s="2360">
        <f t="shared" si="51"/>
        <v>0.59974533106960948</v>
      </c>
      <c r="AN738" s="2361"/>
      <c r="AO738" s="236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42"/>
      <c r="C739" s="2043"/>
      <c r="D739" s="2043"/>
      <c r="E739" s="2043"/>
      <c r="F739" s="2044"/>
      <c r="G739" s="2274"/>
      <c r="H739" s="2275"/>
      <c r="I739" s="2275"/>
      <c r="J739" s="2276"/>
      <c r="K739" s="2072"/>
      <c r="L739" s="2073"/>
      <c r="M739" s="2073"/>
      <c r="N739" s="2074"/>
      <c r="O739" s="2063"/>
      <c r="P739" s="2064"/>
      <c r="Q739" s="2064"/>
      <c r="R739" s="2064"/>
      <c r="S739" s="2065"/>
      <c r="T739" s="2139">
        <f t="shared" si="49"/>
        <v>0</v>
      </c>
      <c r="U739" s="2140"/>
      <c r="V739" s="2140"/>
      <c r="W739" s="2140"/>
      <c r="X739" s="2141"/>
      <c r="Y739" s="2063">
        <v>0</v>
      </c>
      <c r="Z739" s="2064"/>
      <c r="AA739" s="2064"/>
      <c r="AB739" s="2065"/>
      <c r="AC739" s="2139">
        <f t="shared" si="50"/>
        <v>0</v>
      </c>
      <c r="AD739" s="2140"/>
      <c r="AE739" s="2140"/>
      <c r="AF739" s="2140"/>
      <c r="AG739" s="2141"/>
      <c r="AH739" s="2267">
        <v>0</v>
      </c>
      <c r="AI739" s="2268"/>
      <c r="AJ739" s="2268"/>
      <c r="AK739" s="2268"/>
      <c r="AL739" s="2269"/>
      <c r="AM739" s="2360" t="str">
        <f t="shared" si="51"/>
        <v xml:space="preserve"> </v>
      </c>
      <c r="AN739" s="2361"/>
      <c r="AO739" s="236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42" t="s">
        <v>334</v>
      </c>
      <c r="C740" s="2043"/>
      <c r="D740" s="2043"/>
      <c r="E740" s="2043"/>
      <c r="F740" s="2044"/>
      <c r="G740" s="2274">
        <v>13</v>
      </c>
      <c r="H740" s="2275"/>
      <c r="I740" s="2275"/>
      <c r="J740" s="2276"/>
      <c r="K740" s="2072">
        <v>579</v>
      </c>
      <c r="L740" s="2073"/>
      <c r="M740" s="2073"/>
      <c r="N740" s="2074"/>
      <c r="O740" s="2063">
        <v>1121</v>
      </c>
      <c r="P740" s="2064"/>
      <c r="Q740" s="2064"/>
      <c r="R740" s="2064"/>
      <c r="S740" s="2065"/>
      <c r="T740" s="2139">
        <f t="shared" si="49"/>
        <v>14573</v>
      </c>
      <c r="U740" s="2140"/>
      <c r="V740" s="2140"/>
      <c r="W740" s="2140"/>
      <c r="X740" s="2141"/>
      <c r="Y740" s="2063">
        <v>69</v>
      </c>
      <c r="Z740" s="2064"/>
      <c r="AA740" s="2064"/>
      <c r="AB740" s="2065"/>
      <c r="AC740" s="2139">
        <f t="shared" si="50"/>
        <v>1190</v>
      </c>
      <c r="AD740" s="2140"/>
      <c r="AE740" s="2140"/>
      <c r="AF740" s="2140"/>
      <c r="AG740" s="2141"/>
      <c r="AH740" s="2267">
        <v>0.7</v>
      </c>
      <c r="AI740" s="2268"/>
      <c r="AJ740" s="2268"/>
      <c r="AK740" s="2268"/>
      <c r="AL740" s="2269"/>
      <c r="AM740" s="2360">
        <f t="shared" si="51"/>
        <v>0.7</v>
      </c>
      <c r="AN740" s="2361"/>
      <c r="AO740" s="236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42" t="s">
        <v>168</v>
      </c>
      <c r="C741" s="2043"/>
      <c r="D741" s="2043"/>
      <c r="E741" s="2043"/>
      <c r="F741" s="2044"/>
      <c r="G741" s="2274">
        <v>18</v>
      </c>
      <c r="H741" s="2275"/>
      <c r="I741" s="2275"/>
      <c r="J741" s="2276"/>
      <c r="K741" s="2072">
        <v>953</v>
      </c>
      <c r="L741" s="2073"/>
      <c r="M741" s="2073"/>
      <c r="N741" s="2074"/>
      <c r="O741" s="2063">
        <v>1342</v>
      </c>
      <c r="P741" s="2064"/>
      <c r="Q741" s="2064"/>
      <c r="R741" s="2064"/>
      <c r="S741" s="2065"/>
      <c r="T741" s="2139">
        <f t="shared" si="49"/>
        <v>24156</v>
      </c>
      <c r="U741" s="2140"/>
      <c r="V741" s="2140"/>
      <c r="W741" s="2140"/>
      <c r="X741" s="2141"/>
      <c r="Y741" s="2063">
        <v>86</v>
      </c>
      <c r="Z741" s="2064"/>
      <c r="AA741" s="2064"/>
      <c r="AB741" s="2065"/>
      <c r="AC741" s="2139">
        <f t="shared" si="50"/>
        <v>1428</v>
      </c>
      <c r="AD741" s="2140"/>
      <c r="AE741" s="2140"/>
      <c r="AF741" s="2140"/>
      <c r="AG741" s="2141"/>
      <c r="AH741" s="2267">
        <v>0.7</v>
      </c>
      <c r="AI741" s="2268"/>
      <c r="AJ741" s="2268"/>
      <c r="AK741" s="2268"/>
      <c r="AL741" s="2269"/>
      <c r="AM741" s="2360">
        <f t="shared" si="51"/>
        <v>0.7</v>
      </c>
      <c r="AN741" s="2361"/>
      <c r="AO741" s="236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42" t="s">
        <v>169</v>
      </c>
      <c r="C742" s="2043"/>
      <c r="D742" s="2043"/>
      <c r="E742" s="2043"/>
      <c r="F742" s="2044"/>
      <c r="G742" s="2274">
        <v>18</v>
      </c>
      <c r="H742" s="2275"/>
      <c r="I742" s="2275"/>
      <c r="J742" s="2276"/>
      <c r="K742" s="2072">
        <v>1198</v>
      </c>
      <c r="L742" s="2073"/>
      <c r="M742" s="2073"/>
      <c r="N742" s="2074"/>
      <c r="O742" s="2063">
        <v>1544</v>
      </c>
      <c r="P742" s="2064"/>
      <c r="Q742" s="2064"/>
      <c r="R742" s="2064"/>
      <c r="S742" s="2065"/>
      <c r="T742" s="2139">
        <f t="shared" si="49"/>
        <v>27792</v>
      </c>
      <c r="U742" s="2140"/>
      <c r="V742" s="2140"/>
      <c r="W742" s="2140"/>
      <c r="X742" s="2141"/>
      <c r="Y742" s="2063">
        <v>105</v>
      </c>
      <c r="Z742" s="2064"/>
      <c r="AA742" s="2064"/>
      <c r="AB742" s="2065"/>
      <c r="AC742" s="2139">
        <f t="shared" si="50"/>
        <v>1649</v>
      </c>
      <c r="AD742" s="2140"/>
      <c r="AE742" s="2140"/>
      <c r="AF742" s="2140"/>
      <c r="AG742" s="2141"/>
      <c r="AH742" s="2267">
        <v>0.7</v>
      </c>
      <c r="AI742" s="2268"/>
      <c r="AJ742" s="2268"/>
      <c r="AK742" s="2268"/>
      <c r="AL742" s="2269"/>
      <c r="AM742" s="2360">
        <f t="shared" si="51"/>
        <v>0.69991511035653653</v>
      </c>
      <c r="AN742" s="2361"/>
      <c r="AO742" s="236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42"/>
      <c r="C743" s="2043"/>
      <c r="D743" s="2043"/>
      <c r="E743" s="2043"/>
      <c r="F743" s="2044"/>
      <c r="G743" s="2274"/>
      <c r="H743" s="2275"/>
      <c r="I743" s="2275"/>
      <c r="J743" s="2276"/>
      <c r="K743" s="2072"/>
      <c r="L743" s="2073"/>
      <c r="M743" s="2073"/>
      <c r="N743" s="2074"/>
      <c r="O743" s="2063"/>
      <c r="P743" s="2064"/>
      <c r="Q743" s="2064"/>
      <c r="R743" s="2064"/>
      <c r="S743" s="2065"/>
      <c r="T743" s="2139">
        <f t="shared" si="49"/>
        <v>0</v>
      </c>
      <c r="U743" s="2140"/>
      <c r="V743" s="2140"/>
      <c r="W743" s="2140"/>
      <c r="X743" s="2141"/>
      <c r="Y743" s="2063">
        <v>0</v>
      </c>
      <c r="Z743" s="2064"/>
      <c r="AA743" s="2064"/>
      <c r="AB743" s="2065"/>
      <c r="AC743" s="2139">
        <f t="shared" si="50"/>
        <v>0</v>
      </c>
      <c r="AD743" s="2140"/>
      <c r="AE743" s="2140"/>
      <c r="AF743" s="2140"/>
      <c r="AG743" s="2141"/>
      <c r="AH743" s="2267">
        <v>0</v>
      </c>
      <c r="AI743" s="2268"/>
      <c r="AJ743" s="2268"/>
      <c r="AK743" s="2268"/>
      <c r="AL743" s="2269"/>
      <c r="AM743" s="2360" t="str">
        <f t="shared" si="51"/>
        <v xml:space="preserve"> </v>
      </c>
      <c r="AN743" s="2361"/>
      <c r="AO743" s="236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42"/>
      <c r="C744" s="2043"/>
      <c r="D744" s="2043"/>
      <c r="E744" s="2043"/>
      <c r="F744" s="2044"/>
      <c r="G744" s="2274"/>
      <c r="H744" s="2275"/>
      <c r="I744" s="2275"/>
      <c r="J744" s="2276"/>
      <c r="K744" s="2072"/>
      <c r="L744" s="2073"/>
      <c r="M744" s="2073"/>
      <c r="N744" s="2074"/>
      <c r="O744" s="2063"/>
      <c r="P744" s="2064"/>
      <c r="Q744" s="2064"/>
      <c r="R744" s="2064"/>
      <c r="S744" s="2065"/>
      <c r="T744" s="2139">
        <f t="shared" si="49"/>
        <v>0</v>
      </c>
      <c r="U744" s="2140"/>
      <c r="V744" s="2140"/>
      <c r="W744" s="2140"/>
      <c r="X744" s="2141"/>
      <c r="Y744" s="2063">
        <v>0</v>
      </c>
      <c r="Z744" s="2064"/>
      <c r="AA744" s="2064"/>
      <c r="AB744" s="2065"/>
      <c r="AC744" s="2139">
        <f t="shared" si="50"/>
        <v>0</v>
      </c>
      <c r="AD744" s="2140"/>
      <c r="AE744" s="2140"/>
      <c r="AF744" s="2140"/>
      <c r="AG744" s="2141"/>
      <c r="AH744" s="2267">
        <v>0</v>
      </c>
      <c r="AI744" s="2268"/>
      <c r="AJ744" s="2268"/>
      <c r="AK744" s="2268"/>
      <c r="AL744" s="2269"/>
      <c r="AM744" s="2360" t="str">
        <f t="shared" si="51"/>
        <v xml:space="preserve"> </v>
      </c>
      <c r="AN744" s="2361"/>
      <c r="AO744" s="236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42"/>
      <c r="C745" s="2043"/>
      <c r="D745" s="2043"/>
      <c r="E745" s="2043"/>
      <c r="F745" s="2044"/>
      <c r="G745" s="2274"/>
      <c r="H745" s="2275"/>
      <c r="I745" s="2275"/>
      <c r="J745" s="2276"/>
      <c r="K745" s="2072"/>
      <c r="L745" s="2073"/>
      <c r="M745" s="2073"/>
      <c r="N745" s="2074"/>
      <c r="O745" s="2063"/>
      <c r="P745" s="2064"/>
      <c r="Q745" s="2064"/>
      <c r="R745" s="2064"/>
      <c r="S745" s="2065"/>
      <c r="T745" s="2139">
        <f t="shared" si="49"/>
        <v>0</v>
      </c>
      <c r="U745" s="2140"/>
      <c r="V745" s="2140"/>
      <c r="W745" s="2140"/>
      <c r="X745" s="2141"/>
      <c r="Y745" s="2063">
        <v>0</v>
      </c>
      <c r="Z745" s="2064"/>
      <c r="AA745" s="2064"/>
      <c r="AB745" s="2065"/>
      <c r="AC745" s="2139">
        <f t="shared" si="50"/>
        <v>0</v>
      </c>
      <c r="AD745" s="2140"/>
      <c r="AE745" s="2140"/>
      <c r="AF745" s="2140"/>
      <c r="AG745" s="2141"/>
      <c r="AH745" s="2267">
        <v>0</v>
      </c>
      <c r="AI745" s="2268"/>
      <c r="AJ745" s="2268"/>
      <c r="AK745" s="2268"/>
      <c r="AL745" s="2269"/>
      <c r="AM745" s="2360" t="str">
        <f t="shared" si="51"/>
        <v xml:space="preserve"> </v>
      </c>
      <c r="AN745" s="2361"/>
      <c r="AO745" s="236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42"/>
      <c r="C746" s="2043"/>
      <c r="D746" s="2043"/>
      <c r="E746" s="2043"/>
      <c r="F746" s="2044"/>
      <c r="G746" s="2274"/>
      <c r="H746" s="2275"/>
      <c r="I746" s="2275"/>
      <c r="J746" s="2276"/>
      <c r="K746" s="2072"/>
      <c r="L746" s="2073"/>
      <c r="M746" s="2073"/>
      <c r="N746" s="2074"/>
      <c r="O746" s="2063"/>
      <c r="P746" s="2064"/>
      <c r="Q746" s="2064"/>
      <c r="R746" s="2064"/>
      <c r="S746" s="2065"/>
      <c r="T746" s="2139">
        <f t="shared" si="49"/>
        <v>0</v>
      </c>
      <c r="U746" s="2140"/>
      <c r="V746" s="2140"/>
      <c r="W746" s="2140"/>
      <c r="X746" s="2141"/>
      <c r="Y746" s="2063">
        <v>0</v>
      </c>
      <c r="Z746" s="2064"/>
      <c r="AA746" s="2064"/>
      <c r="AB746" s="2065"/>
      <c r="AC746" s="2139">
        <f t="shared" si="50"/>
        <v>0</v>
      </c>
      <c r="AD746" s="2140"/>
      <c r="AE746" s="2140"/>
      <c r="AF746" s="2140"/>
      <c r="AG746" s="2141"/>
      <c r="AH746" s="2267">
        <v>0</v>
      </c>
      <c r="AI746" s="2268"/>
      <c r="AJ746" s="2268"/>
      <c r="AK746" s="2268"/>
      <c r="AL746" s="2269"/>
      <c r="AM746" s="2360" t="str">
        <f t="shared" si="51"/>
        <v xml:space="preserve"> </v>
      </c>
      <c r="AN746" s="2361"/>
      <c r="AO746" s="236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42"/>
      <c r="C747" s="2043"/>
      <c r="D747" s="2043"/>
      <c r="E747" s="2043"/>
      <c r="F747" s="2044"/>
      <c r="G747" s="2274"/>
      <c r="H747" s="2275"/>
      <c r="I747" s="2275"/>
      <c r="J747" s="2276"/>
      <c r="K747" s="2072"/>
      <c r="L747" s="2073"/>
      <c r="M747" s="2073"/>
      <c r="N747" s="2074"/>
      <c r="O747" s="2063"/>
      <c r="P747" s="2064"/>
      <c r="Q747" s="2064"/>
      <c r="R747" s="2064"/>
      <c r="S747" s="2065"/>
      <c r="T747" s="2139">
        <f t="shared" si="49"/>
        <v>0</v>
      </c>
      <c r="U747" s="2140"/>
      <c r="V747" s="2140"/>
      <c r="W747" s="2140"/>
      <c r="X747" s="2141"/>
      <c r="Y747" s="2063">
        <v>0</v>
      </c>
      <c r="Z747" s="2064"/>
      <c r="AA747" s="2064"/>
      <c r="AB747" s="2065"/>
      <c r="AC747" s="2139">
        <f t="shared" si="50"/>
        <v>0</v>
      </c>
      <c r="AD747" s="2140"/>
      <c r="AE747" s="2140"/>
      <c r="AF747" s="2140"/>
      <c r="AG747" s="2141"/>
      <c r="AH747" s="2267">
        <v>0</v>
      </c>
      <c r="AI747" s="2268"/>
      <c r="AJ747" s="2268"/>
      <c r="AK747" s="2268"/>
      <c r="AL747" s="2269"/>
      <c r="AM747" s="2360" t="str">
        <f t="shared" si="51"/>
        <v xml:space="preserve"> </v>
      </c>
      <c r="AN747" s="2361"/>
      <c r="AO747" s="236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42"/>
      <c r="C748" s="2043"/>
      <c r="D748" s="2043"/>
      <c r="E748" s="2043"/>
      <c r="F748" s="2044"/>
      <c r="G748" s="2274"/>
      <c r="H748" s="2275"/>
      <c r="I748" s="2275"/>
      <c r="J748" s="2276"/>
      <c r="K748" s="2072"/>
      <c r="L748" s="2073"/>
      <c r="M748" s="2073"/>
      <c r="N748" s="2074"/>
      <c r="O748" s="2063"/>
      <c r="P748" s="2064"/>
      <c r="Q748" s="2064"/>
      <c r="R748" s="2064"/>
      <c r="S748" s="2065"/>
      <c r="T748" s="2139">
        <f t="shared" si="49"/>
        <v>0</v>
      </c>
      <c r="U748" s="2140"/>
      <c r="V748" s="2140"/>
      <c r="W748" s="2140"/>
      <c r="X748" s="2141"/>
      <c r="Y748" s="2063">
        <v>0</v>
      </c>
      <c r="Z748" s="2064"/>
      <c r="AA748" s="2064"/>
      <c r="AB748" s="2065"/>
      <c r="AC748" s="2139">
        <f t="shared" si="50"/>
        <v>0</v>
      </c>
      <c r="AD748" s="2140"/>
      <c r="AE748" s="2140"/>
      <c r="AF748" s="2140"/>
      <c r="AG748" s="2141"/>
      <c r="AH748" s="2267">
        <v>0</v>
      </c>
      <c r="AI748" s="2268"/>
      <c r="AJ748" s="2268"/>
      <c r="AK748" s="2268"/>
      <c r="AL748" s="2269"/>
      <c r="AM748" s="2360" t="str">
        <f t="shared" si="51"/>
        <v xml:space="preserve"> </v>
      </c>
      <c r="AN748" s="2361"/>
      <c r="AO748" s="236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42"/>
      <c r="C749" s="2043"/>
      <c r="D749" s="2043"/>
      <c r="E749" s="2043"/>
      <c r="F749" s="2044"/>
      <c r="G749" s="2274"/>
      <c r="H749" s="2275"/>
      <c r="I749" s="2275"/>
      <c r="J749" s="2276"/>
      <c r="K749" s="2072"/>
      <c r="L749" s="2073"/>
      <c r="M749" s="2073"/>
      <c r="N749" s="2074"/>
      <c r="O749" s="2063"/>
      <c r="P749" s="2064"/>
      <c r="Q749" s="2064"/>
      <c r="R749" s="2064"/>
      <c r="S749" s="2065"/>
      <c r="T749" s="2139">
        <f t="shared" si="49"/>
        <v>0</v>
      </c>
      <c r="U749" s="2140"/>
      <c r="V749" s="2140"/>
      <c r="W749" s="2140"/>
      <c r="X749" s="2141"/>
      <c r="Y749" s="2063">
        <v>0</v>
      </c>
      <c r="Z749" s="2064"/>
      <c r="AA749" s="2064"/>
      <c r="AB749" s="2065"/>
      <c r="AC749" s="2139">
        <f t="shared" si="50"/>
        <v>0</v>
      </c>
      <c r="AD749" s="2140"/>
      <c r="AE749" s="2140"/>
      <c r="AF749" s="2140"/>
      <c r="AG749" s="2141"/>
      <c r="AH749" s="2267">
        <v>0</v>
      </c>
      <c r="AI749" s="2268"/>
      <c r="AJ749" s="2268"/>
      <c r="AK749" s="2268"/>
      <c r="AL749" s="2269"/>
      <c r="AM749" s="2360" t="str">
        <f t="shared" si="51"/>
        <v xml:space="preserve"> </v>
      </c>
      <c r="AN749" s="2361"/>
      <c r="AO749" s="236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2"/>
      <c r="C750" s="2043"/>
      <c r="D750" s="2043"/>
      <c r="E750" s="2043"/>
      <c r="F750" s="2044"/>
      <c r="G750" s="2274"/>
      <c r="H750" s="2275"/>
      <c r="I750" s="2275"/>
      <c r="J750" s="2276"/>
      <c r="K750" s="2072"/>
      <c r="L750" s="2073"/>
      <c r="M750" s="2073"/>
      <c r="N750" s="2074"/>
      <c r="O750" s="2063"/>
      <c r="P750" s="2064"/>
      <c r="Q750" s="2064"/>
      <c r="R750" s="2064"/>
      <c r="S750" s="2065"/>
      <c r="T750" s="2139">
        <f t="shared" si="49"/>
        <v>0</v>
      </c>
      <c r="U750" s="2140"/>
      <c r="V750" s="2140"/>
      <c r="W750" s="2140"/>
      <c r="X750" s="2141"/>
      <c r="Y750" s="2063">
        <v>0</v>
      </c>
      <c r="Z750" s="2064"/>
      <c r="AA750" s="2064"/>
      <c r="AB750" s="2065"/>
      <c r="AC750" s="2139">
        <f t="shared" si="50"/>
        <v>0</v>
      </c>
      <c r="AD750" s="2140"/>
      <c r="AE750" s="2140"/>
      <c r="AF750" s="2140"/>
      <c r="AG750" s="2141"/>
      <c r="AH750" s="2267">
        <v>0</v>
      </c>
      <c r="AI750" s="2268"/>
      <c r="AJ750" s="2268"/>
      <c r="AK750" s="2268"/>
      <c r="AL750" s="2269"/>
      <c r="AM750" s="2360" t="str">
        <f t="shared" si="51"/>
        <v xml:space="preserve"> </v>
      </c>
      <c r="AN750" s="2361"/>
      <c r="AO750" s="236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8" customHeight="1">
      <c r="B751" s="2042"/>
      <c r="C751" s="2043"/>
      <c r="D751" s="2043"/>
      <c r="E751" s="2043"/>
      <c r="F751" s="2044"/>
      <c r="G751" s="2274"/>
      <c r="H751" s="2275"/>
      <c r="I751" s="2275"/>
      <c r="J751" s="2276"/>
      <c r="K751" s="2072"/>
      <c r="L751" s="2073"/>
      <c r="M751" s="2073"/>
      <c r="N751" s="2074"/>
      <c r="O751" s="2063"/>
      <c r="P751" s="2064"/>
      <c r="Q751" s="2064"/>
      <c r="R751" s="2064"/>
      <c r="S751" s="2065"/>
      <c r="T751" s="2139">
        <f t="shared" si="49"/>
        <v>0</v>
      </c>
      <c r="U751" s="2140"/>
      <c r="V751" s="2140"/>
      <c r="W751" s="2140"/>
      <c r="X751" s="2141"/>
      <c r="Y751" s="2063">
        <v>0</v>
      </c>
      <c r="Z751" s="2064"/>
      <c r="AA751" s="2064"/>
      <c r="AB751" s="2065"/>
      <c r="AC751" s="2139">
        <f t="shared" si="50"/>
        <v>0</v>
      </c>
      <c r="AD751" s="2140"/>
      <c r="AE751" s="2140"/>
      <c r="AF751" s="2140"/>
      <c r="AG751" s="2141"/>
      <c r="AH751" s="2267">
        <v>0</v>
      </c>
      <c r="AI751" s="2268"/>
      <c r="AJ751" s="2268"/>
      <c r="AK751" s="2268"/>
      <c r="AL751" s="2269"/>
      <c r="AM751" s="2360" t="str">
        <f t="shared" si="51"/>
        <v xml:space="preserve"> </v>
      </c>
      <c r="AN751" s="2361"/>
      <c r="AO751" s="236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42"/>
      <c r="C752" s="2043"/>
      <c r="D752" s="2043"/>
      <c r="E752" s="2043"/>
      <c r="F752" s="2044"/>
      <c r="G752" s="2274"/>
      <c r="H752" s="2275"/>
      <c r="I752" s="2275"/>
      <c r="J752" s="2276"/>
      <c r="K752" s="2072"/>
      <c r="L752" s="2073"/>
      <c r="M752" s="2073"/>
      <c r="N752" s="2074"/>
      <c r="O752" s="2063"/>
      <c r="P752" s="2064"/>
      <c r="Q752" s="2064"/>
      <c r="R752" s="2064"/>
      <c r="S752" s="2065"/>
      <c r="T752" s="2139">
        <f t="shared" si="49"/>
        <v>0</v>
      </c>
      <c r="U752" s="2140"/>
      <c r="V752" s="2140"/>
      <c r="W752" s="2140"/>
      <c r="X752" s="2141"/>
      <c r="Y752" s="2063">
        <v>0</v>
      </c>
      <c r="Z752" s="2064"/>
      <c r="AA752" s="2064"/>
      <c r="AB752" s="2065"/>
      <c r="AC752" s="2139">
        <f t="shared" si="50"/>
        <v>0</v>
      </c>
      <c r="AD752" s="2140"/>
      <c r="AE752" s="2140"/>
      <c r="AF752" s="2140"/>
      <c r="AG752" s="2141"/>
      <c r="AH752" s="2267">
        <v>0</v>
      </c>
      <c r="AI752" s="2268"/>
      <c r="AJ752" s="2268"/>
      <c r="AK752" s="2268"/>
      <c r="AL752" s="2269"/>
      <c r="AM752" s="2360" t="str">
        <f t="shared" si="51"/>
        <v xml:space="preserve"> </v>
      </c>
      <c r="AN752" s="2361"/>
      <c r="AO752" s="236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80" t="s">
        <v>130</v>
      </c>
      <c r="C753" s="2181"/>
      <c r="D753" s="2181"/>
      <c r="E753" s="2181"/>
      <c r="F753" s="2183"/>
      <c r="G753" s="2258">
        <f>SUM(G728:J752)</f>
        <v>198</v>
      </c>
      <c r="H753" s="2259"/>
      <c r="I753" s="2259"/>
      <c r="J753" s="2260"/>
      <c r="O753" s="1579" t="s">
        <v>129</v>
      </c>
      <c r="P753" s="1580"/>
      <c r="Q753" s="1580"/>
      <c r="R753" s="1580"/>
      <c r="S753" s="1581"/>
      <c r="T753" s="2139">
        <f>SUM(T728:X752)</f>
        <v>205393</v>
      </c>
      <c r="U753" s="2140"/>
      <c r="V753" s="2140"/>
      <c r="W753" s="2140"/>
      <c r="X753" s="2141"/>
      <c r="AC753" s="1583" t="s">
        <v>967</v>
      </c>
      <c r="AD753" s="1582"/>
      <c r="AE753" s="1582"/>
      <c r="AF753" s="1582"/>
      <c r="AG753" s="1584"/>
      <c r="AH753" s="2363">
        <f>BI696</f>
        <v>0.5479797979797979</v>
      </c>
      <c r="AI753" s="2364"/>
      <c r="AJ753" s="2364"/>
      <c r="AK753" s="2364"/>
      <c r="AL753" s="2365"/>
      <c r="AM753" s="2363">
        <f>BI728</f>
        <v>0.54793863936478537</v>
      </c>
      <c r="AN753" s="2364"/>
      <c r="AO753" s="2365"/>
      <c r="AP753" s="1574"/>
      <c r="AQ753" s="1574"/>
      <c r="AR753" s="1574"/>
      <c r="AS753" s="1574"/>
      <c r="AT753" s="1574"/>
      <c r="AU753" s="1574"/>
      <c r="AV753" s="1574"/>
      <c r="AW753" s="1574"/>
      <c r="AX753" s="1574"/>
      <c r="AY753" s="157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08"/>
      <c r="C754" s="89"/>
      <c r="D754" s="89"/>
      <c r="E754" s="89"/>
      <c r="F754" s="89"/>
      <c r="G754" s="488"/>
      <c r="H754" s="488"/>
      <c r="I754" s="488"/>
      <c r="J754" s="488"/>
      <c r="K754" s="89"/>
      <c r="L754" s="89"/>
      <c r="M754" s="89"/>
      <c r="N754" s="89"/>
      <c r="O754" s="89"/>
      <c r="P754" s="281"/>
      <c r="Q754" s="281"/>
      <c r="R754" s="281"/>
      <c r="S754" s="281"/>
      <c r="T754" s="281"/>
      <c r="Y754" s="489"/>
      <c r="Z754" s="489"/>
      <c r="AA754" s="489"/>
      <c r="AB754" s="489"/>
      <c r="AC754" s="489"/>
      <c r="AD754" s="490"/>
      <c r="AE754" s="491"/>
      <c r="AF754" s="491"/>
      <c r="AG754" s="491"/>
      <c r="AH754" s="491"/>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1065</v>
      </c>
      <c r="C755" s="89"/>
      <c r="D755" s="89"/>
      <c r="E755" s="89"/>
      <c r="F755" s="89"/>
      <c r="G755" s="488"/>
      <c r="H755" s="488"/>
      <c r="I755" s="488"/>
      <c r="J755" s="488"/>
      <c r="K755" s="89"/>
      <c r="L755" s="89"/>
      <c r="M755" s="89"/>
      <c r="N755" s="89"/>
      <c r="O755" s="89"/>
      <c r="P755" s="281"/>
      <c r="Q755" s="281"/>
      <c r="R755" s="281"/>
      <c r="S755" s="281"/>
      <c r="T755" s="281"/>
      <c r="Y755" s="489"/>
      <c r="Z755" s="489"/>
      <c r="AA755" s="489"/>
      <c r="AB755" s="489"/>
      <c r="AC755" s="489"/>
      <c r="AD755" s="490"/>
      <c r="AE755" s="491"/>
      <c r="AF755" s="2428" t="s">
        <v>626</v>
      </c>
      <c r="AG755" s="2428"/>
      <c r="AH755" s="2428"/>
      <c r="AL755" s="58"/>
      <c r="AM755" s="239"/>
      <c r="AN755" s="239"/>
      <c r="AO755" s="239"/>
      <c r="AP755" s="239"/>
      <c r="AQ755" s="239"/>
      <c r="AR755" s="239"/>
      <c r="AS755" s="239"/>
      <c r="AT755" s="239"/>
      <c r="AU755" s="239"/>
      <c r="AV755" s="239"/>
      <c r="AW755" s="239"/>
      <c r="AX755" s="239"/>
      <c r="AY755" s="239"/>
      <c r="AZ755" s="1416"/>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1063</v>
      </c>
      <c r="C756" s="89"/>
      <c r="D756" s="89"/>
      <c r="E756" s="89"/>
      <c r="F756" s="89"/>
      <c r="G756" s="488"/>
      <c r="H756" s="488"/>
      <c r="I756" s="488"/>
      <c r="J756" s="488"/>
      <c r="K756" s="89"/>
      <c r="L756" s="89"/>
      <c r="M756" s="89"/>
      <c r="N756" s="89"/>
      <c r="O756" s="89"/>
      <c r="P756" s="281"/>
      <c r="Q756" s="281"/>
      <c r="R756" s="281"/>
      <c r="S756" s="281"/>
      <c r="T756" s="281"/>
      <c r="Y756" s="489"/>
      <c r="Z756" s="489"/>
      <c r="AA756" s="489"/>
      <c r="AB756" s="489"/>
      <c r="AC756" s="489"/>
      <c r="AD756" s="490"/>
      <c r="AE756" s="491"/>
      <c r="AF756" s="491"/>
      <c r="AG756" s="491"/>
      <c r="AH756" s="491"/>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88"/>
      <c r="H757" s="488"/>
      <c r="I757" s="488"/>
      <c r="J757" s="488"/>
      <c r="K757" s="89"/>
      <c r="L757" s="89"/>
      <c r="M757" s="89"/>
      <c r="N757" s="89"/>
      <c r="O757" s="89"/>
      <c r="P757" s="281"/>
      <c r="Q757" s="281"/>
      <c r="R757" s="281"/>
      <c r="S757" s="281"/>
      <c r="T757" s="281"/>
      <c r="Y757" s="489"/>
      <c r="Z757" s="489"/>
      <c r="AA757" s="489"/>
      <c r="AB757" s="489"/>
      <c r="AC757" s="489"/>
      <c r="AD757" s="489"/>
      <c r="AE757" s="489"/>
      <c r="AF757" s="489"/>
      <c r="AG757" s="489"/>
      <c r="AH757" s="489"/>
      <c r="AI757" s="489"/>
      <c r="AJ757" s="489"/>
      <c r="AK757" s="489"/>
      <c r="AL757" s="489"/>
      <c r="AM757" s="1575"/>
      <c r="AN757" s="1575"/>
      <c r="AO757" s="1575"/>
      <c r="AP757" s="1575"/>
      <c r="AQ757" s="1575"/>
      <c r="AR757" s="1575"/>
      <c r="AS757" s="1575"/>
      <c r="AT757" s="1575"/>
      <c r="AU757" s="1575"/>
      <c r="AV757" s="1575"/>
      <c r="AW757" s="1575"/>
      <c r="AX757" s="1575"/>
      <c r="AY757" s="157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89"/>
      <c r="BA759" s="489"/>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D759" s="489"/>
      <c r="CE759" s="489"/>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8" customHeight="1">
      <c r="A762" s="50"/>
      <c r="B762" s="91"/>
      <c r="C762" s="92" t="s">
        <v>2159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499"/>
      <c r="B763" s="91"/>
      <c r="C763" s="92" t="s">
        <v>2160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09"/>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9" t="s">
        <v>407</v>
      </c>
      <c r="K768" s="2110"/>
      <c r="L768" s="2110"/>
      <c r="M768" s="2110"/>
      <c r="N768" s="2111"/>
      <c r="O768" s="2300" t="s">
        <v>291</v>
      </c>
      <c r="P768" s="2300"/>
      <c r="Q768" s="2300"/>
      <c r="R768" s="2300"/>
      <c r="S768" s="2300"/>
      <c r="T768" s="2285" t="s">
        <v>2152</v>
      </c>
      <c r="U768" s="2286"/>
      <c r="V768" s="2286"/>
      <c r="W768" s="2287"/>
      <c r="X768" s="2109" t="s">
        <v>478</v>
      </c>
      <c r="Y768" s="2110"/>
      <c r="Z768" s="2110"/>
      <c r="AA768" s="2110"/>
      <c r="AB768" s="2111"/>
      <c r="AC768" s="2109" t="s">
        <v>292</v>
      </c>
      <c r="AD768" s="2110"/>
      <c r="AE768" s="2110"/>
      <c r="AF768" s="2110"/>
      <c r="AG768" s="2111"/>
      <c r="AH768" s="1741"/>
      <c r="AI768" s="1808"/>
      <c r="AJ768" s="1808"/>
      <c r="AK768" s="1808"/>
      <c r="AL768" s="180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2"/>
      <c r="K769" s="2113"/>
      <c r="L769" s="2113"/>
      <c r="M769" s="2113"/>
      <c r="N769" s="2114"/>
      <c r="O769" s="2300"/>
      <c r="P769" s="2300"/>
      <c r="Q769" s="2300"/>
      <c r="R769" s="2300"/>
      <c r="S769" s="2300"/>
      <c r="T769" s="2288"/>
      <c r="U769" s="2289"/>
      <c r="V769" s="2289"/>
      <c r="W769" s="2290"/>
      <c r="X769" s="2112"/>
      <c r="Y769" s="2113"/>
      <c r="Z769" s="2113"/>
      <c r="AA769" s="2113"/>
      <c r="AB769" s="2114"/>
      <c r="AC769" s="2112"/>
      <c r="AD769" s="2113"/>
      <c r="AE769" s="2113"/>
      <c r="AF769" s="2113"/>
      <c r="AG769" s="2114"/>
      <c r="AH769" s="1808"/>
      <c r="AI769" s="1808"/>
      <c r="AJ769" s="1808"/>
      <c r="AK769" s="1808"/>
      <c r="AL769" s="180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2"/>
      <c r="K770" s="2113"/>
      <c r="L770" s="2113"/>
      <c r="M770" s="2113"/>
      <c r="N770" s="2114"/>
      <c r="O770" s="2300"/>
      <c r="P770" s="2300"/>
      <c r="Q770" s="2300"/>
      <c r="R770" s="2300"/>
      <c r="S770" s="2300"/>
      <c r="T770" s="2288"/>
      <c r="U770" s="2289"/>
      <c r="V770" s="2289"/>
      <c r="W770" s="2290"/>
      <c r="X770" s="2112"/>
      <c r="Y770" s="2113"/>
      <c r="Z770" s="2113"/>
      <c r="AA770" s="2113"/>
      <c r="AB770" s="2114"/>
      <c r="AC770" s="2112"/>
      <c r="AD770" s="2113"/>
      <c r="AE770" s="2113"/>
      <c r="AF770" s="2113"/>
      <c r="AG770" s="2114"/>
      <c r="AH770" s="1808"/>
      <c r="AI770" s="39"/>
      <c r="AJ770" s="39"/>
      <c r="AK770" s="1808"/>
      <c r="AL770" s="180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5"/>
      <c r="K771" s="2116"/>
      <c r="L771" s="2116"/>
      <c r="M771" s="2116"/>
      <c r="N771" s="2117"/>
      <c r="O771" s="2300"/>
      <c r="P771" s="2300"/>
      <c r="Q771" s="2300"/>
      <c r="R771" s="2300"/>
      <c r="S771" s="2300"/>
      <c r="T771" s="2291"/>
      <c r="U771" s="2292"/>
      <c r="V771" s="2292"/>
      <c r="W771" s="2293"/>
      <c r="X771" s="2115"/>
      <c r="Y771" s="2116"/>
      <c r="Z771" s="2116"/>
      <c r="AA771" s="2116"/>
      <c r="AB771" s="2117"/>
      <c r="AC771" s="2115"/>
      <c r="AD771" s="2116"/>
      <c r="AE771" s="2116"/>
      <c r="AF771" s="2116"/>
      <c r="AG771" s="2117"/>
      <c r="AH771" s="1808"/>
      <c r="AI771" s="1808"/>
      <c r="AJ771" s="1808"/>
      <c r="AK771" s="1808"/>
      <c r="AL771" s="180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2" t="s">
        <v>168</v>
      </c>
      <c r="K772" s="2043"/>
      <c r="L772" s="2043"/>
      <c r="M772" s="2043"/>
      <c r="N772" s="2044"/>
      <c r="O772" s="2079">
        <v>2</v>
      </c>
      <c r="P772" s="2079"/>
      <c r="Q772" s="2079"/>
      <c r="R772" s="2079"/>
      <c r="S772" s="2079"/>
      <c r="T772" s="2072">
        <v>953</v>
      </c>
      <c r="U772" s="2073"/>
      <c r="V772" s="2073"/>
      <c r="W772" s="2074"/>
      <c r="X772" s="2063"/>
      <c r="Y772" s="2064"/>
      <c r="Z772" s="2064"/>
      <c r="AA772" s="2064"/>
      <c r="AB772" s="2065"/>
      <c r="AC772" s="2139">
        <f>X772*O772</f>
        <v>0</v>
      </c>
      <c r="AD772" s="2140"/>
      <c r="AE772" s="2140"/>
      <c r="AF772" s="2140"/>
      <c r="AG772" s="2141"/>
      <c r="AH772" s="1809"/>
      <c r="AI772" s="1808"/>
      <c r="AJ772" s="1808"/>
      <c r="AK772" s="1809"/>
      <c r="AL772" s="1809"/>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2"/>
      <c r="K773" s="2043"/>
      <c r="L773" s="2043"/>
      <c r="M773" s="2043"/>
      <c r="N773" s="2044"/>
      <c r="O773" s="2079"/>
      <c r="P773" s="2079"/>
      <c r="Q773" s="2079"/>
      <c r="R773" s="2079"/>
      <c r="S773" s="2079"/>
      <c r="T773" s="2072"/>
      <c r="U773" s="2073"/>
      <c r="V773" s="2073"/>
      <c r="W773" s="2074"/>
      <c r="X773" s="2063"/>
      <c r="Y773" s="2064"/>
      <c r="Z773" s="2064"/>
      <c r="AA773" s="2064"/>
      <c r="AB773" s="2065"/>
      <c r="AC773" s="2139">
        <f>X773*O773</f>
        <v>0</v>
      </c>
      <c r="AD773" s="2140"/>
      <c r="AE773" s="2140"/>
      <c r="AF773" s="2140"/>
      <c r="AG773" s="2141"/>
      <c r="AH773" s="1809"/>
      <c r="AI773" s="1809"/>
      <c r="AJ773" s="1809"/>
      <c r="AK773" s="1809"/>
      <c r="AL773" s="1809"/>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2"/>
      <c r="K774" s="2043"/>
      <c r="L774" s="2043"/>
      <c r="M774" s="2043"/>
      <c r="N774" s="2044"/>
      <c r="O774" s="2079"/>
      <c r="P774" s="2079"/>
      <c r="Q774" s="2079"/>
      <c r="R774" s="2079"/>
      <c r="S774" s="2079"/>
      <c r="T774" s="2072"/>
      <c r="U774" s="2073"/>
      <c r="V774" s="2073"/>
      <c r="W774" s="2074"/>
      <c r="X774" s="2063"/>
      <c r="Y774" s="2064"/>
      <c r="Z774" s="2064"/>
      <c r="AA774" s="2064"/>
      <c r="AB774" s="2065"/>
      <c r="AC774" s="2139">
        <f>X774*O774</f>
        <v>0</v>
      </c>
      <c r="AD774" s="2140"/>
      <c r="AE774" s="2140"/>
      <c r="AF774" s="2140"/>
      <c r="AG774" s="2141"/>
      <c r="AH774" s="1809"/>
      <c r="AI774" s="1809"/>
      <c r="AJ774" s="1809"/>
      <c r="AK774" s="1809"/>
      <c r="AL774" s="1809"/>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2"/>
      <c r="K775" s="2043"/>
      <c r="L775" s="2043"/>
      <c r="M775" s="2043"/>
      <c r="N775" s="2044"/>
      <c r="O775" s="2079"/>
      <c r="P775" s="2079"/>
      <c r="Q775" s="2079"/>
      <c r="R775" s="2079"/>
      <c r="S775" s="2079"/>
      <c r="T775" s="2072"/>
      <c r="U775" s="2073"/>
      <c r="V775" s="2073"/>
      <c r="W775" s="2074"/>
      <c r="X775" s="2063"/>
      <c r="Y775" s="2064"/>
      <c r="Z775" s="2064"/>
      <c r="AA775" s="2064"/>
      <c r="AB775" s="2065"/>
      <c r="AC775" s="2139">
        <f>X775*O775</f>
        <v>0</v>
      </c>
      <c r="AD775" s="2140"/>
      <c r="AE775" s="2140"/>
      <c r="AF775" s="2140"/>
      <c r="AG775" s="2141"/>
      <c r="AH775" s="1809"/>
      <c r="AI775" s="1809"/>
      <c r="AJ775" s="1809"/>
      <c r="AK775" s="1809"/>
      <c r="AL775" s="1809"/>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0" t="s">
        <v>130</v>
      </c>
      <c r="K776" s="2181"/>
      <c r="L776" s="2181"/>
      <c r="M776" s="2181"/>
      <c r="N776" s="2183"/>
      <c r="O776" s="2302">
        <f>SUM(O772:S775)</f>
        <v>2</v>
      </c>
      <c r="P776" s="2303"/>
      <c r="Q776" s="2303"/>
      <c r="R776" s="2303"/>
      <c r="S776" s="2304"/>
      <c r="X776" s="2383" t="s">
        <v>129</v>
      </c>
      <c r="Y776" s="2384"/>
      <c r="Z776" s="2384"/>
      <c r="AA776" s="2384"/>
      <c r="AB776" s="2385"/>
      <c r="AC776" s="2139">
        <f>SUM(AC772:AG775)</f>
        <v>0</v>
      </c>
      <c r="AD776" s="2140"/>
      <c r="AE776" s="2140"/>
      <c r="AF776" s="2140"/>
      <c r="AG776" s="2141"/>
      <c r="AH776" s="39"/>
      <c r="AI776" s="1809"/>
      <c r="AJ776" s="1809"/>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9" t="s">
        <v>706</v>
      </c>
      <c r="K778" s="2059"/>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9"/>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9" t="s">
        <v>407</v>
      </c>
      <c r="K782" s="2110"/>
      <c r="L782" s="2110"/>
      <c r="M782" s="2110"/>
      <c r="N782" s="2111"/>
      <c r="O782" s="2300" t="s">
        <v>291</v>
      </c>
      <c r="P782" s="2300"/>
      <c r="Q782" s="2300"/>
      <c r="R782" s="2300"/>
      <c r="S782" s="2300"/>
      <c r="T782" s="2285" t="s">
        <v>2152</v>
      </c>
      <c r="U782" s="2286"/>
      <c r="V782" s="2286"/>
      <c r="W782" s="2287"/>
      <c r="X782" s="2109" t="s">
        <v>478</v>
      </c>
      <c r="Y782" s="2110"/>
      <c r="Z782" s="2110"/>
      <c r="AA782" s="2110"/>
      <c r="AB782" s="2111"/>
      <c r="AC782" s="2109" t="s">
        <v>292</v>
      </c>
      <c r="AD782" s="2110"/>
      <c r="AE782" s="2110"/>
      <c r="AF782" s="2110"/>
      <c r="AG782" s="2111"/>
      <c r="AH782" s="2266" t="s">
        <v>2392</v>
      </c>
      <c r="AI782" s="2110"/>
      <c r="AJ782" s="2110"/>
      <c r="AK782" s="2110"/>
      <c r="AL782" s="211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2"/>
      <c r="K783" s="2113"/>
      <c r="L783" s="2113"/>
      <c r="M783" s="2113"/>
      <c r="N783" s="2114"/>
      <c r="O783" s="2300"/>
      <c r="P783" s="2300"/>
      <c r="Q783" s="2300"/>
      <c r="R783" s="2300"/>
      <c r="S783" s="2300"/>
      <c r="T783" s="2288"/>
      <c r="U783" s="2289"/>
      <c r="V783" s="2289"/>
      <c r="W783" s="2290"/>
      <c r="X783" s="2112"/>
      <c r="Y783" s="2113"/>
      <c r="Z783" s="2113"/>
      <c r="AA783" s="2113"/>
      <c r="AB783" s="2114"/>
      <c r="AC783" s="2112"/>
      <c r="AD783" s="2113"/>
      <c r="AE783" s="2113"/>
      <c r="AF783" s="2113"/>
      <c r="AG783" s="2114"/>
      <c r="AH783" s="2112"/>
      <c r="AI783" s="2113"/>
      <c r="AJ783" s="2113"/>
      <c r="AK783" s="2113"/>
      <c r="AL783" s="211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2"/>
      <c r="K784" s="2113"/>
      <c r="L784" s="2113"/>
      <c r="M784" s="2113"/>
      <c r="N784" s="2114"/>
      <c r="O784" s="2300"/>
      <c r="P784" s="2300"/>
      <c r="Q784" s="2300"/>
      <c r="R784" s="2300"/>
      <c r="S784" s="2300"/>
      <c r="T784" s="2288"/>
      <c r="U784" s="2289"/>
      <c r="V784" s="2289"/>
      <c r="W784" s="2290"/>
      <c r="X784" s="2112"/>
      <c r="Y784" s="2113"/>
      <c r="Z784" s="2113"/>
      <c r="AA784" s="2113"/>
      <c r="AB784" s="2114"/>
      <c r="AC784" s="2112"/>
      <c r="AD784" s="2113"/>
      <c r="AE784" s="2113"/>
      <c r="AF784" s="2113"/>
      <c r="AG784" s="2114"/>
      <c r="AH784" s="2112"/>
      <c r="AI784" s="2113"/>
      <c r="AJ784" s="2113"/>
      <c r="AK784" s="2113"/>
      <c r="AL784" s="211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5"/>
      <c r="K785" s="2116"/>
      <c r="L785" s="2116"/>
      <c r="M785" s="2116"/>
      <c r="N785" s="2117"/>
      <c r="O785" s="2300"/>
      <c r="P785" s="2300"/>
      <c r="Q785" s="2300"/>
      <c r="R785" s="2300"/>
      <c r="S785" s="2300"/>
      <c r="T785" s="2291"/>
      <c r="U785" s="2292"/>
      <c r="V785" s="2292"/>
      <c r="W785" s="2293"/>
      <c r="X785" s="2115"/>
      <c r="Y785" s="2116"/>
      <c r="Z785" s="2116"/>
      <c r="AA785" s="2116"/>
      <c r="AB785" s="2117"/>
      <c r="AC785" s="2115"/>
      <c r="AD785" s="2116"/>
      <c r="AE785" s="2116"/>
      <c r="AF785" s="2116"/>
      <c r="AG785" s="2117"/>
      <c r="AH785" s="2115"/>
      <c r="AI785" s="2116"/>
      <c r="AJ785" s="2116"/>
      <c r="AK785" s="2116"/>
      <c r="AL785" s="211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2"/>
      <c r="K786" s="2043"/>
      <c r="L786" s="2043"/>
      <c r="M786" s="2043"/>
      <c r="N786" s="2044"/>
      <c r="O786" s="2079"/>
      <c r="P786" s="2079"/>
      <c r="Q786" s="2079"/>
      <c r="R786" s="2079"/>
      <c r="S786" s="2079"/>
      <c r="T786" s="2072"/>
      <c r="U786" s="2073"/>
      <c r="V786" s="2073"/>
      <c r="W786" s="2074"/>
      <c r="X786" s="2063"/>
      <c r="Y786" s="2064"/>
      <c r="Z786" s="2064"/>
      <c r="AA786" s="2064"/>
      <c r="AB786" s="2065"/>
      <c r="AC786" s="2139">
        <f t="shared" ref="AC786:AC795" si="52">X786*O786</f>
        <v>0</v>
      </c>
      <c r="AD786" s="2140"/>
      <c r="AE786" s="2140"/>
      <c r="AF786" s="2140"/>
      <c r="AG786" s="2141"/>
      <c r="AH786" s="2267"/>
      <c r="AI786" s="2268"/>
      <c r="AJ786" s="2268"/>
      <c r="AK786" s="2268"/>
      <c r="AL786" s="226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2"/>
      <c r="K787" s="2043"/>
      <c r="L787" s="2043"/>
      <c r="M787" s="2043"/>
      <c r="N787" s="2044"/>
      <c r="O787" s="2079"/>
      <c r="P787" s="2079"/>
      <c r="Q787" s="2079"/>
      <c r="R787" s="2079"/>
      <c r="S787" s="2079"/>
      <c r="T787" s="2072"/>
      <c r="U787" s="2073"/>
      <c r="V787" s="2073"/>
      <c r="W787" s="2074"/>
      <c r="X787" s="2063"/>
      <c r="Y787" s="2064"/>
      <c r="Z787" s="2064"/>
      <c r="AA787" s="2064"/>
      <c r="AB787" s="2065"/>
      <c r="AC787" s="2139">
        <f t="shared" si="52"/>
        <v>0</v>
      </c>
      <c r="AD787" s="2140"/>
      <c r="AE787" s="2140"/>
      <c r="AF787" s="2140"/>
      <c r="AG787" s="2141"/>
      <c r="AH787" s="2267"/>
      <c r="AI787" s="2268"/>
      <c r="AJ787" s="2268"/>
      <c r="AK787" s="2268"/>
      <c r="AL787" s="226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2"/>
      <c r="K788" s="2043"/>
      <c r="L788" s="2043"/>
      <c r="M788" s="2043"/>
      <c r="N788" s="2044"/>
      <c r="O788" s="2079"/>
      <c r="P788" s="2079"/>
      <c r="Q788" s="2079"/>
      <c r="R788" s="2079"/>
      <c r="S788" s="2079"/>
      <c r="T788" s="2072"/>
      <c r="U788" s="2073"/>
      <c r="V788" s="2073"/>
      <c r="W788" s="2074"/>
      <c r="X788" s="2063"/>
      <c r="Y788" s="2064"/>
      <c r="Z788" s="2064"/>
      <c r="AA788" s="2064"/>
      <c r="AB788" s="2065"/>
      <c r="AC788" s="2139">
        <f t="shared" si="52"/>
        <v>0</v>
      </c>
      <c r="AD788" s="2140"/>
      <c r="AE788" s="2140"/>
      <c r="AF788" s="2140"/>
      <c r="AG788" s="2141"/>
      <c r="AH788" s="2267"/>
      <c r="AI788" s="2268"/>
      <c r="AJ788" s="2268"/>
      <c r="AK788" s="2268"/>
      <c r="AL788" s="226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2"/>
      <c r="K789" s="2043"/>
      <c r="L789" s="2043"/>
      <c r="M789" s="2043"/>
      <c r="N789" s="2044"/>
      <c r="O789" s="2079"/>
      <c r="P789" s="2079"/>
      <c r="Q789" s="2079"/>
      <c r="R789" s="2079"/>
      <c r="S789" s="2079"/>
      <c r="T789" s="2072"/>
      <c r="U789" s="2073"/>
      <c r="V789" s="2073"/>
      <c r="W789" s="2074"/>
      <c r="X789" s="2063"/>
      <c r="Y789" s="2064"/>
      <c r="Z789" s="2064"/>
      <c r="AA789" s="2064"/>
      <c r="AB789" s="2065"/>
      <c r="AC789" s="2139">
        <f t="shared" si="52"/>
        <v>0</v>
      </c>
      <c r="AD789" s="2140"/>
      <c r="AE789" s="2140"/>
      <c r="AF789" s="2140"/>
      <c r="AG789" s="2141"/>
      <c r="AH789" s="2267"/>
      <c r="AI789" s="2268"/>
      <c r="AJ789" s="2268"/>
      <c r="AK789" s="2268"/>
      <c r="AL789" s="226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2"/>
      <c r="K790" s="2043"/>
      <c r="L790" s="2043"/>
      <c r="M790" s="2043"/>
      <c r="N790" s="2044"/>
      <c r="O790" s="2079"/>
      <c r="P790" s="2079"/>
      <c r="Q790" s="2079"/>
      <c r="R790" s="2079"/>
      <c r="S790" s="2079"/>
      <c r="T790" s="2072"/>
      <c r="U790" s="2073"/>
      <c r="V790" s="2073"/>
      <c r="W790" s="2074"/>
      <c r="X790" s="2063"/>
      <c r="Y790" s="2064"/>
      <c r="Z790" s="2064"/>
      <c r="AA790" s="2064"/>
      <c r="AB790" s="2065"/>
      <c r="AC790" s="2139">
        <f t="shared" si="52"/>
        <v>0</v>
      </c>
      <c r="AD790" s="2140"/>
      <c r="AE790" s="2140"/>
      <c r="AF790" s="2140"/>
      <c r="AG790" s="2141"/>
      <c r="AH790" s="2267"/>
      <c r="AI790" s="2268"/>
      <c r="AJ790" s="2268"/>
      <c r="AK790" s="2268"/>
      <c r="AL790" s="226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2"/>
      <c r="K791" s="2043"/>
      <c r="L791" s="2043"/>
      <c r="M791" s="2043"/>
      <c r="N791" s="2044"/>
      <c r="O791" s="2079"/>
      <c r="P791" s="2079"/>
      <c r="Q791" s="2079"/>
      <c r="R791" s="2079"/>
      <c r="S791" s="2079"/>
      <c r="T791" s="2072"/>
      <c r="U791" s="2073"/>
      <c r="V791" s="2073"/>
      <c r="W791" s="2074"/>
      <c r="X791" s="2063"/>
      <c r="Y791" s="2064"/>
      <c r="Z791" s="2064"/>
      <c r="AA791" s="2064"/>
      <c r="AB791" s="2065"/>
      <c r="AC791" s="2139">
        <f t="shared" si="52"/>
        <v>0</v>
      </c>
      <c r="AD791" s="2140"/>
      <c r="AE791" s="2140"/>
      <c r="AF791" s="2140"/>
      <c r="AG791" s="2141"/>
      <c r="AH791" s="2267"/>
      <c r="AI791" s="2268"/>
      <c r="AJ791" s="2268"/>
      <c r="AK791" s="2268"/>
      <c r="AL791" s="226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2"/>
      <c r="K792" s="2043"/>
      <c r="L792" s="2043"/>
      <c r="M792" s="2043"/>
      <c r="N792" s="2044"/>
      <c r="O792" s="2079"/>
      <c r="P792" s="2079"/>
      <c r="Q792" s="2079"/>
      <c r="R792" s="2079"/>
      <c r="S792" s="2079"/>
      <c r="T792" s="2072"/>
      <c r="U792" s="2073"/>
      <c r="V792" s="2073"/>
      <c r="W792" s="2074"/>
      <c r="X792" s="2063"/>
      <c r="Y792" s="2064"/>
      <c r="Z792" s="2064"/>
      <c r="AA792" s="2064"/>
      <c r="AB792" s="2065"/>
      <c r="AC792" s="2139">
        <f t="shared" si="52"/>
        <v>0</v>
      </c>
      <c r="AD792" s="2140"/>
      <c r="AE792" s="2140"/>
      <c r="AF792" s="2140"/>
      <c r="AG792" s="2141"/>
      <c r="AH792" s="2267"/>
      <c r="AI792" s="2268"/>
      <c r="AJ792" s="2268"/>
      <c r="AK792" s="2268"/>
      <c r="AL792" s="226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2"/>
      <c r="K793" s="2043"/>
      <c r="L793" s="2043"/>
      <c r="M793" s="2043"/>
      <c r="N793" s="2044"/>
      <c r="O793" s="2079"/>
      <c r="P793" s="2079"/>
      <c r="Q793" s="2079"/>
      <c r="R793" s="2079"/>
      <c r="S793" s="2079"/>
      <c r="T793" s="2072"/>
      <c r="U793" s="2073"/>
      <c r="V793" s="2073"/>
      <c r="W793" s="2074"/>
      <c r="X793" s="2063"/>
      <c r="Y793" s="2064"/>
      <c r="Z793" s="2064"/>
      <c r="AA793" s="2064"/>
      <c r="AB793" s="2065"/>
      <c r="AC793" s="2139">
        <f t="shared" si="52"/>
        <v>0</v>
      </c>
      <c r="AD793" s="2140"/>
      <c r="AE793" s="2140"/>
      <c r="AF793" s="2140"/>
      <c r="AG793" s="2141"/>
      <c r="AH793" s="2267"/>
      <c r="AI793" s="2268"/>
      <c r="AJ793" s="2268"/>
      <c r="AK793" s="2268"/>
      <c r="AL793" s="226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2"/>
      <c r="K794" s="2043"/>
      <c r="L794" s="2043"/>
      <c r="M794" s="2043"/>
      <c r="N794" s="2044"/>
      <c r="O794" s="2079"/>
      <c r="P794" s="2079"/>
      <c r="Q794" s="2079"/>
      <c r="R794" s="2079"/>
      <c r="S794" s="2079"/>
      <c r="T794" s="2072"/>
      <c r="U794" s="2073"/>
      <c r="V794" s="2073"/>
      <c r="W794" s="2074"/>
      <c r="X794" s="2063"/>
      <c r="Y794" s="2064"/>
      <c r="Z794" s="2064"/>
      <c r="AA794" s="2064"/>
      <c r="AB794" s="2065"/>
      <c r="AC794" s="2139">
        <f t="shared" si="52"/>
        <v>0</v>
      </c>
      <c r="AD794" s="2140"/>
      <c r="AE794" s="2140"/>
      <c r="AF794" s="2140"/>
      <c r="AG794" s="2141"/>
      <c r="AH794" s="2267"/>
      <c r="AI794" s="2268"/>
      <c r="AJ794" s="2268"/>
      <c r="AK794" s="2268"/>
      <c r="AL794" s="226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2"/>
      <c r="K795" s="2043"/>
      <c r="L795" s="2043"/>
      <c r="M795" s="2043"/>
      <c r="N795" s="2044"/>
      <c r="O795" s="2079"/>
      <c r="P795" s="2079"/>
      <c r="Q795" s="2079"/>
      <c r="R795" s="2079"/>
      <c r="S795" s="2079"/>
      <c r="T795" s="2072"/>
      <c r="U795" s="2073"/>
      <c r="V795" s="2073"/>
      <c r="W795" s="2074"/>
      <c r="X795" s="2063"/>
      <c r="Y795" s="2064"/>
      <c r="Z795" s="2064"/>
      <c r="AA795" s="2064"/>
      <c r="AB795" s="2065"/>
      <c r="AC795" s="2139">
        <f t="shared" si="52"/>
        <v>0</v>
      </c>
      <c r="AD795" s="2140"/>
      <c r="AE795" s="2140"/>
      <c r="AF795" s="2140"/>
      <c r="AG795" s="2141"/>
      <c r="AH795" s="2267"/>
      <c r="AI795" s="2268"/>
      <c r="AJ795" s="2268"/>
      <c r="AK795" s="2268"/>
      <c r="AL795" s="226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0" t="s">
        <v>130</v>
      </c>
      <c r="K796" s="2181"/>
      <c r="L796" s="2181"/>
      <c r="M796" s="2181"/>
      <c r="N796" s="2183"/>
      <c r="O796" s="2301">
        <f>SUM(O786:S795)</f>
        <v>0</v>
      </c>
      <c r="P796" s="2301"/>
      <c r="Q796" s="2301"/>
      <c r="R796" s="2301"/>
      <c r="S796" s="2301"/>
      <c r="X796" s="1596" t="s">
        <v>129</v>
      </c>
      <c r="Y796" s="1597"/>
      <c r="Z796" s="1597"/>
      <c r="AA796" s="1597"/>
      <c r="AB796" s="1598"/>
      <c r="AC796" s="2139">
        <f>SUM(AC786:AG795)</f>
        <v>0</v>
      </c>
      <c r="AD796" s="2140"/>
      <c r="AE796" s="2140"/>
      <c r="AF796" s="2140"/>
      <c r="AG796" s="214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2">
        <f>T753+AC776+AC796</f>
        <v>205393</v>
      </c>
      <c r="Z798" s="2132"/>
      <c r="AA798" s="2132"/>
      <c r="AB798" s="2132"/>
      <c r="AC798" s="213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2">
        <f>(T753+AC776+AC796)*12</f>
        <v>2464716</v>
      </c>
      <c r="Z799" s="2132"/>
      <c r="AA799" s="2132"/>
      <c r="AB799" s="2132"/>
      <c r="AC799" s="2132"/>
      <c r="AZ799" s="58"/>
      <c r="BA799" s="51" t="s">
        <v>667</v>
      </c>
      <c r="BB799" s="51"/>
      <c r="BC799" s="51"/>
      <c r="BD799" s="51"/>
      <c r="BE799" s="51"/>
      <c r="BF799" s="51"/>
      <c r="BG799" s="51"/>
      <c r="BH799" s="51"/>
      <c r="BI799" s="51"/>
      <c r="BJ799" s="51"/>
      <c r="BK799" s="51"/>
      <c r="BL799" s="51"/>
      <c r="BM799" s="51"/>
      <c r="BN799" s="2358" t="s">
        <v>502</v>
      </c>
      <c r="BO799" s="2359"/>
      <c r="BP799" s="58"/>
      <c r="BQ799" s="58"/>
      <c r="BR799" s="58"/>
      <c r="BS799" s="51" t="s">
        <v>669</v>
      </c>
      <c r="BT799" s="51"/>
      <c r="BU799" s="51"/>
      <c r="BV799" s="51"/>
      <c r="BW799" s="51"/>
      <c r="BX799" s="51"/>
      <c r="BY799" s="51"/>
      <c r="BZ799" s="51"/>
      <c r="CA799" s="51"/>
      <c r="CB799" s="2355" t="str">
        <f>T189</f>
        <v>Sacramento</v>
      </c>
      <c r="CC799" s="2356"/>
      <c r="CD799" s="2356"/>
      <c r="CE799" s="2356"/>
      <c r="CF799" s="2356"/>
      <c r="CG799" s="2356"/>
      <c r="CH799" s="235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2369</v>
      </c>
      <c r="BP802" s="54"/>
      <c r="BQ802" s="54"/>
      <c r="BR802" s="54"/>
      <c r="BS802" s="54"/>
      <c r="BT802" s="54"/>
      <c r="BV802" s="53" t="s">
        <v>2370</v>
      </c>
      <c r="CB802" s="107"/>
      <c r="CC802" s="107"/>
      <c r="CD802" s="107"/>
      <c r="CE802" s="107"/>
      <c r="CF802" s="107"/>
      <c r="CG802" s="107"/>
      <c r="CH802" s="107"/>
      <c r="CI802" s="107"/>
      <c r="CJ802" s="107"/>
      <c r="CK802" s="107"/>
      <c r="CL802" s="107"/>
      <c r="CM802" s="107"/>
      <c r="CN802" s="107"/>
      <c r="CO802" s="107"/>
      <c r="CP802" s="107"/>
      <c r="CQ802" s="107"/>
      <c r="CR802" s="179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9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62"/>
      <c r="AA804" s="2263"/>
      <c r="AB804" s="2263"/>
      <c r="AC804" s="2263"/>
      <c r="AD804" s="2263"/>
      <c r="AE804" s="226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9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65"/>
      <c r="AA805" s="2263"/>
      <c r="AB805" s="2263"/>
      <c r="AC805" s="2263"/>
      <c r="AD805" s="2263"/>
      <c r="AE805" s="226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90"/>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99">
        <v>0</v>
      </c>
      <c r="AA806" s="2326"/>
      <c r="AB806" s="2326"/>
      <c r="AC806" s="2326"/>
      <c r="AD806" s="2326"/>
      <c r="AE806" s="232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90"/>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3">
        <f>'Subsidy Contract Calculation'!I30</f>
        <v>0</v>
      </c>
      <c r="AA807" s="2134"/>
      <c r="AB807" s="2134"/>
      <c r="AC807" s="2134"/>
      <c r="AD807" s="2134"/>
      <c r="AE807" s="213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90"/>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90"/>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07">
        <v>365252</v>
      </c>
      <c r="BQ809" s="507">
        <v>421132</v>
      </c>
      <c r="BR809" s="507">
        <v>508000</v>
      </c>
      <c r="BS809" s="507">
        <v>650240</v>
      </c>
      <c r="BT809" s="507">
        <v>724408</v>
      </c>
      <c r="BU809" s="56"/>
      <c r="BV809" s="36" t="s">
        <v>671</v>
      </c>
      <c r="BW809" s="507">
        <v>365252</v>
      </c>
      <c r="BX809" s="507">
        <v>421132</v>
      </c>
      <c r="BY809" s="507">
        <v>508000</v>
      </c>
      <c r="BZ809" s="507">
        <v>650240</v>
      </c>
      <c r="CA809" s="507">
        <v>724408</v>
      </c>
      <c r="CB809" s="61"/>
      <c r="CC809" s="61"/>
      <c r="CD809" s="61"/>
      <c r="CE809" s="61"/>
      <c r="CF809" s="61"/>
      <c r="CG809" s="61"/>
      <c r="CH809" s="61"/>
      <c r="CI809" s="61"/>
      <c r="CJ809" s="61"/>
      <c r="CK809" s="61"/>
      <c r="CL809" s="61"/>
      <c r="CM809" s="61"/>
      <c r="CN809" s="61"/>
      <c r="CO809" s="61"/>
      <c r="CP809" s="61"/>
      <c r="CQ809" s="61"/>
      <c r="CR809" s="1600"/>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5">
        <v>262291</v>
      </c>
      <c r="BQ810" s="505">
        <v>302419</v>
      </c>
      <c r="BR810" s="505">
        <v>364800</v>
      </c>
      <c r="BS810" s="505">
        <v>466944</v>
      </c>
      <c r="BT810" s="505">
        <v>520205</v>
      </c>
      <c r="BU810" s="56"/>
      <c r="BV810" s="36" t="s">
        <v>672</v>
      </c>
      <c r="BW810" s="505">
        <v>262291</v>
      </c>
      <c r="BX810" s="505">
        <v>302419</v>
      </c>
      <c r="BY810" s="505">
        <v>364800</v>
      </c>
      <c r="BZ810" s="505">
        <v>466944</v>
      </c>
      <c r="CA810" s="505">
        <v>520205</v>
      </c>
      <c r="CB810" s="61"/>
      <c r="CC810" s="61"/>
      <c r="CD810" s="61"/>
      <c r="CE810" s="61"/>
      <c r="CF810" s="61"/>
      <c r="CG810" s="61"/>
      <c r="CH810" s="61"/>
      <c r="CI810" s="61"/>
      <c r="CJ810" s="61"/>
      <c r="CK810" s="61"/>
      <c r="CL810" s="61"/>
      <c r="CM810" s="61"/>
      <c r="CN810" s="61"/>
      <c r="CO810" s="61"/>
      <c r="CP810" s="61"/>
      <c r="CQ810" s="61"/>
      <c r="CR810" s="160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8">
        <v>6600</v>
      </c>
      <c r="AA811" s="2029"/>
      <c r="AB811" s="2029"/>
      <c r="AC811" s="2029"/>
      <c r="AD811" s="2029"/>
      <c r="AE811" s="203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07">
        <v>262291</v>
      </c>
      <c r="BQ811" s="507">
        <v>302419</v>
      </c>
      <c r="BR811" s="507">
        <v>364800</v>
      </c>
      <c r="BS811" s="507">
        <v>466944</v>
      </c>
      <c r="BT811" s="507">
        <v>520205</v>
      </c>
      <c r="BU811" s="56"/>
      <c r="BV811" s="36" t="s">
        <v>349</v>
      </c>
      <c r="BW811" s="507">
        <v>262291</v>
      </c>
      <c r="BX811" s="507">
        <v>302419</v>
      </c>
      <c r="BY811" s="507">
        <v>364800</v>
      </c>
      <c r="BZ811" s="507">
        <v>466944</v>
      </c>
      <c r="CA811" s="507">
        <v>520205</v>
      </c>
      <c r="CB811" s="61"/>
      <c r="CC811" s="61"/>
      <c r="CD811" s="61"/>
      <c r="CE811" s="61"/>
      <c r="CF811" s="61"/>
      <c r="CG811" s="61"/>
      <c r="CH811" s="61"/>
      <c r="CI811" s="61"/>
      <c r="CJ811" s="61"/>
      <c r="CK811" s="61"/>
      <c r="CL811" s="61"/>
      <c r="CM811" s="61"/>
      <c r="CN811" s="61"/>
      <c r="CO811" s="61"/>
      <c r="CP811" s="61"/>
      <c r="CQ811" s="61"/>
      <c r="CR811" s="160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8"/>
      <c r="AA812" s="2029"/>
      <c r="AB812" s="2029"/>
      <c r="AC812" s="2029"/>
      <c r="AD812" s="2029"/>
      <c r="AE812" s="203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5">
        <v>230655</v>
      </c>
      <c r="BQ812" s="505">
        <v>265943</v>
      </c>
      <c r="BR812" s="505">
        <v>320800</v>
      </c>
      <c r="BS812" s="505">
        <v>410624</v>
      </c>
      <c r="BT812" s="505">
        <v>457461</v>
      </c>
      <c r="BU812" s="56"/>
      <c r="BV812" s="36" t="s">
        <v>697</v>
      </c>
      <c r="BW812" s="505">
        <v>230655</v>
      </c>
      <c r="BX812" s="505">
        <v>265943</v>
      </c>
      <c r="BY812" s="505">
        <v>320800</v>
      </c>
      <c r="BZ812" s="505">
        <v>410624</v>
      </c>
      <c r="CA812" s="505">
        <v>457461</v>
      </c>
      <c r="CB812" s="61"/>
      <c r="CC812" s="61"/>
      <c r="CD812" s="61"/>
      <c r="CE812" s="61"/>
      <c r="CF812" s="61"/>
      <c r="CG812" s="61"/>
      <c r="CH812" s="61"/>
      <c r="CI812" s="61"/>
      <c r="CJ812" s="61"/>
      <c r="CK812" s="61"/>
      <c r="CL812" s="61"/>
      <c r="CM812" s="61"/>
      <c r="CN812" s="61"/>
      <c r="CO812" s="61"/>
      <c r="CP812" s="61"/>
      <c r="CQ812" s="61"/>
      <c r="CR812" s="1600"/>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8"/>
      <c r="AA813" s="2029"/>
      <c r="AB813" s="2029"/>
      <c r="AC813" s="2029"/>
      <c r="AD813" s="2029"/>
      <c r="AE813" s="203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07">
        <v>262291</v>
      </c>
      <c r="BQ813" s="507">
        <v>302419</v>
      </c>
      <c r="BR813" s="507">
        <v>364800</v>
      </c>
      <c r="BS813" s="507">
        <v>466944</v>
      </c>
      <c r="BT813" s="507">
        <v>520205</v>
      </c>
      <c r="BU813" s="56"/>
      <c r="BV813" s="36" t="s">
        <v>698</v>
      </c>
      <c r="BW813" s="507">
        <v>262291</v>
      </c>
      <c r="BX813" s="507">
        <v>302419</v>
      </c>
      <c r="BY813" s="507">
        <v>364800</v>
      </c>
      <c r="BZ813" s="507">
        <v>466944</v>
      </c>
      <c r="CA813" s="507">
        <v>520205</v>
      </c>
      <c r="CB813" s="61"/>
      <c r="CC813" s="61"/>
      <c r="CD813" s="61"/>
      <c r="CE813" s="61"/>
      <c r="CF813" s="61"/>
      <c r="CG813" s="61"/>
      <c r="CH813" s="61"/>
      <c r="CI813" s="61"/>
      <c r="CJ813" s="61"/>
      <c r="CK813" s="61"/>
      <c r="CL813" s="61"/>
      <c r="CM813" s="61"/>
      <c r="CN813" s="61"/>
      <c r="CO813" s="61"/>
      <c r="CP813" s="61"/>
      <c r="CQ813" s="61"/>
      <c r="CR813" s="160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5" t="s">
        <v>343</v>
      </c>
      <c r="Q814" s="2306"/>
      <c r="R814" s="2306"/>
      <c r="S814" s="2306"/>
      <c r="T814" s="2306"/>
      <c r="U814" s="2306"/>
      <c r="V814" s="2306"/>
      <c r="W814" s="2306"/>
      <c r="X814" s="2306"/>
      <c r="Y814" s="2307"/>
      <c r="Z814" s="2028"/>
      <c r="AA814" s="2029"/>
      <c r="AB814" s="2029"/>
      <c r="AC814" s="2029"/>
      <c r="AD814" s="2029"/>
      <c r="AE814" s="203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5">
        <v>262291</v>
      </c>
      <c r="BQ814" s="505">
        <v>302419</v>
      </c>
      <c r="BR814" s="505">
        <v>364800</v>
      </c>
      <c r="BS814" s="505">
        <v>466944</v>
      </c>
      <c r="BT814" s="505">
        <v>520205</v>
      </c>
      <c r="BU814" s="56"/>
      <c r="BV814" s="36" t="s">
        <v>699</v>
      </c>
      <c r="BW814" s="505">
        <v>262291</v>
      </c>
      <c r="BX814" s="505">
        <v>302419</v>
      </c>
      <c r="BY814" s="505">
        <v>364800</v>
      </c>
      <c r="BZ814" s="505">
        <v>466944</v>
      </c>
      <c r="CA814" s="505">
        <v>520205</v>
      </c>
      <c r="CB814" s="61"/>
      <c r="CC814" s="61"/>
      <c r="CD814" s="61"/>
      <c r="CE814" s="61"/>
      <c r="CF814" s="61"/>
      <c r="CG814" s="61"/>
      <c r="CH814" s="61"/>
      <c r="CI814" s="61"/>
      <c r="CJ814" s="61"/>
      <c r="CK814" s="61"/>
      <c r="CL814" s="61"/>
      <c r="CM814" s="61"/>
      <c r="CN814" s="61"/>
      <c r="CO814" s="61"/>
      <c r="CP814" s="61"/>
      <c r="CQ814" s="61"/>
      <c r="CR814" s="160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3">
        <f>SUM(Z811:AE814)</f>
        <v>6600</v>
      </c>
      <c r="AA815" s="2134"/>
      <c r="AB815" s="2134"/>
      <c r="AC815" s="2134"/>
      <c r="AD815" s="2134"/>
      <c r="AE815" s="213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07">
        <v>365252</v>
      </c>
      <c r="BQ815" s="507">
        <v>421132</v>
      </c>
      <c r="BR815" s="507">
        <v>508000</v>
      </c>
      <c r="BS815" s="507">
        <v>650240</v>
      </c>
      <c r="BT815" s="507">
        <v>724408</v>
      </c>
      <c r="BU815" s="56"/>
      <c r="BV815" s="36" t="s">
        <v>700</v>
      </c>
      <c r="BW815" s="507">
        <v>365252</v>
      </c>
      <c r="BX815" s="507">
        <v>421132</v>
      </c>
      <c r="BY815" s="507">
        <v>508000</v>
      </c>
      <c r="BZ815" s="507">
        <v>650240</v>
      </c>
      <c r="CA815" s="507">
        <v>724408</v>
      </c>
      <c r="CB815" s="61"/>
      <c r="CC815" s="61"/>
      <c r="CD815" s="61"/>
      <c r="CE815" s="61"/>
      <c r="CF815" s="61"/>
      <c r="CG815" s="61"/>
      <c r="CH815" s="61"/>
      <c r="CI815" s="61"/>
      <c r="CJ815" s="61"/>
      <c r="CK815" s="61"/>
      <c r="CL815" s="61"/>
      <c r="CM815" s="61"/>
      <c r="CN815" s="61"/>
      <c r="CO815" s="61"/>
      <c r="CP815" s="61"/>
      <c r="CQ815" s="61"/>
      <c r="CR815" s="160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3">
        <f>Z815+Y799+Z807</f>
        <v>2471316</v>
      </c>
      <c r="AA816" s="2134"/>
      <c r="AB816" s="2134"/>
      <c r="AC816" s="2134"/>
      <c r="AD816" s="2134"/>
      <c r="AE816" s="213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5">
        <v>262291</v>
      </c>
      <c r="BQ816" s="505">
        <v>302419</v>
      </c>
      <c r="BR816" s="505">
        <v>364800</v>
      </c>
      <c r="BS816" s="505">
        <v>466944</v>
      </c>
      <c r="BT816" s="505">
        <v>520205</v>
      </c>
      <c r="BU816" s="56"/>
      <c r="BV816" s="36" t="s">
        <v>701</v>
      </c>
      <c r="BW816" s="505">
        <v>262291</v>
      </c>
      <c r="BX816" s="505">
        <v>302419</v>
      </c>
      <c r="BY816" s="505">
        <v>364800</v>
      </c>
      <c r="BZ816" s="505">
        <v>466944</v>
      </c>
      <c r="CA816" s="505">
        <v>520205</v>
      </c>
      <c r="CB816" s="61"/>
      <c r="CC816" s="61"/>
      <c r="CD816" s="61"/>
      <c r="CE816" s="61"/>
      <c r="CF816" s="61"/>
      <c r="CG816" s="61"/>
      <c r="CH816" s="61"/>
      <c r="CI816" s="61"/>
      <c r="CJ816" s="61"/>
      <c r="CK816" s="61"/>
      <c r="CL816" s="61"/>
      <c r="CM816" s="61"/>
      <c r="CN816" s="61"/>
      <c r="CO816" s="61"/>
      <c r="CP816" s="61"/>
      <c r="CQ816" s="61"/>
      <c r="CR816" s="160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07">
        <v>278397</v>
      </c>
      <c r="BQ817" s="507">
        <v>320989</v>
      </c>
      <c r="BR817" s="507">
        <v>387200</v>
      </c>
      <c r="BS817" s="507">
        <v>495616</v>
      </c>
      <c r="BT817" s="507">
        <v>552147</v>
      </c>
      <c r="BU817" s="56"/>
      <c r="BV817" s="36" t="s">
        <v>702</v>
      </c>
      <c r="BW817" s="507">
        <v>278397</v>
      </c>
      <c r="BX817" s="507">
        <v>320989</v>
      </c>
      <c r="BY817" s="507">
        <v>387200</v>
      </c>
      <c r="BZ817" s="507">
        <v>495616</v>
      </c>
      <c r="CA817" s="507">
        <v>552147</v>
      </c>
      <c r="CB817" s="61"/>
      <c r="CC817" s="61"/>
      <c r="CD817" s="61"/>
      <c r="CE817" s="61"/>
      <c r="CF817" s="61"/>
      <c r="CG817" s="61"/>
      <c r="CH817" s="61"/>
      <c r="CI817" s="61"/>
      <c r="CJ817" s="61"/>
      <c r="CK817" s="61"/>
      <c r="CL817" s="61"/>
      <c r="CM817" s="61"/>
      <c r="CN817" s="61"/>
      <c r="CO817" s="61"/>
      <c r="CP817" s="61"/>
      <c r="CQ817" s="61"/>
      <c r="CR817" s="160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5">
        <v>238133</v>
      </c>
      <c r="BQ818" s="505">
        <v>274565</v>
      </c>
      <c r="BR818" s="505">
        <v>331200</v>
      </c>
      <c r="BS818" s="505">
        <v>423936</v>
      </c>
      <c r="BT818" s="505">
        <v>472291</v>
      </c>
      <c r="BU818" s="56"/>
      <c r="BV818" s="36" t="s">
        <v>704</v>
      </c>
      <c r="BW818" s="505">
        <v>238133</v>
      </c>
      <c r="BX818" s="505">
        <v>274565</v>
      </c>
      <c r="BY818" s="505">
        <v>331200</v>
      </c>
      <c r="BZ818" s="505">
        <v>423936</v>
      </c>
      <c r="CA818" s="505">
        <v>472291</v>
      </c>
      <c r="CB818" s="61"/>
      <c r="CC818" s="61"/>
      <c r="CD818" s="61"/>
      <c r="CE818" s="61"/>
      <c r="CF818" s="61"/>
      <c r="CG818" s="61"/>
      <c r="CH818" s="61"/>
      <c r="CI818" s="61"/>
      <c r="CJ818" s="61"/>
      <c r="CK818" s="61"/>
      <c r="CL818" s="61"/>
      <c r="CM818" s="61"/>
      <c r="CN818" s="61"/>
      <c r="CO818" s="61"/>
      <c r="CP818" s="61"/>
      <c r="CQ818" s="61"/>
      <c r="CR818" s="160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07">
        <v>262291</v>
      </c>
      <c r="BQ819" s="507">
        <v>302419</v>
      </c>
      <c r="BR819" s="507">
        <v>364800</v>
      </c>
      <c r="BS819" s="507">
        <v>466944</v>
      </c>
      <c r="BT819" s="507">
        <v>520205</v>
      </c>
      <c r="BU819" s="56"/>
      <c r="BV819" s="36" t="s">
        <v>707</v>
      </c>
      <c r="BW819" s="507">
        <v>262291</v>
      </c>
      <c r="BX819" s="507">
        <v>302419</v>
      </c>
      <c r="BY819" s="507">
        <v>364800</v>
      </c>
      <c r="BZ819" s="507">
        <v>466944</v>
      </c>
      <c r="CA819" s="507">
        <v>520205</v>
      </c>
      <c r="CB819" s="61"/>
      <c r="CC819" s="61"/>
      <c r="CD819" s="61"/>
      <c r="CE819" s="61"/>
      <c r="CF819" s="61"/>
      <c r="CG819" s="61"/>
      <c r="CH819" s="61"/>
      <c r="CI819" s="61"/>
      <c r="CJ819" s="61"/>
      <c r="CK819" s="61"/>
      <c r="CL819" s="61"/>
      <c r="CM819" s="61"/>
      <c r="CN819" s="61"/>
      <c r="CO819" s="61"/>
      <c r="CP819" s="61"/>
      <c r="CQ819" s="61"/>
      <c r="CR819" s="160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5">
        <v>262291</v>
      </c>
      <c r="BQ820" s="505">
        <v>302419</v>
      </c>
      <c r="BR820" s="505">
        <v>364800</v>
      </c>
      <c r="BS820" s="505">
        <v>466944</v>
      </c>
      <c r="BT820" s="505">
        <v>520205</v>
      </c>
      <c r="BU820" s="56"/>
      <c r="BV820" s="36" t="s">
        <v>708</v>
      </c>
      <c r="BW820" s="505">
        <v>262291</v>
      </c>
      <c r="BX820" s="505">
        <v>302419</v>
      </c>
      <c r="BY820" s="505">
        <v>364800</v>
      </c>
      <c r="BZ820" s="505">
        <v>466944</v>
      </c>
      <c r="CA820" s="505">
        <v>520205</v>
      </c>
      <c r="CB820" s="61"/>
      <c r="CC820" s="61"/>
      <c r="CD820" s="61"/>
      <c r="CE820" s="61"/>
      <c r="CF820" s="61"/>
      <c r="CG820" s="61"/>
      <c r="CH820" s="61"/>
      <c r="CI820" s="61"/>
      <c r="CJ820" s="61"/>
      <c r="CK820" s="61"/>
      <c r="CL820" s="61"/>
      <c r="CM820" s="61"/>
      <c r="CN820" s="61"/>
      <c r="CO820" s="61"/>
      <c r="CP820" s="61"/>
      <c r="CQ820" s="61"/>
      <c r="CR820" s="160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0" t="s">
        <v>131</v>
      </c>
      <c r="N821" s="2270"/>
      <c r="O821" s="2270"/>
      <c r="P821" s="2271"/>
      <c r="Q821" s="2277" t="s">
        <v>298</v>
      </c>
      <c r="R821" s="2277"/>
      <c r="S821" s="2277"/>
      <c r="T821" s="2277"/>
      <c r="U821" s="2277" t="s">
        <v>299</v>
      </c>
      <c r="V821" s="2277"/>
      <c r="W821" s="2277"/>
      <c r="X821" s="2277"/>
      <c r="Y821" s="2277" t="s">
        <v>300</v>
      </c>
      <c r="Z821" s="2277"/>
      <c r="AA821" s="2277"/>
      <c r="AB821" s="2277"/>
      <c r="AC821" s="2277" t="s">
        <v>371</v>
      </c>
      <c r="AD821" s="2277"/>
      <c r="AE821" s="2277"/>
      <c r="AF821" s="2277"/>
      <c r="AG821" s="2424" t="s">
        <v>344</v>
      </c>
      <c r="AH821" s="2424"/>
      <c r="AI821" s="2424"/>
      <c r="AJ821" s="242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07">
        <v>228930</v>
      </c>
      <c r="BQ821" s="507">
        <v>263954</v>
      </c>
      <c r="BR821" s="507">
        <v>318400</v>
      </c>
      <c r="BS821" s="507">
        <v>407552</v>
      </c>
      <c r="BT821" s="507">
        <v>454038</v>
      </c>
      <c r="BU821" s="56"/>
      <c r="BV821" s="36" t="s">
        <v>710</v>
      </c>
      <c r="BW821" s="507">
        <v>228930</v>
      </c>
      <c r="BX821" s="507">
        <v>263954</v>
      </c>
      <c r="BY821" s="507">
        <v>318400</v>
      </c>
      <c r="BZ821" s="507">
        <v>407552</v>
      </c>
      <c r="CA821" s="507">
        <v>454038</v>
      </c>
      <c r="CB821" s="61"/>
      <c r="CC821" s="61"/>
      <c r="CD821" s="61"/>
      <c r="CE821" s="61"/>
      <c r="CF821" s="61"/>
      <c r="CG821" s="61"/>
      <c r="CH821" s="61"/>
      <c r="CI821" s="61"/>
      <c r="CJ821" s="61"/>
      <c r="CK821" s="61"/>
      <c r="CL821" s="61"/>
      <c r="CM821" s="61"/>
      <c r="CN821" s="61"/>
      <c r="CO821" s="61"/>
      <c r="CP821" s="61"/>
      <c r="CQ821" s="61"/>
      <c r="CR821" s="160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2"/>
      <c r="N822" s="2272"/>
      <c r="O822" s="2272"/>
      <c r="P822" s="2273"/>
      <c r="Q822" s="2277"/>
      <c r="R822" s="2277"/>
      <c r="S822" s="2277"/>
      <c r="T822" s="2277"/>
      <c r="U822" s="2277"/>
      <c r="V822" s="2277"/>
      <c r="W822" s="2277"/>
      <c r="X822" s="2277"/>
      <c r="Y822" s="2277"/>
      <c r="Z822" s="2277"/>
      <c r="AA822" s="2277"/>
      <c r="AB822" s="2277"/>
      <c r="AC822" s="2277"/>
      <c r="AD822" s="2277"/>
      <c r="AE822" s="2277"/>
      <c r="AF822" s="2277"/>
      <c r="AG822" s="2424"/>
      <c r="AH822" s="2424"/>
      <c r="AI822" s="2424"/>
      <c r="AJ822" s="242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5">
        <v>262291</v>
      </c>
      <c r="BQ822" s="505">
        <v>302419</v>
      </c>
      <c r="BR822" s="505">
        <v>364800</v>
      </c>
      <c r="BS822" s="505">
        <v>466944</v>
      </c>
      <c r="BT822" s="505">
        <v>520205</v>
      </c>
      <c r="BU822" s="56"/>
      <c r="BV822" s="36" t="s">
        <v>711</v>
      </c>
      <c r="BW822" s="505">
        <v>262291</v>
      </c>
      <c r="BX822" s="505">
        <v>302419</v>
      </c>
      <c r="BY822" s="505">
        <v>364800</v>
      </c>
      <c r="BZ822" s="505">
        <v>466944</v>
      </c>
      <c r="CA822" s="505">
        <v>520205</v>
      </c>
      <c r="CB822" s="61"/>
      <c r="CC822" s="61"/>
      <c r="CD822" s="61"/>
      <c r="CE822" s="61"/>
      <c r="CF822" s="61"/>
      <c r="CG822" s="61"/>
      <c r="CH822" s="61"/>
      <c r="CI822" s="61"/>
      <c r="CJ822" s="61"/>
      <c r="CK822" s="61"/>
      <c r="CL822" s="61"/>
      <c r="CM822" s="61"/>
      <c r="CN822" s="61"/>
      <c r="CO822" s="61"/>
      <c r="CP822" s="61"/>
      <c r="CQ822" s="61"/>
      <c r="CR822" s="160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1" t="s">
        <v>43</v>
      </c>
      <c r="D823" s="2352"/>
      <c r="E823" s="2352"/>
      <c r="F823" s="2352"/>
      <c r="G823" s="2352"/>
      <c r="H823" s="2352"/>
      <c r="I823" s="80"/>
      <c r="J823" s="80"/>
      <c r="K823" s="80"/>
      <c r="L823" s="81"/>
      <c r="M823" s="2261"/>
      <c r="N823" s="2261"/>
      <c r="O823" s="2261"/>
      <c r="P823" s="2261"/>
      <c r="Q823" s="2261">
        <v>12</v>
      </c>
      <c r="R823" s="2261"/>
      <c r="S823" s="2261"/>
      <c r="T823" s="2261"/>
      <c r="U823" s="2261">
        <v>16</v>
      </c>
      <c r="V823" s="2261"/>
      <c r="W823" s="2261"/>
      <c r="X823" s="2261"/>
      <c r="Y823" s="2261">
        <v>19</v>
      </c>
      <c r="Z823" s="2261"/>
      <c r="AA823" s="2261"/>
      <c r="AB823" s="2261"/>
      <c r="AC823" s="2247"/>
      <c r="AD823" s="2248"/>
      <c r="AE823" s="2248"/>
      <c r="AF823" s="2249"/>
      <c r="AG823" s="2247"/>
      <c r="AH823" s="2248"/>
      <c r="AI823" s="2248"/>
      <c r="AJ823" s="224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7">
        <v>238133</v>
      </c>
      <c r="BQ823" s="507">
        <v>274565</v>
      </c>
      <c r="BR823" s="507">
        <v>331200</v>
      </c>
      <c r="BS823" s="507">
        <v>423936</v>
      </c>
      <c r="BT823" s="507">
        <v>472291</v>
      </c>
      <c r="BU823" s="56"/>
      <c r="BV823" s="36" t="s">
        <v>217</v>
      </c>
      <c r="BW823" s="507">
        <v>238133</v>
      </c>
      <c r="BX823" s="507">
        <v>274565</v>
      </c>
      <c r="BY823" s="507">
        <v>331200</v>
      </c>
      <c r="BZ823" s="507">
        <v>423936</v>
      </c>
      <c r="CA823" s="507">
        <v>472291</v>
      </c>
      <c r="CB823" s="61"/>
      <c r="CC823" s="61"/>
      <c r="CD823" s="61"/>
      <c r="CE823" s="61"/>
      <c r="CF823" s="61"/>
      <c r="CG823" s="61"/>
      <c r="CH823" s="61"/>
      <c r="CI823" s="61"/>
      <c r="CJ823" s="61"/>
      <c r="CK823" s="61"/>
      <c r="CL823" s="61"/>
      <c r="CM823" s="61"/>
      <c r="CN823" s="61"/>
      <c r="CO823" s="61"/>
      <c r="CP823" s="61"/>
      <c r="CQ823" s="61"/>
      <c r="CR823" s="160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8" t="s">
        <v>44</v>
      </c>
      <c r="D824" s="2066"/>
      <c r="E824" s="2066"/>
      <c r="F824" s="2066"/>
      <c r="G824" s="2066"/>
      <c r="H824" s="2066"/>
      <c r="I824" s="77"/>
      <c r="J824" s="77"/>
      <c r="K824" s="77"/>
      <c r="L824" s="78"/>
      <c r="M824" s="2261"/>
      <c r="N824" s="2261"/>
      <c r="O824" s="2261"/>
      <c r="P824" s="2261"/>
      <c r="Q824" s="2261"/>
      <c r="R824" s="2261"/>
      <c r="S824" s="2261"/>
      <c r="T824" s="2261"/>
      <c r="U824" s="2261"/>
      <c r="V824" s="2261"/>
      <c r="W824" s="2261"/>
      <c r="X824" s="2261"/>
      <c r="Y824" s="2261"/>
      <c r="Z824" s="2261"/>
      <c r="AA824" s="2261"/>
      <c r="AB824" s="2261"/>
      <c r="AC824" s="2247"/>
      <c r="AD824" s="2248"/>
      <c r="AE824" s="2248"/>
      <c r="AF824" s="2249"/>
      <c r="AG824" s="2247"/>
      <c r="AH824" s="2248"/>
      <c r="AI824" s="2248"/>
      <c r="AJ824" s="224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5">
        <v>238133</v>
      </c>
      <c r="BQ824" s="505">
        <v>274565</v>
      </c>
      <c r="BR824" s="505">
        <v>331200</v>
      </c>
      <c r="BS824" s="505">
        <v>423936</v>
      </c>
      <c r="BT824" s="505">
        <v>472291</v>
      </c>
      <c r="BU824" s="56"/>
      <c r="BV824" s="36" t="s">
        <v>219</v>
      </c>
      <c r="BW824" s="505">
        <v>238133</v>
      </c>
      <c r="BX824" s="505">
        <v>274565</v>
      </c>
      <c r="BY824" s="505">
        <v>331200</v>
      </c>
      <c r="BZ824" s="505">
        <v>423936</v>
      </c>
      <c r="CA824" s="505">
        <v>472291</v>
      </c>
      <c r="CB824" s="61"/>
      <c r="CC824" s="61"/>
      <c r="CD824" s="61"/>
      <c r="CE824" s="61"/>
      <c r="CF824" s="61"/>
      <c r="CG824" s="61"/>
      <c r="CH824" s="61"/>
      <c r="CI824" s="61"/>
      <c r="CJ824" s="61"/>
      <c r="CK824" s="61"/>
      <c r="CL824" s="61"/>
      <c r="CM824" s="61"/>
      <c r="CN824" s="61"/>
      <c r="CO824" s="61"/>
      <c r="CP824" s="61"/>
      <c r="CQ824" s="61"/>
      <c r="CR824" s="160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8" t="s">
        <v>45</v>
      </c>
      <c r="D825" s="2066"/>
      <c r="E825" s="2066"/>
      <c r="F825" s="2066"/>
      <c r="G825" s="2066"/>
      <c r="H825" s="2066"/>
      <c r="I825" s="96"/>
      <c r="J825" s="96"/>
      <c r="K825" s="96"/>
      <c r="L825" s="97"/>
      <c r="M825" s="2261"/>
      <c r="N825" s="2261"/>
      <c r="O825" s="2261"/>
      <c r="P825" s="2261"/>
      <c r="Q825" s="2261">
        <v>6</v>
      </c>
      <c r="R825" s="2261"/>
      <c r="S825" s="2261"/>
      <c r="T825" s="2261"/>
      <c r="U825" s="2261">
        <v>8</v>
      </c>
      <c r="V825" s="2261"/>
      <c r="W825" s="2261"/>
      <c r="X825" s="2261"/>
      <c r="Y825" s="2261">
        <v>11</v>
      </c>
      <c r="Z825" s="2261"/>
      <c r="AA825" s="2261"/>
      <c r="AB825" s="2261"/>
      <c r="AC825" s="2247"/>
      <c r="AD825" s="2248"/>
      <c r="AE825" s="2248"/>
      <c r="AF825" s="2249"/>
      <c r="AG825" s="2247"/>
      <c r="AH825" s="2248"/>
      <c r="AI825" s="2248"/>
      <c r="AJ825" s="224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7">
        <v>262291</v>
      </c>
      <c r="BQ825" s="507">
        <v>302419</v>
      </c>
      <c r="BR825" s="507">
        <v>364800</v>
      </c>
      <c r="BS825" s="507">
        <v>466944</v>
      </c>
      <c r="BT825" s="507">
        <v>520205</v>
      </c>
      <c r="BU825" s="56"/>
      <c r="BV825" s="36" t="s">
        <v>220</v>
      </c>
      <c r="BW825" s="507">
        <v>262291</v>
      </c>
      <c r="BX825" s="507">
        <v>302419</v>
      </c>
      <c r="BY825" s="507">
        <v>364800</v>
      </c>
      <c r="BZ825" s="507">
        <v>466944</v>
      </c>
      <c r="CA825" s="507">
        <v>520205</v>
      </c>
      <c r="CB825" s="61"/>
      <c r="CC825" s="61"/>
      <c r="CD825" s="61"/>
      <c r="CE825" s="61"/>
      <c r="CF825" s="61"/>
      <c r="CG825" s="61"/>
      <c r="CH825" s="61"/>
      <c r="CI825" s="61"/>
      <c r="CJ825" s="61"/>
      <c r="CK825" s="61"/>
      <c r="CL825" s="61"/>
      <c r="CM825" s="61"/>
      <c r="CN825" s="61"/>
      <c r="CO825" s="61"/>
      <c r="CP825" s="61"/>
      <c r="CQ825" s="61"/>
      <c r="CR825" s="160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8" t="s">
        <v>820</v>
      </c>
      <c r="D826" s="2066"/>
      <c r="E826" s="2066"/>
      <c r="F826" s="2066"/>
      <c r="G826" s="2066"/>
      <c r="H826" s="2066"/>
      <c r="I826" s="96"/>
      <c r="J826" s="96"/>
      <c r="K826" s="96"/>
      <c r="L826" s="97"/>
      <c r="M826" s="2261"/>
      <c r="N826" s="2261"/>
      <c r="O826" s="2261"/>
      <c r="P826" s="2261"/>
      <c r="Q826" s="2261">
        <v>22</v>
      </c>
      <c r="R826" s="2261"/>
      <c r="S826" s="2261"/>
      <c r="T826" s="2261"/>
      <c r="U826" s="2261">
        <v>30</v>
      </c>
      <c r="V826" s="2261"/>
      <c r="W826" s="2261"/>
      <c r="X826" s="2261"/>
      <c r="Y826" s="2261">
        <v>39</v>
      </c>
      <c r="Z826" s="2261"/>
      <c r="AA826" s="2261"/>
      <c r="AB826" s="2261"/>
      <c r="AC826" s="2247"/>
      <c r="AD826" s="2248"/>
      <c r="AE826" s="2248"/>
      <c r="AF826" s="2249"/>
      <c r="AG826" s="2247"/>
      <c r="AH826" s="2248"/>
      <c r="AI826" s="2248"/>
      <c r="AJ826" s="224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5">
        <v>262291</v>
      </c>
      <c r="BQ826" s="505">
        <v>302419</v>
      </c>
      <c r="BR826" s="505">
        <v>364800</v>
      </c>
      <c r="BS826" s="505">
        <v>466944</v>
      </c>
      <c r="BT826" s="505">
        <v>520205</v>
      </c>
      <c r="BU826" s="56"/>
      <c r="BV826" s="36" t="s">
        <v>222</v>
      </c>
      <c r="BW826" s="505">
        <v>262291</v>
      </c>
      <c r="BX826" s="505">
        <v>302419</v>
      </c>
      <c r="BY826" s="505">
        <v>364800</v>
      </c>
      <c r="BZ826" s="505">
        <v>466944</v>
      </c>
      <c r="CA826" s="505">
        <v>520205</v>
      </c>
      <c r="CB826" s="61"/>
      <c r="CC826" s="61"/>
      <c r="CD826" s="61"/>
      <c r="CE826" s="61"/>
      <c r="CF826" s="61"/>
      <c r="CG826" s="61"/>
      <c r="CH826" s="61"/>
      <c r="CI826" s="61"/>
      <c r="CJ826" s="61"/>
      <c r="CK826" s="61"/>
      <c r="CL826" s="61"/>
      <c r="CM826" s="61"/>
      <c r="CN826" s="61"/>
      <c r="CO826" s="61"/>
      <c r="CP826" s="61"/>
      <c r="CQ826" s="61"/>
      <c r="CR826" s="160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8" t="s">
        <v>492</v>
      </c>
      <c r="D827" s="2066"/>
      <c r="E827" s="2066"/>
      <c r="F827" s="2066"/>
      <c r="G827" s="2066"/>
      <c r="H827" s="2066"/>
      <c r="I827" s="96"/>
      <c r="J827" s="96"/>
      <c r="K827" s="96"/>
      <c r="L827" s="97"/>
      <c r="M827" s="2261"/>
      <c r="N827" s="2261"/>
      <c r="O827" s="2261"/>
      <c r="P827" s="2261"/>
      <c r="Q827" s="2261">
        <v>9</v>
      </c>
      <c r="R827" s="2261"/>
      <c r="S827" s="2261"/>
      <c r="T827" s="2261"/>
      <c r="U827" s="2261">
        <v>12</v>
      </c>
      <c r="V827" s="2261"/>
      <c r="W827" s="2261"/>
      <c r="X827" s="2261"/>
      <c r="Y827" s="2261">
        <v>16</v>
      </c>
      <c r="Z827" s="2261"/>
      <c r="AA827" s="2261"/>
      <c r="AB827" s="2261"/>
      <c r="AC827" s="2247"/>
      <c r="AD827" s="2248"/>
      <c r="AE827" s="2248"/>
      <c r="AF827" s="2249"/>
      <c r="AG827" s="2247"/>
      <c r="AH827" s="2248"/>
      <c r="AI827" s="2248"/>
      <c r="AJ827" s="224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7">
        <v>327289</v>
      </c>
      <c r="BQ827" s="507">
        <v>377361</v>
      </c>
      <c r="BR827" s="507">
        <v>455200</v>
      </c>
      <c r="BS827" s="507">
        <v>582656</v>
      </c>
      <c r="BT827" s="507">
        <v>649115</v>
      </c>
      <c r="BU827" s="56"/>
      <c r="BV827" s="36" t="s">
        <v>223</v>
      </c>
      <c r="BW827" s="507">
        <v>327289</v>
      </c>
      <c r="BX827" s="507">
        <v>377361</v>
      </c>
      <c r="BY827" s="507">
        <v>455200</v>
      </c>
      <c r="BZ827" s="507">
        <v>582656</v>
      </c>
      <c r="CA827" s="507">
        <v>649115</v>
      </c>
      <c r="CB827" s="61"/>
      <c r="CC827" s="61"/>
      <c r="CD827" s="61"/>
      <c r="CE827" s="61"/>
      <c r="CF827" s="61"/>
      <c r="CG827" s="61"/>
      <c r="CH827" s="61"/>
      <c r="CI827" s="61"/>
      <c r="CJ827" s="61"/>
      <c r="CK827" s="61"/>
      <c r="CL827" s="61"/>
      <c r="CM827" s="61"/>
      <c r="CN827" s="61"/>
      <c r="CO827" s="61"/>
      <c r="CP827" s="61"/>
      <c r="CQ827" s="61"/>
      <c r="CR827" s="1600"/>
      <c r="CS827" s="61"/>
      <c r="CT827" s="61"/>
      <c r="CU827" s="61"/>
      <c r="CV827" s="61"/>
      <c r="CW827" s="61"/>
      <c r="CX827" s="61"/>
      <c r="CY827" s="61"/>
      <c r="CZ827" s="61"/>
      <c r="DA827" s="61"/>
      <c r="DB827" s="61"/>
      <c r="DC827" s="61"/>
      <c r="DD827" s="61"/>
      <c r="DE827" s="61"/>
      <c r="DF827" s="61"/>
    </row>
    <row r="828" spans="1:110" s="7" customFormat="1" ht="12.75" customHeight="1">
      <c r="A828" s="12"/>
      <c r="B828" s="12"/>
      <c r="C828" s="2423" t="s">
        <v>841</v>
      </c>
      <c r="D828" s="2066"/>
      <c r="E828" s="2066"/>
      <c r="F828" s="2066"/>
      <c r="G828" s="2066"/>
      <c r="H828" s="2066"/>
      <c r="I828" s="96"/>
      <c r="J828" s="96"/>
      <c r="K828" s="96"/>
      <c r="L828" s="97"/>
      <c r="M828" s="2261"/>
      <c r="N828" s="2261"/>
      <c r="O828" s="2261"/>
      <c r="P828" s="2261"/>
      <c r="Q828" s="2261"/>
      <c r="R828" s="2261"/>
      <c r="S828" s="2261"/>
      <c r="T828" s="2261"/>
      <c r="U828" s="2261"/>
      <c r="V828" s="2261"/>
      <c r="W828" s="2261"/>
      <c r="X828" s="2261"/>
      <c r="Y828" s="2261"/>
      <c r="Z828" s="2261"/>
      <c r="AA828" s="2261"/>
      <c r="AB828" s="2261"/>
      <c r="AC828" s="2247"/>
      <c r="AD828" s="2248"/>
      <c r="AE828" s="2248"/>
      <c r="AF828" s="2249"/>
      <c r="AG828" s="2247"/>
      <c r="AH828" s="2248"/>
      <c r="AI828" s="2248"/>
      <c r="AJ828" s="224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5">
        <v>238133</v>
      </c>
      <c r="BQ828" s="505">
        <v>274565</v>
      </c>
      <c r="BR828" s="505">
        <v>331200</v>
      </c>
      <c r="BS828" s="505">
        <v>423936</v>
      </c>
      <c r="BT828" s="505">
        <v>472291</v>
      </c>
      <c r="BU828" s="56"/>
      <c r="BV828" s="36" t="s">
        <v>225</v>
      </c>
      <c r="BW828" s="505">
        <v>238133</v>
      </c>
      <c r="BX828" s="505">
        <v>274565</v>
      </c>
      <c r="BY828" s="505">
        <v>331200</v>
      </c>
      <c r="BZ828" s="505">
        <v>423936</v>
      </c>
      <c r="CA828" s="505">
        <v>472291</v>
      </c>
      <c r="CB828" s="61"/>
      <c r="CC828" s="61"/>
      <c r="CD828" s="61"/>
      <c r="CE828" s="61"/>
      <c r="CF828" s="61"/>
      <c r="CG828" s="61"/>
      <c r="CH828" s="61"/>
      <c r="CI828" s="61"/>
      <c r="CJ828" s="61"/>
      <c r="CK828" s="61"/>
      <c r="CL828" s="61"/>
      <c r="CM828" s="61"/>
      <c r="CN828" s="61"/>
      <c r="CO828" s="61"/>
      <c r="CP828" s="61"/>
      <c r="CQ828" s="61"/>
      <c r="CR828" s="160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99" t="s">
        <v>2617</v>
      </c>
      <c r="G829" s="2283"/>
      <c r="H829" s="2283"/>
      <c r="I829" s="2283"/>
      <c r="J829" s="2283"/>
      <c r="K829" s="2283"/>
      <c r="L829" s="2284"/>
      <c r="M829" s="2261"/>
      <c r="N829" s="2261"/>
      <c r="O829" s="2261"/>
      <c r="P829" s="2261"/>
      <c r="Q829" s="2261">
        <v>20</v>
      </c>
      <c r="R829" s="2261"/>
      <c r="S829" s="2261"/>
      <c r="T829" s="2261"/>
      <c r="U829" s="2261">
        <v>20</v>
      </c>
      <c r="V829" s="2261"/>
      <c r="W829" s="2261"/>
      <c r="X829" s="2261"/>
      <c r="Y829" s="2261">
        <v>20</v>
      </c>
      <c r="Z829" s="2261"/>
      <c r="AA829" s="2261"/>
      <c r="AB829" s="2261"/>
      <c r="AC829" s="2247"/>
      <c r="AD829" s="2248"/>
      <c r="AE829" s="2248"/>
      <c r="AF829" s="2249"/>
      <c r="AG829" s="2247"/>
      <c r="AH829" s="2248"/>
      <c r="AI829" s="2248"/>
      <c r="AJ829" s="224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7">
        <v>299104</v>
      </c>
      <c r="BQ829" s="507">
        <v>344864</v>
      </c>
      <c r="BR829" s="507">
        <v>416000</v>
      </c>
      <c r="BS829" s="507">
        <v>532480</v>
      </c>
      <c r="BT829" s="507">
        <v>593216</v>
      </c>
      <c r="BU829" s="56"/>
      <c r="BV829" s="36" t="s">
        <v>226</v>
      </c>
      <c r="BW829" s="507">
        <v>299104</v>
      </c>
      <c r="BX829" s="507">
        <v>344864</v>
      </c>
      <c r="BY829" s="507">
        <v>416000</v>
      </c>
      <c r="BZ829" s="507">
        <v>532480</v>
      </c>
      <c r="CA829" s="507">
        <v>593216</v>
      </c>
      <c r="CB829" s="61"/>
      <c r="CC829" s="61"/>
      <c r="CD829" s="61"/>
      <c r="CE829" s="61"/>
      <c r="CF829" s="61"/>
      <c r="CG829" s="61"/>
      <c r="CH829" s="61"/>
      <c r="CI829" s="61"/>
      <c r="CJ829" s="61"/>
      <c r="CK829" s="61"/>
      <c r="CL829" s="61"/>
      <c r="CM829" s="61"/>
      <c r="CN829" s="61"/>
      <c r="CO829" s="61"/>
      <c r="CP829" s="61"/>
      <c r="CQ829" s="61"/>
      <c r="CR829" s="160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0" t="s">
        <v>129</v>
      </c>
      <c r="D830" s="2181"/>
      <c r="E830" s="2181"/>
      <c r="F830" s="2181"/>
      <c r="G830" s="2181"/>
      <c r="H830" s="2181"/>
      <c r="I830" s="2181"/>
      <c r="J830" s="2181"/>
      <c r="K830" s="2181"/>
      <c r="L830" s="2183"/>
      <c r="M830" s="2279">
        <f>SUM(M823:P829)</f>
        <v>0</v>
      </c>
      <c r="N830" s="2279"/>
      <c r="O830" s="2279"/>
      <c r="P830" s="2279"/>
      <c r="Q830" s="2279">
        <f>SUM(Q823:T829)</f>
        <v>69</v>
      </c>
      <c r="R830" s="2279"/>
      <c r="S830" s="2279"/>
      <c r="T830" s="2279"/>
      <c r="U830" s="2279">
        <f>SUM(U823:X829)</f>
        <v>86</v>
      </c>
      <c r="V830" s="2279"/>
      <c r="W830" s="2279"/>
      <c r="X830" s="2279"/>
      <c r="Y830" s="2279">
        <f>SUM(Y823:AB829)</f>
        <v>105</v>
      </c>
      <c r="Z830" s="2279"/>
      <c r="AA830" s="2279"/>
      <c r="AB830" s="2279"/>
      <c r="AC830" s="2279">
        <f>SUM(AC823:AF829)</f>
        <v>0</v>
      </c>
      <c r="AD830" s="2279"/>
      <c r="AE830" s="2279"/>
      <c r="AF830" s="2279"/>
      <c r="AG830" s="2279">
        <f>SUM(AG823:AJ829)</f>
        <v>0</v>
      </c>
      <c r="AH830" s="2279"/>
      <c r="AI830" s="2279"/>
      <c r="AJ830" s="227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5">
        <v>262291</v>
      </c>
      <c r="BQ830" s="505">
        <v>302419</v>
      </c>
      <c r="BR830" s="505">
        <v>364800</v>
      </c>
      <c r="BS830" s="505">
        <v>466944</v>
      </c>
      <c r="BT830" s="505">
        <v>520205</v>
      </c>
      <c r="BU830" s="56"/>
      <c r="BV830" s="36" t="s">
        <v>227</v>
      </c>
      <c r="BW830" s="505">
        <v>262291</v>
      </c>
      <c r="BX830" s="505">
        <v>302419</v>
      </c>
      <c r="BY830" s="505">
        <v>364800</v>
      </c>
      <c r="BZ830" s="505">
        <v>466944</v>
      </c>
      <c r="CA830" s="505">
        <v>520205</v>
      </c>
      <c r="CB830" s="61"/>
      <c r="CC830" s="61"/>
      <c r="CD830" s="61"/>
      <c r="CE830" s="61"/>
      <c r="CF830" s="61"/>
      <c r="CG830" s="61"/>
      <c r="CH830" s="61"/>
      <c r="CI830" s="61"/>
      <c r="CJ830" s="61"/>
      <c r="CK830" s="61"/>
      <c r="CL830" s="61"/>
      <c r="CM830" s="61"/>
      <c r="CN830" s="61"/>
      <c r="CO830" s="61"/>
      <c r="CP830" s="61"/>
      <c r="CQ830" s="61"/>
      <c r="CR830" s="160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7">
        <v>262291</v>
      </c>
      <c r="BQ831" s="507">
        <v>302419</v>
      </c>
      <c r="BR831" s="507">
        <v>364800</v>
      </c>
      <c r="BS831" s="507">
        <v>466944</v>
      </c>
      <c r="BT831" s="507">
        <v>520205</v>
      </c>
      <c r="BU831" s="56"/>
      <c r="BV831" s="36" t="s">
        <v>228</v>
      </c>
      <c r="BW831" s="507">
        <v>262291</v>
      </c>
      <c r="BX831" s="507">
        <v>302419</v>
      </c>
      <c r="BY831" s="507">
        <v>364800</v>
      </c>
      <c r="BZ831" s="507">
        <v>466944</v>
      </c>
      <c r="CA831" s="507">
        <v>520205</v>
      </c>
      <c r="CB831" s="61"/>
      <c r="CC831" s="61"/>
      <c r="CD831" s="61"/>
      <c r="CE831" s="61"/>
      <c r="CF831" s="61"/>
      <c r="CG831" s="61"/>
      <c r="CH831" s="61"/>
      <c r="CI831" s="61"/>
      <c r="CJ831" s="61"/>
      <c r="CK831" s="61"/>
      <c r="CL831" s="61"/>
      <c r="CM831" s="61"/>
      <c r="CN831" s="61"/>
      <c r="CO831" s="61"/>
      <c r="CP831" s="61"/>
      <c r="CQ831" s="61"/>
      <c r="CR831" s="160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5">
        <v>238133</v>
      </c>
      <c r="BQ832" s="505">
        <v>274565</v>
      </c>
      <c r="BR832" s="505">
        <v>331200</v>
      </c>
      <c r="BS832" s="505">
        <v>423936</v>
      </c>
      <c r="BT832" s="505">
        <v>472291</v>
      </c>
      <c r="BU832" s="56"/>
      <c r="BV832" s="36" t="s">
        <v>230</v>
      </c>
      <c r="BW832" s="505">
        <v>238133</v>
      </c>
      <c r="BX832" s="505">
        <v>274565</v>
      </c>
      <c r="BY832" s="505">
        <v>331200</v>
      </c>
      <c r="BZ832" s="505">
        <v>423936</v>
      </c>
      <c r="CA832" s="505">
        <v>472291</v>
      </c>
      <c r="CB832" s="61"/>
      <c r="CC832" s="61"/>
      <c r="CD832" s="61"/>
      <c r="CE832" s="61"/>
      <c r="CF832" s="61"/>
      <c r="CG832" s="61"/>
      <c r="CH832" s="61"/>
      <c r="CI832" s="61"/>
      <c r="CJ832" s="61"/>
      <c r="CK832" s="61"/>
      <c r="CL832" s="61"/>
      <c r="CM832" s="61"/>
      <c r="CN832" s="61"/>
      <c r="CO832" s="61"/>
      <c r="CP832" s="61"/>
      <c r="CQ832" s="61"/>
      <c r="CR832" s="160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7">
        <v>262291</v>
      </c>
      <c r="BQ833" s="507">
        <v>302419</v>
      </c>
      <c r="BR833" s="507">
        <v>364800</v>
      </c>
      <c r="BS833" s="507">
        <v>466944</v>
      </c>
      <c r="BT833" s="507">
        <v>520205</v>
      </c>
      <c r="BU833" s="56"/>
      <c r="BV833" s="36" t="s">
        <v>231</v>
      </c>
      <c r="BW833" s="507">
        <v>262291</v>
      </c>
      <c r="BX833" s="507">
        <v>302419</v>
      </c>
      <c r="BY833" s="507">
        <v>364800</v>
      </c>
      <c r="BZ833" s="507">
        <v>466944</v>
      </c>
      <c r="CA833" s="507">
        <v>520205</v>
      </c>
      <c r="CB833" s="61"/>
      <c r="CC833" s="61"/>
      <c r="CD833" s="61"/>
      <c r="CE833" s="61"/>
      <c r="CF833" s="61"/>
      <c r="CG833" s="61"/>
      <c r="CH833" s="61"/>
      <c r="CI833" s="61"/>
      <c r="CJ833" s="61"/>
      <c r="CK833" s="61"/>
      <c r="CL833" s="61"/>
      <c r="CM833" s="61"/>
      <c r="CN833" s="61"/>
      <c r="CO833" s="61"/>
      <c r="CP833" s="61"/>
      <c r="CQ833" s="61"/>
      <c r="CR833" s="160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5">
        <v>262291</v>
      </c>
      <c r="BQ834" s="505">
        <v>302419</v>
      </c>
      <c r="BR834" s="505">
        <v>364800</v>
      </c>
      <c r="BS834" s="505">
        <v>466944</v>
      </c>
      <c r="BT834" s="505">
        <v>520205</v>
      </c>
      <c r="BU834" s="56"/>
      <c r="BV834" s="36" t="s">
        <v>232</v>
      </c>
      <c r="BW834" s="505">
        <v>262291</v>
      </c>
      <c r="BX834" s="505">
        <v>302419</v>
      </c>
      <c r="BY834" s="505">
        <v>364800</v>
      </c>
      <c r="BZ834" s="505">
        <v>466944</v>
      </c>
      <c r="CA834" s="505">
        <v>520205</v>
      </c>
      <c r="CB834" s="61"/>
      <c r="CC834" s="61"/>
      <c r="CD834" s="61"/>
      <c r="CE834" s="61"/>
      <c r="CF834" s="61"/>
      <c r="CG834" s="61"/>
      <c r="CH834" s="61"/>
      <c r="CI834" s="61"/>
      <c r="CJ834" s="61"/>
      <c r="CK834" s="61"/>
      <c r="CL834" s="61"/>
      <c r="CM834" s="61"/>
      <c r="CN834" s="61"/>
      <c r="CO834" s="61"/>
      <c r="CP834" s="61"/>
      <c r="CQ834" s="61"/>
      <c r="CR834" s="160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35" t="s">
        <v>2618</v>
      </c>
      <c r="D835" s="2336"/>
      <c r="E835" s="2336"/>
      <c r="F835" s="2336"/>
      <c r="G835" s="2336"/>
      <c r="H835" s="2336"/>
      <c r="I835" s="2336"/>
      <c r="J835" s="2336"/>
      <c r="K835" s="2336"/>
      <c r="L835" s="2336"/>
      <c r="M835" s="2336"/>
      <c r="N835" s="2336"/>
      <c r="O835" s="2336"/>
      <c r="P835" s="2336"/>
      <c r="Q835" s="2336"/>
      <c r="R835" s="2336"/>
      <c r="S835" s="2336"/>
      <c r="T835" s="2336"/>
      <c r="U835" s="2336"/>
      <c r="V835" s="2336"/>
      <c r="W835" s="2336"/>
      <c r="X835" s="2336"/>
      <c r="Y835" s="2336"/>
      <c r="Z835" s="2336"/>
      <c r="AA835" s="2336"/>
      <c r="AB835" s="2336"/>
      <c r="AC835" s="2336"/>
      <c r="AD835" s="2336"/>
      <c r="AE835" s="2336"/>
      <c r="AF835" s="2336"/>
      <c r="AG835" s="2336"/>
      <c r="AH835" s="2336"/>
      <c r="AI835" s="2336"/>
      <c r="AJ835" s="233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7">
        <v>303706</v>
      </c>
      <c r="BQ835" s="507">
        <v>350170</v>
      </c>
      <c r="BR835" s="507">
        <v>422400</v>
      </c>
      <c r="BS835" s="507">
        <v>540672</v>
      </c>
      <c r="BT835" s="507">
        <v>602342</v>
      </c>
      <c r="BU835" s="56"/>
      <c r="BV835" s="36" t="s">
        <v>234</v>
      </c>
      <c r="BW835" s="507">
        <v>303706</v>
      </c>
      <c r="BX835" s="507">
        <v>350170</v>
      </c>
      <c r="BY835" s="507">
        <v>422400</v>
      </c>
      <c r="BZ835" s="507">
        <v>540672</v>
      </c>
      <c r="CA835" s="507">
        <v>602342</v>
      </c>
      <c r="CB835" s="61"/>
      <c r="CC835" s="61"/>
      <c r="CD835" s="61"/>
      <c r="CE835" s="61"/>
      <c r="CF835" s="61"/>
      <c r="CG835" s="61"/>
      <c r="CH835" s="61"/>
      <c r="CI835" s="61"/>
      <c r="CJ835" s="61"/>
      <c r="CK835" s="61"/>
      <c r="CL835" s="61"/>
      <c r="CM835" s="61"/>
      <c r="CN835" s="61"/>
      <c r="CO835" s="61"/>
      <c r="CP835" s="61"/>
      <c r="CQ835" s="61"/>
      <c r="CR835" s="1600"/>
      <c r="CS835" s="61"/>
      <c r="CT835" s="61"/>
      <c r="CU835" s="61"/>
      <c r="CV835" s="61"/>
      <c r="CW835" s="61"/>
      <c r="CX835" s="61"/>
      <c r="CY835" s="61"/>
      <c r="CZ835" s="61"/>
      <c r="DA835" s="61"/>
      <c r="DB835" s="61"/>
      <c r="DC835" s="61"/>
      <c r="DD835" s="61"/>
      <c r="DE835" s="61"/>
      <c r="DF835" s="61"/>
    </row>
    <row r="836" spans="1:110" s="7" customFormat="1" ht="12.75" customHeight="1">
      <c r="A836" s="12"/>
      <c r="B836" s="375"/>
      <c r="C836" s="178" t="s">
        <v>1349</v>
      </c>
      <c r="D836" s="375"/>
      <c r="E836" s="375"/>
      <c r="F836" s="375"/>
      <c r="G836" s="375"/>
      <c r="H836" s="375"/>
      <c r="I836" s="375"/>
      <c r="J836" s="375"/>
      <c r="K836" s="375"/>
      <c r="L836" s="375"/>
      <c r="M836" s="375"/>
      <c r="N836" s="375"/>
      <c r="O836" s="375"/>
      <c r="P836" s="375"/>
      <c r="Q836" s="375"/>
      <c r="R836" s="375"/>
      <c r="S836" s="375"/>
      <c r="T836" s="375"/>
      <c r="U836" s="375"/>
      <c r="V836" s="375"/>
      <c r="W836" s="375"/>
      <c r="X836" s="375"/>
      <c r="Y836" s="375"/>
      <c r="Z836" s="375"/>
      <c r="AA836" s="375"/>
      <c r="AB836" s="375"/>
      <c r="AC836" s="375"/>
      <c r="AD836" s="375"/>
      <c r="AE836" s="375"/>
      <c r="AF836" s="375"/>
      <c r="AG836" s="375"/>
      <c r="AH836" s="375"/>
      <c r="AI836" s="375"/>
      <c r="AJ836" s="375"/>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5">
        <v>299104</v>
      </c>
      <c r="BQ836" s="505">
        <v>344864</v>
      </c>
      <c r="BR836" s="505">
        <v>416000</v>
      </c>
      <c r="BS836" s="505">
        <v>532480</v>
      </c>
      <c r="BT836" s="505">
        <v>593216</v>
      </c>
      <c r="BU836" s="56"/>
      <c r="BV836" s="36" t="s">
        <v>236</v>
      </c>
      <c r="BW836" s="505">
        <v>299104</v>
      </c>
      <c r="BX836" s="505">
        <v>344864</v>
      </c>
      <c r="BY836" s="505">
        <v>416000</v>
      </c>
      <c r="BZ836" s="505">
        <v>532480</v>
      </c>
      <c r="CA836" s="505">
        <v>593216</v>
      </c>
      <c r="CB836" s="61"/>
      <c r="CC836" s="61"/>
      <c r="CD836" s="61"/>
      <c r="CE836" s="61"/>
      <c r="CF836" s="61"/>
      <c r="CG836" s="61"/>
      <c r="CH836" s="61"/>
      <c r="CI836" s="61"/>
      <c r="CJ836" s="61"/>
      <c r="CK836" s="61"/>
      <c r="CL836" s="61"/>
      <c r="CM836" s="61"/>
      <c r="CN836" s="61"/>
      <c r="CO836" s="61"/>
      <c r="CP836" s="61"/>
      <c r="CQ836" s="61"/>
      <c r="CR836" s="160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7">
        <v>262291</v>
      </c>
      <c r="BQ837" s="507">
        <v>302419</v>
      </c>
      <c r="BR837" s="507">
        <v>364800</v>
      </c>
      <c r="BS837" s="507">
        <v>466944</v>
      </c>
      <c r="BT837" s="507">
        <v>520205</v>
      </c>
      <c r="BU837" s="56"/>
      <c r="BV837" s="36" t="s">
        <v>237</v>
      </c>
      <c r="BW837" s="507">
        <v>262291</v>
      </c>
      <c r="BX837" s="507">
        <v>302419</v>
      </c>
      <c r="BY837" s="507">
        <v>364800</v>
      </c>
      <c r="BZ837" s="507">
        <v>466944</v>
      </c>
      <c r="CA837" s="507">
        <v>520205</v>
      </c>
      <c r="CB837" s="107"/>
      <c r="CC837" s="107"/>
      <c r="CD837" s="107"/>
      <c r="CE837" s="107"/>
      <c r="CF837" s="107"/>
      <c r="CG837" s="107"/>
      <c r="CH837" s="107"/>
      <c r="CI837" s="107"/>
      <c r="CJ837" s="107"/>
      <c r="CK837" s="107"/>
      <c r="CL837" s="107"/>
      <c r="CM837" s="107"/>
      <c r="CN837" s="107"/>
      <c r="CO837" s="107"/>
      <c r="CP837" s="107"/>
      <c r="CQ837" s="107"/>
      <c r="CR837" s="1790"/>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5">
        <v>279547</v>
      </c>
      <c r="BQ838" s="505">
        <v>322315</v>
      </c>
      <c r="BR838" s="505">
        <v>388800</v>
      </c>
      <c r="BS838" s="505">
        <v>497664</v>
      </c>
      <c r="BT838" s="505">
        <v>554429</v>
      </c>
      <c r="BU838" s="56"/>
      <c r="BV838" s="36" t="s">
        <v>238</v>
      </c>
      <c r="BW838" s="505">
        <v>279547</v>
      </c>
      <c r="BX838" s="505">
        <v>322315</v>
      </c>
      <c r="BY838" s="505">
        <v>388800</v>
      </c>
      <c r="BZ838" s="505">
        <v>497664</v>
      </c>
      <c r="CA838" s="505">
        <v>554429</v>
      </c>
      <c r="CB838" s="107"/>
      <c r="CC838" s="107"/>
      <c r="CD838" s="107"/>
      <c r="CE838" s="107"/>
      <c r="CF838" s="107"/>
      <c r="CG838" s="107"/>
      <c r="CH838" s="107"/>
      <c r="CI838" s="107"/>
      <c r="CJ838" s="107"/>
      <c r="CK838" s="107"/>
      <c r="CL838" s="107"/>
      <c r="CM838" s="107"/>
      <c r="CN838" s="107"/>
      <c r="CO838" s="107"/>
      <c r="CP838" s="107"/>
      <c r="CQ838" s="107"/>
      <c r="CR838" s="179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7">
        <v>278397</v>
      </c>
      <c r="BQ839" s="507">
        <v>320989</v>
      </c>
      <c r="BR839" s="507">
        <v>387200</v>
      </c>
      <c r="BS839" s="507">
        <v>495616</v>
      </c>
      <c r="BT839" s="507">
        <v>552147</v>
      </c>
      <c r="BU839" s="56"/>
      <c r="BV839" s="36" t="s">
        <v>239</v>
      </c>
      <c r="BW839" s="507">
        <v>278397</v>
      </c>
      <c r="BX839" s="507">
        <v>320989</v>
      </c>
      <c r="BY839" s="507">
        <v>387200</v>
      </c>
      <c r="BZ839" s="507">
        <v>495616</v>
      </c>
      <c r="CA839" s="507">
        <v>552147</v>
      </c>
      <c r="CB839" s="107"/>
      <c r="CC839" s="107"/>
      <c r="CD839" s="107"/>
      <c r="CE839" s="107"/>
      <c r="CF839" s="107"/>
      <c r="CG839" s="107"/>
      <c r="CH839" s="107"/>
      <c r="CI839" s="107"/>
      <c r="CJ839" s="107"/>
      <c r="CK839" s="107"/>
      <c r="CL839" s="107"/>
      <c r="CM839" s="107"/>
      <c r="CN839" s="107"/>
      <c r="CO839" s="107"/>
      <c r="CP839" s="107"/>
      <c r="CQ839" s="107"/>
      <c r="CR839" s="1790"/>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1">
        <v>2800</v>
      </c>
      <c r="X840" s="2131"/>
      <c r="Y840" s="2131"/>
      <c r="Z840" s="2131"/>
      <c r="AA840" s="2131"/>
      <c r="AB840" s="2131"/>
      <c r="AC840" s="213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5">
        <v>262291</v>
      </c>
      <c r="BQ840" s="505">
        <v>302419</v>
      </c>
      <c r="BR840" s="505">
        <v>364800</v>
      </c>
      <c r="BS840" s="505">
        <v>466944</v>
      </c>
      <c r="BT840" s="505">
        <v>520205</v>
      </c>
      <c r="BU840" s="56"/>
      <c r="BV840" s="36" t="s">
        <v>241</v>
      </c>
      <c r="BW840" s="505">
        <v>262291</v>
      </c>
      <c r="BX840" s="505">
        <v>302419</v>
      </c>
      <c r="BY840" s="505">
        <v>364800</v>
      </c>
      <c r="BZ840" s="505">
        <v>466944</v>
      </c>
      <c r="CA840" s="505">
        <v>520205</v>
      </c>
      <c r="CB840" s="107"/>
      <c r="CC840" s="107"/>
      <c r="CD840" s="107"/>
      <c r="CE840" s="107"/>
      <c r="CF840" s="107"/>
      <c r="CG840" s="107"/>
      <c r="CH840" s="107"/>
      <c r="CI840" s="107"/>
      <c r="CJ840" s="107"/>
      <c r="CK840" s="107"/>
      <c r="CL840" s="107"/>
      <c r="CM840" s="107"/>
      <c r="CN840" s="107"/>
      <c r="CO840" s="107"/>
      <c r="CP840" s="107"/>
      <c r="CQ840" s="107"/>
      <c r="CR840" s="179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1">
        <v>8000</v>
      </c>
      <c r="X841" s="2131"/>
      <c r="Y841" s="2131"/>
      <c r="Z841" s="2131"/>
      <c r="AA841" s="2131"/>
      <c r="AB841" s="2131"/>
      <c r="AC841" s="213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7">
        <v>228930</v>
      </c>
      <c r="BQ841" s="507">
        <v>263954</v>
      </c>
      <c r="BR841" s="507">
        <v>318400</v>
      </c>
      <c r="BS841" s="507">
        <v>407552</v>
      </c>
      <c r="BT841" s="507">
        <v>454038</v>
      </c>
      <c r="BU841" s="56"/>
      <c r="BV841" s="36" t="s">
        <v>242</v>
      </c>
      <c r="BW841" s="507">
        <v>228930</v>
      </c>
      <c r="BX841" s="507">
        <v>263954</v>
      </c>
      <c r="BY841" s="507">
        <v>318400</v>
      </c>
      <c r="BZ841" s="507">
        <v>407552</v>
      </c>
      <c r="CA841" s="507">
        <v>454038</v>
      </c>
      <c r="CB841" s="107"/>
      <c r="CC841" s="107"/>
      <c r="CD841" s="107"/>
      <c r="CE841" s="107"/>
      <c r="CF841" s="107"/>
      <c r="CG841" s="107"/>
      <c r="CH841" s="107"/>
      <c r="CI841" s="107"/>
      <c r="CJ841" s="107"/>
      <c r="CK841" s="107"/>
      <c r="CL841" s="107"/>
      <c r="CM841" s="107"/>
      <c r="CN841" s="107"/>
      <c r="CO841" s="107"/>
      <c r="CP841" s="107"/>
      <c r="CQ841" s="107"/>
      <c r="CR841" s="179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1">
        <v>50000</v>
      </c>
      <c r="X842" s="2131"/>
      <c r="Y842" s="2131"/>
      <c r="Z842" s="2131"/>
      <c r="AA842" s="2131"/>
      <c r="AB842" s="2131"/>
      <c r="AC842" s="213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5">
        <v>278397</v>
      </c>
      <c r="BQ842" s="505">
        <v>320989</v>
      </c>
      <c r="BR842" s="505">
        <v>387200</v>
      </c>
      <c r="BS842" s="505">
        <v>495616</v>
      </c>
      <c r="BT842" s="505">
        <v>552147</v>
      </c>
      <c r="BU842" s="56"/>
      <c r="BV842" s="36" t="s">
        <v>670</v>
      </c>
      <c r="BW842" s="505">
        <v>278397</v>
      </c>
      <c r="BX842" s="505">
        <v>320989</v>
      </c>
      <c r="BY842" s="505">
        <v>387200</v>
      </c>
      <c r="BZ842" s="505">
        <v>495616</v>
      </c>
      <c r="CA842" s="505">
        <v>552147</v>
      </c>
      <c r="CB842" s="107"/>
      <c r="CC842" s="107"/>
      <c r="CD842" s="107"/>
      <c r="CE842" s="107"/>
      <c r="CF842" s="107"/>
      <c r="CG842" s="107"/>
      <c r="CH842" s="107"/>
      <c r="CI842" s="107"/>
      <c r="CJ842" s="107"/>
      <c r="CK842" s="107"/>
      <c r="CL842" s="107"/>
      <c r="CM842" s="107"/>
      <c r="CN842" s="107"/>
      <c r="CO842" s="107"/>
      <c r="CP842" s="107"/>
      <c r="CQ842" s="107"/>
      <c r="CR842" s="179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1">
        <v>4440</v>
      </c>
      <c r="X843" s="2131"/>
      <c r="Y843" s="2131"/>
      <c r="Z843" s="2131"/>
      <c r="AA843" s="2131"/>
      <c r="AB843" s="2131"/>
      <c r="AC843" s="213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07">
        <v>262291</v>
      </c>
      <c r="BQ843" s="507">
        <v>302419</v>
      </c>
      <c r="BR843" s="507">
        <v>364800</v>
      </c>
      <c r="BS843" s="507">
        <v>466944</v>
      </c>
      <c r="BT843" s="507">
        <v>520205</v>
      </c>
      <c r="BU843" s="56"/>
      <c r="BV843" s="36" t="s">
        <v>726</v>
      </c>
      <c r="BW843" s="507">
        <v>262291</v>
      </c>
      <c r="BX843" s="507">
        <v>302419</v>
      </c>
      <c r="BY843" s="507">
        <v>364800</v>
      </c>
      <c r="BZ843" s="507">
        <v>466944</v>
      </c>
      <c r="CA843" s="507">
        <v>520205</v>
      </c>
      <c r="CB843" s="107"/>
      <c r="CC843" s="107"/>
      <c r="CD843" s="107"/>
      <c r="CE843" s="107"/>
      <c r="CF843" s="107"/>
      <c r="CG843" s="107"/>
      <c r="CH843" s="107"/>
      <c r="CI843" s="107"/>
      <c r="CJ843" s="107"/>
      <c r="CK843" s="107"/>
      <c r="CL843" s="107"/>
      <c r="CM843" s="107"/>
      <c r="CN843" s="107"/>
      <c r="CO843" s="107"/>
      <c r="CP843" s="107"/>
      <c r="CQ843" s="107"/>
      <c r="CR843" s="179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99" t="s">
        <v>2619</v>
      </c>
      <c r="N844" s="2283"/>
      <c r="O844" s="2283"/>
      <c r="P844" s="2283"/>
      <c r="Q844" s="2283"/>
      <c r="R844" s="2283"/>
      <c r="S844" s="2283"/>
      <c r="T844" s="2283"/>
      <c r="U844" s="2283"/>
      <c r="V844" s="2284"/>
      <c r="W844" s="2131">
        <v>44329</v>
      </c>
      <c r="X844" s="2131"/>
      <c r="Y844" s="2131"/>
      <c r="Z844" s="2131"/>
      <c r="AA844" s="2131"/>
      <c r="AB844" s="2131"/>
      <c r="AC844" s="213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3">
        <f>ROUNDDOWN(BC932*2,2)</f>
        <v>0</v>
      </c>
      <c r="BJ844" s="2393"/>
      <c r="BK844" s="2393"/>
      <c r="BL844" s="2393"/>
      <c r="BM844" s="56"/>
      <c r="BN844" s="56"/>
      <c r="BO844" s="36" t="s">
        <v>727</v>
      </c>
      <c r="BP844" s="505">
        <v>228930</v>
      </c>
      <c r="BQ844" s="505">
        <v>263954</v>
      </c>
      <c r="BR844" s="505">
        <v>318400</v>
      </c>
      <c r="BS844" s="505">
        <v>407552</v>
      </c>
      <c r="BT844" s="505">
        <v>454038</v>
      </c>
      <c r="BU844" s="56"/>
      <c r="BV844" s="36" t="s">
        <v>727</v>
      </c>
      <c r="BW844" s="505">
        <v>228930</v>
      </c>
      <c r="BX844" s="505">
        <v>263954</v>
      </c>
      <c r="BY844" s="505">
        <v>318400</v>
      </c>
      <c r="BZ844" s="505">
        <v>407552</v>
      </c>
      <c r="CA844" s="505">
        <v>454038</v>
      </c>
      <c r="CB844" s="107"/>
      <c r="CC844" s="107"/>
      <c r="CD844" s="107"/>
      <c r="CE844" s="107"/>
      <c r="CF844" s="107"/>
      <c r="CG844" s="107"/>
      <c r="CH844" s="107"/>
      <c r="CI844" s="107"/>
      <c r="CJ844" s="107"/>
      <c r="CK844" s="107"/>
      <c r="CL844" s="107"/>
      <c r="CM844" s="107"/>
      <c r="CN844" s="107"/>
      <c r="CO844" s="107"/>
      <c r="CP844" s="107"/>
      <c r="CQ844" s="107"/>
      <c r="CR844" s="179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3">
        <f>SUM(W840:AC844)</f>
        <v>109569</v>
      </c>
      <c r="X845" s="2134"/>
      <c r="Y845" s="2134"/>
      <c r="Z845" s="2134"/>
      <c r="AA845" s="2134"/>
      <c r="AB845" s="2134"/>
      <c r="AC845" s="213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07">
        <v>260566</v>
      </c>
      <c r="BQ845" s="507">
        <v>300430</v>
      </c>
      <c r="BR845" s="507">
        <v>362400</v>
      </c>
      <c r="BS845" s="507">
        <v>463872</v>
      </c>
      <c r="BT845" s="507">
        <v>516782</v>
      </c>
      <c r="BU845" s="56"/>
      <c r="BV845" s="36" t="s">
        <v>728</v>
      </c>
      <c r="BW845" s="507">
        <v>260566</v>
      </c>
      <c r="BX845" s="507">
        <v>300430</v>
      </c>
      <c r="BY845" s="507">
        <v>362400</v>
      </c>
      <c r="BZ845" s="507">
        <v>463872</v>
      </c>
      <c r="CA845" s="507">
        <v>516782</v>
      </c>
      <c r="CB845" s="107"/>
      <c r="CC845" s="107"/>
      <c r="CD845" s="107"/>
      <c r="CE845" s="107"/>
      <c r="CF845" s="107"/>
      <c r="CG845" s="107"/>
      <c r="CH845" s="107"/>
      <c r="CI845" s="107"/>
      <c r="CJ845" s="107"/>
      <c r="CK845" s="107"/>
      <c r="CL845" s="107"/>
      <c r="CM845" s="107"/>
      <c r="CN845" s="107"/>
      <c r="CO845" s="107"/>
      <c r="CP845" s="107"/>
      <c r="CQ845" s="107"/>
      <c r="CR845" s="1790"/>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5">
        <v>511928</v>
      </c>
      <c r="BQ846" s="505">
        <v>590248</v>
      </c>
      <c r="BR846" s="505">
        <v>712000</v>
      </c>
      <c r="BS846" s="505">
        <v>911360</v>
      </c>
      <c r="BT846" s="505">
        <v>1015312</v>
      </c>
      <c r="BU846" s="56"/>
      <c r="BV846" s="36" t="s">
        <v>729</v>
      </c>
      <c r="BW846" s="505">
        <v>511928</v>
      </c>
      <c r="BX846" s="505">
        <v>590248</v>
      </c>
      <c r="BY846" s="505">
        <v>712000</v>
      </c>
      <c r="BZ846" s="505">
        <v>911360</v>
      </c>
      <c r="CA846" s="505">
        <v>1015312</v>
      </c>
      <c r="CB846" s="107"/>
      <c r="CC846" s="107"/>
      <c r="CD846" s="107"/>
      <c r="CE846" s="107"/>
      <c r="CF846" s="107"/>
      <c r="CG846" s="107"/>
      <c r="CH846" s="107"/>
      <c r="CI846" s="107"/>
      <c r="CJ846" s="107"/>
      <c r="CK846" s="107"/>
      <c r="CL846" s="107"/>
      <c r="CM846" s="107"/>
      <c r="CN846" s="107"/>
      <c r="CO846" s="107"/>
      <c r="CP846" s="107"/>
      <c r="CQ846" s="107"/>
      <c r="CR846" s="179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0" t="s">
        <v>355</v>
      </c>
      <c r="K847" s="2181"/>
      <c r="L847" s="2181"/>
      <c r="M847" s="2181"/>
      <c r="N847" s="2181"/>
      <c r="O847" s="2181"/>
      <c r="P847" s="2181"/>
      <c r="Q847" s="2181"/>
      <c r="R847" s="2181"/>
      <c r="S847" s="2181"/>
      <c r="T847" s="2181"/>
      <c r="U847" s="2181"/>
      <c r="V847" s="2183"/>
      <c r="W847" s="2028">
        <v>144000</v>
      </c>
      <c r="X847" s="2029"/>
      <c r="Y847" s="2029"/>
      <c r="Z847" s="2029"/>
      <c r="AA847" s="2029"/>
      <c r="AB847" s="2029"/>
      <c r="AC847" s="2030"/>
      <c r="AD847" s="914"/>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7">
        <v>238133</v>
      </c>
      <c r="BQ847" s="507">
        <v>274565</v>
      </c>
      <c r="BR847" s="507">
        <v>331200</v>
      </c>
      <c r="BS847" s="507">
        <v>423936</v>
      </c>
      <c r="BT847" s="507">
        <v>472291</v>
      </c>
      <c r="BU847" s="56"/>
      <c r="BV847" s="36" t="s">
        <v>248</v>
      </c>
      <c r="BW847" s="507">
        <v>238133</v>
      </c>
      <c r="BX847" s="507">
        <v>274565</v>
      </c>
      <c r="BY847" s="507">
        <v>331200</v>
      </c>
      <c r="BZ847" s="507">
        <v>423936</v>
      </c>
      <c r="CA847" s="507">
        <v>472291</v>
      </c>
      <c r="CB847" s="107"/>
      <c r="CC847" s="107"/>
      <c r="CD847" s="107"/>
      <c r="CE847" s="107"/>
      <c r="CF847" s="107"/>
      <c r="CG847" s="107"/>
      <c r="CH847" s="107"/>
      <c r="CI847" s="107"/>
      <c r="CJ847" s="107"/>
      <c r="CK847" s="107"/>
      <c r="CL847" s="107"/>
      <c r="CM847" s="107"/>
      <c r="CN847" s="107"/>
      <c r="CO847" s="107"/>
      <c r="CP847" s="107"/>
      <c r="CQ847" s="107"/>
      <c r="CR847" s="179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4"/>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5">
        <v>303706</v>
      </c>
      <c r="BQ848" s="505">
        <v>350170</v>
      </c>
      <c r="BR848" s="505">
        <v>422400</v>
      </c>
      <c r="BS848" s="505">
        <v>540672</v>
      </c>
      <c r="BT848" s="505">
        <v>602342</v>
      </c>
      <c r="BU848" s="56"/>
      <c r="BV848" s="36" t="s">
        <v>249</v>
      </c>
      <c r="BW848" s="505">
        <v>303706</v>
      </c>
      <c r="BX848" s="505">
        <v>350170</v>
      </c>
      <c r="BY848" s="505">
        <v>422400</v>
      </c>
      <c r="BZ848" s="505">
        <v>540672</v>
      </c>
      <c r="CA848" s="505">
        <v>602342</v>
      </c>
      <c r="CB848" s="107"/>
      <c r="CC848" s="107"/>
      <c r="CD848" s="107"/>
      <c r="CE848" s="107"/>
      <c r="CF848" s="107"/>
      <c r="CG848" s="107"/>
      <c r="CH848" s="107"/>
      <c r="CI848" s="107"/>
      <c r="CJ848" s="107"/>
      <c r="CK848" s="107"/>
      <c r="CL848" s="107"/>
      <c r="CM848" s="107"/>
      <c r="CN848" s="107"/>
      <c r="CO848" s="107"/>
      <c r="CP848" s="107"/>
      <c r="CQ848" s="107"/>
      <c r="CR848" s="179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80">
        <v>3000</v>
      </c>
      <c r="X849" s="2280"/>
      <c r="Y849" s="2280"/>
      <c r="Z849" s="2280"/>
      <c r="AA849" s="2280"/>
      <c r="AB849" s="2280"/>
      <c r="AC849" s="228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6">
        <v>440028</v>
      </c>
      <c r="BQ849" s="506">
        <v>507348</v>
      </c>
      <c r="BR849" s="507">
        <v>612000</v>
      </c>
      <c r="BS849" s="506">
        <v>783360</v>
      </c>
      <c r="BT849" s="506">
        <v>872712</v>
      </c>
      <c r="BU849" s="56"/>
      <c r="BV849" s="36" t="s">
        <v>250</v>
      </c>
      <c r="BW849" s="506">
        <v>440028</v>
      </c>
      <c r="BX849" s="506">
        <v>507348</v>
      </c>
      <c r="BY849" s="506">
        <v>612000</v>
      </c>
      <c r="BZ849" s="506">
        <v>783360</v>
      </c>
      <c r="CA849" s="506">
        <v>872712</v>
      </c>
      <c r="CB849" s="107"/>
      <c r="CC849" s="107"/>
      <c r="CD849" s="107"/>
      <c r="CE849" s="107"/>
      <c r="CF849" s="107"/>
      <c r="CG849" s="107"/>
      <c r="CH849" s="107"/>
      <c r="CI849" s="107"/>
      <c r="CJ849" s="107"/>
      <c r="CK849" s="107"/>
      <c r="CL849" s="107"/>
      <c r="CM849" s="107"/>
      <c r="CN849" s="107"/>
      <c r="CO849" s="107"/>
      <c r="CP849" s="107"/>
      <c r="CQ849" s="107"/>
      <c r="CR849" s="1790"/>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80">
        <v>4000</v>
      </c>
      <c r="X850" s="2280"/>
      <c r="Y850" s="2280"/>
      <c r="Z850" s="2280"/>
      <c r="AA850" s="2280"/>
      <c r="AB850" s="2280"/>
      <c r="AC850" s="228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5">
        <v>303706</v>
      </c>
      <c r="BQ850" s="505">
        <v>350170</v>
      </c>
      <c r="BR850" s="505">
        <v>422400</v>
      </c>
      <c r="BS850" s="505">
        <v>540672</v>
      </c>
      <c r="BT850" s="505">
        <v>602342</v>
      </c>
      <c r="BU850" s="56"/>
      <c r="BV850" s="36" t="s">
        <v>736</v>
      </c>
      <c r="BW850" s="505">
        <v>303706</v>
      </c>
      <c r="BX850" s="505">
        <v>350170</v>
      </c>
      <c r="BY850" s="505">
        <v>422400</v>
      </c>
      <c r="BZ850" s="505">
        <v>540672</v>
      </c>
      <c r="CA850" s="505">
        <v>602342</v>
      </c>
      <c r="CB850" s="107"/>
      <c r="CC850" s="107"/>
      <c r="CD850" s="107"/>
      <c r="CE850" s="107"/>
      <c r="CF850" s="107"/>
      <c r="CG850" s="107"/>
      <c r="CH850" s="107"/>
      <c r="CI850" s="107"/>
      <c r="CJ850" s="107"/>
      <c r="CK850" s="107"/>
      <c r="CL850" s="107"/>
      <c r="CM850" s="107"/>
      <c r="CN850" s="107"/>
      <c r="CO850" s="107"/>
      <c r="CP850" s="107"/>
      <c r="CQ850" s="107"/>
      <c r="CR850" s="1790"/>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80">
        <v>50000</v>
      </c>
      <c r="X851" s="2280"/>
      <c r="Y851" s="2280"/>
      <c r="Z851" s="2280"/>
      <c r="AA851" s="2280"/>
      <c r="AB851" s="2280"/>
      <c r="AC851" s="228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8"/>
      <c r="BH851" s="2308"/>
      <c r="BI851" s="2308"/>
      <c r="BJ851" s="2308"/>
      <c r="BK851" s="2308"/>
      <c r="BL851" s="2308"/>
      <c r="BM851" s="56"/>
      <c r="BN851" s="56"/>
      <c r="BO851" s="36" t="s">
        <v>737</v>
      </c>
      <c r="BP851" s="506">
        <v>440028</v>
      </c>
      <c r="BQ851" s="506">
        <v>507348</v>
      </c>
      <c r="BR851" s="506">
        <v>612000</v>
      </c>
      <c r="BS851" s="506">
        <v>783360</v>
      </c>
      <c r="BT851" s="506">
        <v>872712</v>
      </c>
      <c r="BU851" s="56"/>
      <c r="BV851" s="36" t="s">
        <v>737</v>
      </c>
      <c r="BW851" s="506">
        <v>440028</v>
      </c>
      <c r="BX851" s="506">
        <v>507348</v>
      </c>
      <c r="BY851" s="506">
        <v>612000</v>
      </c>
      <c r="BZ851" s="506">
        <v>783360</v>
      </c>
      <c r="CA851" s="506">
        <v>872712</v>
      </c>
      <c r="CB851" s="107"/>
      <c r="CC851" s="107"/>
      <c r="CD851" s="107"/>
      <c r="CE851" s="107"/>
      <c r="CF851" s="107"/>
      <c r="CG851" s="107"/>
      <c r="CH851" s="107"/>
      <c r="CI851" s="107"/>
      <c r="CJ851" s="107"/>
      <c r="CK851" s="107"/>
      <c r="CL851" s="107"/>
      <c r="CM851" s="107"/>
      <c r="CN851" s="107"/>
      <c r="CO851" s="107"/>
      <c r="CP851" s="107"/>
      <c r="CQ851" s="107"/>
      <c r="CR851" s="1790"/>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80">
        <v>140000</v>
      </c>
      <c r="X852" s="2280"/>
      <c r="Y852" s="2280"/>
      <c r="Z852" s="2280"/>
      <c r="AA852" s="2280"/>
      <c r="AB852" s="2280"/>
      <c r="AC852" s="228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5">
        <v>303706</v>
      </c>
      <c r="BQ852" s="505">
        <v>350170</v>
      </c>
      <c r="BR852" s="505">
        <v>422400</v>
      </c>
      <c r="BS852" s="505">
        <v>540672</v>
      </c>
      <c r="BT852" s="505">
        <v>602342</v>
      </c>
      <c r="BU852" s="56"/>
      <c r="BV852" s="36" t="s">
        <v>738</v>
      </c>
      <c r="BW852" s="505">
        <v>303706</v>
      </c>
      <c r="BX852" s="505">
        <v>350170</v>
      </c>
      <c r="BY852" s="505">
        <v>422400</v>
      </c>
      <c r="BZ852" s="505">
        <v>540672</v>
      </c>
      <c r="CA852" s="505">
        <v>602342</v>
      </c>
      <c r="CB852" s="107"/>
      <c r="CC852" s="107"/>
      <c r="CD852" s="107"/>
      <c r="CE852" s="107"/>
      <c r="CF852" s="107"/>
      <c r="CG852" s="107"/>
      <c r="CH852" s="107"/>
      <c r="CI852" s="107"/>
      <c r="CJ852" s="107"/>
      <c r="CK852" s="107"/>
      <c r="CL852" s="107"/>
      <c r="CM852" s="107"/>
      <c r="CN852" s="107"/>
      <c r="CO852" s="107"/>
      <c r="CP852" s="107"/>
      <c r="CQ852" s="107"/>
      <c r="CR852" s="1790"/>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94">
        <f>SUM(W849:AC852)</f>
        <v>197000</v>
      </c>
      <c r="X853" s="2294"/>
      <c r="Y853" s="2294"/>
      <c r="Z853" s="2294"/>
      <c r="AA853" s="2294"/>
      <c r="AB853" s="2294"/>
      <c r="AC853" s="229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07">
        <v>230655</v>
      </c>
      <c r="BQ853" s="507">
        <v>265943</v>
      </c>
      <c r="BR853" s="507">
        <v>320800</v>
      </c>
      <c r="BS853" s="507">
        <v>410624</v>
      </c>
      <c r="BT853" s="507">
        <v>457461</v>
      </c>
      <c r="BU853" s="56"/>
      <c r="BV853" s="36" t="s">
        <v>739</v>
      </c>
      <c r="BW853" s="507">
        <v>230655</v>
      </c>
      <c r="BX853" s="507">
        <v>265943</v>
      </c>
      <c r="BY853" s="507">
        <v>320800</v>
      </c>
      <c r="BZ853" s="507">
        <v>410624</v>
      </c>
      <c r="CA853" s="507">
        <v>457461</v>
      </c>
      <c r="CB853" s="107"/>
      <c r="CC853" s="107"/>
      <c r="CD853" s="107"/>
      <c r="CE853" s="107"/>
      <c r="CF853" s="107"/>
      <c r="CG853" s="107"/>
      <c r="CH853" s="107"/>
      <c r="CI853" s="107"/>
      <c r="CJ853" s="107"/>
      <c r="CK853" s="107"/>
      <c r="CL853" s="107"/>
      <c r="CM853" s="107"/>
      <c r="CN853" s="107"/>
      <c r="CO853" s="107"/>
      <c r="CP853" s="107"/>
      <c r="CQ853" s="107"/>
      <c r="CR853" s="179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81">
        <f>SUM(AZ821:AZ849)</f>
        <v>0</v>
      </c>
      <c r="BA854" s="2281"/>
      <c r="BB854" s="21"/>
      <c r="BC854" s="21"/>
      <c r="BD854" s="21"/>
      <c r="BO854" s="36" t="s">
        <v>740</v>
      </c>
      <c r="BP854" s="505">
        <v>262291</v>
      </c>
      <c r="BQ854" s="505">
        <v>302419</v>
      </c>
      <c r="BR854" s="505">
        <v>364800</v>
      </c>
      <c r="BS854" s="505">
        <v>466944</v>
      </c>
      <c r="BT854" s="505">
        <v>520205</v>
      </c>
      <c r="BU854" s="56"/>
      <c r="BV854" s="36" t="s">
        <v>740</v>
      </c>
      <c r="BW854" s="505">
        <v>262291</v>
      </c>
      <c r="BX854" s="505">
        <v>302419</v>
      </c>
      <c r="BY854" s="505">
        <v>364800</v>
      </c>
      <c r="BZ854" s="505">
        <v>466944</v>
      </c>
      <c r="CA854" s="505">
        <v>520205</v>
      </c>
      <c r="CB854" s="107"/>
      <c r="CC854" s="107"/>
      <c r="CD854" s="107"/>
      <c r="CE854" s="107"/>
      <c r="CF854" s="107"/>
      <c r="CG854" s="107"/>
      <c r="CH854" s="107"/>
      <c r="CI854" s="107"/>
      <c r="CJ854" s="107"/>
      <c r="CK854" s="107"/>
      <c r="CL854" s="107"/>
      <c r="CM854" s="107"/>
      <c r="CN854" s="107"/>
      <c r="CO854" s="107"/>
      <c r="CP854" s="107"/>
      <c r="CQ854" s="107"/>
      <c r="CR854" s="1790"/>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36">
        <v>154600</v>
      </c>
      <c r="X855" s="2137"/>
      <c r="Y855" s="2137"/>
      <c r="Z855" s="2137"/>
      <c r="AA855" s="2137"/>
      <c r="AB855" s="2137"/>
      <c r="AC855" s="2138"/>
      <c r="AD855" s="917"/>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07">
        <v>262291</v>
      </c>
      <c r="BQ855" s="507">
        <v>302419</v>
      </c>
      <c r="BR855" s="507">
        <v>364800</v>
      </c>
      <c r="BS855" s="507">
        <v>466944</v>
      </c>
      <c r="BT855" s="507">
        <v>520205</v>
      </c>
      <c r="BU855" s="56"/>
      <c r="BV855" s="36" t="s">
        <v>741</v>
      </c>
      <c r="BW855" s="507">
        <v>262291</v>
      </c>
      <c r="BX855" s="507">
        <v>302419</v>
      </c>
      <c r="BY855" s="507">
        <v>364800</v>
      </c>
      <c r="BZ855" s="507">
        <v>466944</v>
      </c>
      <c r="CA855" s="507">
        <v>520205</v>
      </c>
      <c r="CB855" s="107"/>
      <c r="CC855" s="107"/>
      <c r="CD855" s="107"/>
      <c r="CE855" s="107"/>
      <c r="CF855" s="107"/>
      <c r="CG855" s="107"/>
      <c r="CH855" s="107"/>
      <c r="CI855" s="107"/>
      <c r="CJ855" s="107"/>
      <c r="CK855" s="107"/>
      <c r="CL855" s="107"/>
      <c r="CM855" s="107"/>
      <c r="CN855" s="107"/>
      <c r="CO855" s="107"/>
      <c r="CP855" s="107"/>
      <c r="CQ855" s="107"/>
      <c r="CR855" s="1790"/>
      <c r="CS855" s="107"/>
      <c r="CT855" s="107"/>
      <c r="CU855" s="107"/>
      <c r="CV855" s="107"/>
      <c r="CW855" s="107"/>
      <c r="CX855" s="107"/>
      <c r="CY855" s="107"/>
      <c r="CZ855" s="107"/>
      <c r="DA855" s="107"/>
      <c r="DB855" s="107"/>
      <c r="DC855" s="107"/>
      <c r="DD855" s="107"/>
      <c r="DE855" s="107"/>
      <c r="DF855" s="107"/>
    </row>
    <row r="856" spans="1:110" s="51" customFormat="1" ht="12.75" customHeight="1">
      <c r="A856" s="714"/>
      <c r="B856" s="714"/>
      <c r="C856" s="50" t="s">
        <v>357</v>
      </c>
      <c r="D856" s="714"/>
      <c r="E856" s="714"/>
      <c r="F856" s="714"/>
      <c r="G856" s="714"/>
      <c r="H856" s="714"/>
      <c r="I856" s="714"/>
      <c r="J856" s="185" t="s">
        <v>2007</v>
      </c>
      <c r="K856" s="77"/>
      <c r="L856" s="77"/>
      <c r="M856" s="77"/>
      <c r="N856" s="77"/>
      <c r="O856" s="77"/>
      <c r="P856" s="77"/>
      <c r="Q856" s="77"/>
      <c r="R856" s="77"/>
      <c r="S856" s="77"/>
      <c r="T856" s="2342">
        <v>2</v>
      </c>
      <c r="U856" s="2184"/>
      <c r="V856" s="2343"/>
      <c r="W856" s="1486"/>
      <c r="X856" s="1487"/>
      <c r="Y856" s="1487"/>
      <c r="Z856" s="1487"/>
      <c r="AA856" s="1487"/>
      <c r="AB856" s="1487"/>
      <c r="AC856" s="1488"/>
      <c r="AD856" s="917"/>
      <c r="AE856" s="714"/>
      <c r="AF856" s="714"/>
      <c r="AG856" s="714"/>
      <c r="AH856" s="714"/>
      <c r="AI856" s="714"/>
      <c r="AJ856" s="714"/>
      <c r="AK856" s="714"/>
      <c r="AL856" s="714"/>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5">
        <v>299104</v>
      </c>
      <c r="BQ856" s="505">
        <v>344864</v>
      </c>
      <c r="BR856" s="505">
        <v>416000</v>
      </c>
      <c r="BS856" s="505">
        <v>532480</v>
      </c>
      <c r="BT856" s="505">
        <v>593216</v>
      </c>
      <c r="BU856" s="56"/>
      <c r="BV856" s="36" t="s">
        <v>742</v>
      </c>
      <c r="BW856" s="505">
        <v>299104</v>
      </c>
      <c r="BX856" s="505">
        <v>344864</v>
      </c>
      <c r="BY856" s="505">
        <v>416000</v>
      </c>
      <c r="BZ856" s="505">
        <v>532480</v>
      </c>
      <c r="CA856" s="505">
        <v>593216</v>
      </c>
      <c r="CB856" s="107"/>
      <c r="CC856" s="107"/>
      <c r="CD856" s="107"/>
      <c r="CE856" s="107"/>
      <c r="CF856" s="107"/>
      <c r="CG856" s="107"/>
      <c r="CH856" s="107"/>
      <c r="CI856" s="107"/>
      <c r="CJ856" s="107"/>
      <c r="CK856" s="107"/>
      <c r="CL856" s="107"/>
      <c r="CM856" s="107"/>
      <c r="CN856" s="107"/>
      <c r="CO856" s="107"/>
      <c r="CP856" s="107"/>
      <c r="CQ856" s="107"/>
      <c r="CR856" s="1790"/>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36">
        <v>180784</v>
      </c>
      <c r="X857" s="2137"/>
      <c r="Y857" s="2137"/>
      <c r="Z857" s="2137"/>
      <c r="AA857" s="2137"/>
      <c r="AB857" s="2137"/>
      <c r="AC857" s="2138"/>
      <c r="AD857" s="914"/>
      <c r="AZ857" s="61"/>
      <c r="BA857" s="61"/>
      <c r="BB857" s="61"/>
      <c r="BC857" s="61"/>
      <c r="BD857" s="61"/>
      <c r="BE857" s="61"/>
      <c r="BF857" s="61"/>
      <c r="BG857" s="61"/>
      <c r="BH857" s="61"/>
      <c r="BI857" s="61"/>
      <c r="BJ857" s="61"/>
      <c r="BK857" s="61"/>
      <c r="BL857" s="61"/>
      <c r="BM857" s="61"/>
      <c r="BN857" s="61"/>
      <c r="BO857" s="36" t="s">
        <v>114</v>
      </c>
      <c r="BP857" s="507">
        <v>299104</v>
      </c>
      <c r="BQ857" s="507">
        <v>344864</v>
      </c>
      <c r="BR857" s="507">
        <v>416000</v>
      </c>
      <c r="BS857" s="507">
        <v>532480</v>
      </c>
      <c r="BT857" s="507">
        <v>593216</v>
      </c>
      <c r="BU857" s="56"/>
      <c r="BV857" s="36" t="s">
        <v>114</v>
      </c>
      <c r="BW857" s="507">
        <v>299104</v>
      </c>
      <c r="BX857" s="507">
        <v>344864</v>
      </c>
      <c r="BY857" s="507">
        <v>416000</v>
      </c>
      <c r="BZ857" s="507">
        <v>532480</v>
      </c>
      <c r="CA857" s="507">
        <v>593216</v>
      </c>
      <c r="CB857" s="61"/>
      <c r="CC857" s="61"/>
      <c r="CD857" s="61"/>
      <c r="CE857" s="61"/>
      <c r="CF857" s="61"/>
      <c r="CG857" s="61"/>
      <c r="CH857" s="61"/>
      <c r="CI857" s="61"/>
      <c r="CJ857" s="61"/>
      <c r="CK857" s="61"/>
      <c r="CL857" s="61"/>
      <c r="CM857" s="61"/>
      <c r="CN857" s="61"/>
      <c r="CO857" s="61"/>
      <c r="CP857" s="61"/>
      <c r="CQ857" s="61"/>
      <c r="CR857" s="1600"/>
      <c r="CS857" s="61"/>
      <c r="CT857" s="61"/>
      <c r="CU857" s="61"/>
      <c r="CV857" s="61"/>
      <c r="CW857" s="61"/>
      <c r="CX857" s="61"/>
      <c r="CY857" s="61"/>
      <c r="CZ857" s="61"/>
      <c r="DA857" s="61"/>
      <c r="DB857" s="61"/>
      <c r="DC857" s="61"/>
      <c r="DD857" s="61"/>
      <c r="DE857" s="61"/>
      <c r="DF857" s="61"/>
    </row>
    <row r="858" spans="1:110" s="714" customFormat="1" ht="12.75" customHeight="1">
      <c r="C858" s="50"/>
      <c r="J858" s="185" t="s">
        <v>2008</v>
      </c>
      <c r="K858" s="77"/>
      <c r="L858" s="77"/>
      <c r="M858" s="77"/>
      <c r="N858" s="77"/>
      <c r="O858" s="77"/>
      <c r="P858" s="77"/>
      <c r="Q858" s="77"/>
      <c r="R858" s="77"/>
      <c r="S858" s="77"/>
      <c r="T858" s="2342">
        <v>2</v>
      </c>
      <c r="U858" s="2184"/>
      <c r="V858" s="2343"/>
      <c r="W858" s="1486"/>
      <c r="X858" s="1487"/>
      <c r="Y858" s="1487"/>
      <c r="Z858" s="1487"/>
      <c r="AA858" s="1487"/>
      <c r="AB858" s="1487"/>
      <c r="AC858" s="1488"/>
      <c r="AD858" s="914"/>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5">
        <v>238133</v>
      </c>
      <c r="BQ858" s="505">
        <v>274565</v>
      </c>
      <c r="BR858" s="505">
        <v>331200</v>
      </c>
      <c r="BS858" s="505">
        <v>423936</v>
      </c>
      <c r="BT858" s="505">
        <v>472291</v>
      </c>
      <c r="BU858" s="56"/>
      <c r="BV858" s="36" t="s">
        <v>115</v>
      </c>
      <c r="BW858" s="505">
        <v>238133</v>
      </c>
      <c r="BX858" s="505">
        <v>274565</v>
      </c>
      <c r="BY858" s="505">
        <v>331200</v>
      </c>
      <c r="BZ858" s="505">
        <v>423936</v>
      </c>
      <c r="CA858" s="505">
        <v>472291</v>
      </c>
      <c r="CB858" s="61"/>
      <c r="CC858" s="61"/>
      <c r="CD858" s="61"/>
      <c r="CE858" s="61"/>
      <c r="CF858" s="61"/>
      <c r="CG858" s="61"/>
      <c r="CH858" s="61"/>
      <c r="CI858" s="61"/>
      <c r="CJ858" s="61"/>
      <c r="CK858" s="61"/>
      <c r="CL858" s="61"/>
      <c r="CM858" s="61"/>
      <c r="CN858" s="61"/>
      <c r="CO858" s="61"/>
      <c r="CP858" s="61"/>
      <c r="CQ858" s="61"/>
      <c r="CR858" s="160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99" t="s">
        <v>2628</v>
      </c>
      <c r="N859" s="2283"/>
      <c r="O859" s="2283"/>
      <c r="P859" s="2283"/>
      <c r="Q859" s="2283"/>
      <c r="R859" s="2283"/>
      <c r="S859" s="2283"/>
      <c r="T859" s="2283"/>
      <c r="U859" s="2283"/>
      <c r="V859" s="2284"/>
      <c r="W859" s="2136">
        <v>101947</v>
      </c>
      <c r="X859" s="2137"/>
      <c r="Y859" s="2137"/>
      <c r="Z859" s="2137"/>
      <c r="AA859" s="2137"/>
      <c r="AB859" s="2137"/>
      <c r="AC859" s="2138"/>
      <c r="AD859" s="917"/>
      <c r="AZ859" s="61"/>
      <c r="BA859" s="61"/>
      <c r="BB859" s="61"/>
      <c r="BC859" s="61"/>
      <c r="BD859" s="61"/>
      <c r="BE859" s="61"/>
      <c r="BF859" s="61"/>
      <c r="BG859" s="61"/>
      <c r="BH859" s="61"/>
      <c r="BI859" s="61"/>
      <c r="BJ859" s="61"/>
      <c r="BK859" s="61"/>
      <c r="BL859" s="61"/>
      <c r="BM859" s="61"/>
      <c r="BN859" s="61"/>
      <c r="BO859" s="36" t="s">
        <v>48</v>
      </c>
      <c r="BP859" s="507">
        <v>278397</v>
      </c>
      <c r="BQ859" s="507">
        <v>320989</v>
      </c>
      <c r="BR859" s="507">
        <v>387200</v>
      </c>
      <c r="BS859" s="507">
        <v>495616</v>
      </c>
      <c r="BT859" s="507">
        <v>552147</v>
      </c>
      <c r="BU859" s="56"/>
      <c r="BV859" s="36" t="s">
        <v>48</v>
      </c>
      <c r="BW859" s="507">
        <v>278397</v>
      </c>
      <c r="BX859" s="507">
        <v>320989</v>
      </c>
      <c r="BY859" s="507">
        <v>387200</v>
      </c>
      <c r="BZ859" s="507">
        <v>495616</v>
      </c>
      <c r="CA859" s="507">
        <v>552147</v>
      </c>
      <c r="CB859" s="61"/>
      <c r="CC859" s="61"/>
      <c r="CD859" s="61"/>
      <c r="CE859" s="61"/>
      <c r="CF859" s="61"/>
      <c r="CG859" s="61"/>
      <c r="CH859" s="61"/>
      <c r="CI859" s="61"/>
      <c r="CJ859" s="61"/>
      <c r="CK859" s="61"/>
      <c r="CL859" s="61"/>
      <c r="CM859" s="61"/>
      <c r="CN859" s="61"/>
      <c r="CO859" s="61"/>
      <c r="CP859" s="61"/>
      <c r="CQ859" s="61"/>
      <c r="CR859" s="1600"/>
      <c r="CS859" s="61"/>
      <c r="CT859" s="61"/>
      <c r="CU859" s="61"/>
      <c r="CV859" s="61"/>
      <c r="CW859" s="61"/>
      <c r="CX859" s="61"/>
      <c r="CY859" s="61"/>
      <c r="CZ859" s="61"/>
      <c r="DA859" s="61"/>
      <c r="DB859" s="61"/>
      <c r="DC859" s="61"/>
      <c r="DD859" s="61"/>
      <c r="DE859" s="61"/>
      <c r="DF859" s="61"/>
    </row>
    <row r="860" spans="1:110" s="714"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25">
        <f>SUM(W855:AC859)</f>
        <v>437331</v>
      </c>
      <c r="X860" s="2426"/>
      <c r="Y860" s="2426"/>
      <c r="Z860" s="2426"/>
      <c r="AA860" s="2426"/>
      <c r="AB860" s="2426"/>
      <c r="AC860" s="2427"/>
      <c r="AD860" s="914"/>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5">
        <v>262291</v>
      </c>
      <c r="BQ860" s="505">
        <v>302419</v>
      </c>
      <c r="BR860" s="505">
        <v>364800</v>
      </c>
      <c r="BS860" s="505">
        <v>466944</v>
      </c>
      <c r="BT860" s="505">
        <v>520205</v>
      </c>
      <c r="BU860" s="56"/>
      <c r="BV860" s="36" t="s">
        <v>49</v>
      </c>
      <c r="BW860" s="505">
        <v>262291</v>
      </c>
      <c r="BX860" s="505">
        <v>302419</v>
      </c>
      <c r="BY860" s="505">
        <v>364800</v>
      </c>
      <c r="BZ860" s="505">
        <v>466944</v>
      </c>
      <c r="CA860" s="505">
        <v>520205</v>
      </c>
      <c r="CB860" s="61"/>
      <c r="CC860" s="61"/>
      <c r="CD860" s="61"/>
      <c r="CE860" s="61"/>
      <c r="CF860" s="61"/>
      <c r="CG860" s="61"/>
      <c r="CH860" s="61"/>
      <c r="CI860" s="61"/>
      <c r="CJ860" s="61"/>
      <c r="CK860" s="61"/>
      <c r="CL860" s="61"/>
      <c r="CM860" s="61"/>
      <c r="CN860" s="61"/>
      <c r="CO860" s="61"/>
      <c r="CP860" s="61"/>
      <c r="CQ860" s="61"/>
      <c r="CR860" s="160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36">
        <v>105141</v>
      </c>
      <c r="X861" s="2137"/>
      <c r="Y861" s="2137"/>
      <c r="Z861" s="2137"/>
      <c r="AA861" s="2137"/>
      <c r="AB861" s="2137"/>
      <c r="AC861" s="2138"/>
      <c r="AZ861" s="61"/>
      <c r="BA861" s="61"/>
      <c r="BB861" s="61"/>
      <c r="BC861" s="61"/>
      <c r="BD861" s="61"/>
      <c r="BE861" s="61"/>
      <c r="BF861" s="61"/>
      <c r="BG861" s="61"/>
      <c r="BH861" s="61"/>
      <c r="BI861" s="61"/>
      <c r="BJ861" s="61"/>
      <c r="BK861" s="61"/>
      <c r="BL861" s="61"/>
      <c r="BM861" s="61"/>
      <c r="BN861" s="61"/>
      <c r="BO861" s="36" t="s">
        <v>50</v>
      </c>
      <c r="BP861" s="507">
        <v>262291</v>
      </c>
      <c r="BQ861" s="507">
        <v>302419</v>
      </c>
      <c r="BR861" s="507">
        <v>364800</v>
      </c>
      <c r="BS861" s="507">
        <v>466944</v>
      </c>
      <c r="BT861" s="507">
        <v>520205</v>
      </c>
      <c r="BU861" s="56"/>
      <c r="BV861" s="36" t="s">
        <v>50</v>
      </c>
      <c r="BW861" s="507">
        <v>262291</v>
      </c>
      <c r="BX861" s="507">
        <v>302419</v>
      </c>
      <c r="BY861" s="507">
        <v>364800</v>
      </c>
      <c r="BZ861" s="507">
        <v>466944</v>
      </c>
      <c r="CA861" s="507">
        <v>520205</v>
      </c>
      <c r="CB861" s="61"/>
      <c r="CC861" s="61"/>
      <c r="CD861" s="61"/>
      <c r="CE861" s="61"/>
      <c r="CF861" s="61"/>
      <c r="CG861" s="61"/>
      <c r="CH861" s="61"/>
      <c r="CI861" s="61"/>
      <c r="CJ861" s="61"/>
      <c r="CK861" s="61"/>
      <c r="CL861" s="61"/>
      <c r="CM861" s="61"/>
      <c r="CN861" s="61"/>
      <c r="CO861" s="61"/>
      <c r="CP861" s="61"/>
      <c r="CQ861" s="61"/>
      <c r="CR861" s="1600"/>
      <c r="CS861" s="61"/>
      <c r="CT861" s="61"/>
      <c r="CU861" s="61"/>
      <c r="CV861" s="61"/>
      <c r="CW861" s="61"/>
      <c r="CX861" s="61"/>
      <c r="CY861" s="61"/>
      <c r="CZ861" s="61"/>
      <c r="DA861" s="61"/>
      <c r="DB861" s="61"/>
      <c r="DC861" s="61"/>
      <c r="DD861" s="61"/>
      <c r="DE861" s="61"/>
      <c r="DF861" s="61"/>
    </row>
    <row r="862" spans="1:110" ht="12.75" customHeight="1">
      <c r="J862" s="912"/>
      <c r="AZ862" s="61"/>
      <c r="BA862" s="61"/>
      <c r="BB862" s="61"/>
      <c r="BC862" s="61"/>
      <c r="BD862" s="61"/>
      <c r="BE862" s="61"/>
      <c r="BF862" s="61"/>
      <c r="BG862" s="61"/>
      <c r="BH862" s="61"/>
      <c r="BI862" s="61"/>
      <c r="BJ862" s="61"/>
      <c r="BK862" s="61"/>
      <c r="BL862" s="61"/>
      <c r="BM862" s="61"/>
      <c r="BN862" s="61"/>
      <c r="BO862" s="36" t="s">
        <v>51</v>
      </c>
      <c r="BP862" s="505">
        <v>238133</v>
      </c>
      <c r="BQ862" s="505">
        <v>274565</v>
      </c>
      <c r="BR862" s="505">
        <v>331200</v>
      </c>
      <c r="BS862" s="505">
        <v>423936</v>
      </c>
      <c r="BT862" s="505">
        <v>472291</v>
      </c>
      <c r="BU862" s="56"/>
      <c r="BV862" s="36" t="s">
        <v>51</v>
      </c>
      <c r="BW862" s="505">
        <v>238133</v>
      </c>
      <c r="BX862" s="505">
        <v>274565</v>
      </c>
      <c r="BY862" s="505">
        <v>331200</v>
      </c>
      <c r="BZ862" s="505">
        <v>423936</v>
      </c>
      <c r="CA862" s="505">
        <v>472291</v>
      </c>
      <c r="CB862" s="61"/>
      <c r="CC862" s="61"/>
      <c r="CD862" s="61"/>
      <c r="CE862" s="61"/>
      <c r="CF862" s="61"/>
      <c r="CG862" s="61"/>
      <c r="CH862" s="61"/>
      <c r="CI862" s="61"/>
      <c r="CJ862" s="61"/>
      <c r="CK862" s="61"/>
      <c r="CL862" s="61"/>
      <c r="CM862" s="61"/>
      <c r="CN862" s="61"/>
      <c r="CO862" s="61"/>
      <c r="CP862" s="61"/>
      <c r="CQ862" s="61"/>
      <c r="CR862" s="160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1">
        <v>25000</v>
      </c>
      <c r="X863" s="2131"/>
      <c r="Y863" s="2131"/>
      <c r="Z863" s="2131"/>
      <c r="AA863" s="2131"/>
      <c r="AB863" s="2131"/>
      <c r="AC863" s="2131"/>
      <c r="AZ863" s="61"/>
      <c r="BA863" s="61"/>
      <c r="BB863" s="61"/>
      <c r="BC863" s="61"/>
      <c r="BD863" s="61"/>
      <c r="BE863" s="61"/>
      <c r="BF863" s="61"/>
      <c r="BG863" s="61"/>
      <c r="BH863" s="61"/>
      <c r="BI863" s="61"/>
      <c r="BJ863" s="61"/>
      <c r="BK863" s="61"/>
      <c r="BL863" s="61"/>
      <c r="BM863" s="61"/>
      <c r="BN863" s="61"/>
      <c r="BO863" s="36" t="s">
        <v>134</v>
      </c>
      <c r="BP863" s="507">
        <v>262291</v>
      </c>
      <c r="BQ863" s="507">
        <v>302419</v>
      </c>
      <c r="BR863" s="507">
        <v>364800</v>
      </c>
      <c r="BS863" s="507">
        <v>466944</v>
      </c>
      <c r="BT863" s="507">
        <v>520205</v>
      </c>
      <c r="BU863" s="56"/>
      <c r="BV863" s="36" t="s">
        <v>134</v>
      </c>
      <c r="BW863" s="507">
        <v>262291</v>
      </c>
      <c r="BX863" s="507">
        <v>302419</v>
      </c>
      <c r="BY863" s="507">
        <v>364800</v>
      </c>
      <c r="BZ863" s="507">
        <v>466944</v>
      </c>
      <c r="CA863" s="507">
        <v>520205</v>
      </c>
      <c r="CB863" s="61"/>
      <c r="CC863" s="61"/>
      <c r="CD863" s="61"/>
      <c r="CE863" s="61"/>
      <c r="CF863" s="61"/>
      <c r="CG863" s="61"/>
      <c r="CH863" s="61"/>
      <c r="CI863" s="61"/>
      <c r="CJ863" s="61"/>
      <c r="CK863" s="61"/>
      <c r="CL863" s="61"/>
      <c r="CM863" s="61"/>
      <c r="CN863" s="61"/>
      <c r="CO863" s="61"/>
      <c r="CP863" s="61"/>
      <c r="CQ863" s="61"/>
      <c r="CR863" s="160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1">
        <v>60959</v>
      </c>
      <c r="X864" s="2131"/>
      <c r="Y864" s="2131"/>
      <c r="Z864" s="2131"/>
      <c r="AA864" s="2131"/>
      <c r="AB864" s="2131"/>
      <c r="AC864" s="2131"/>
      <c r="AZ864" s="61"/>
      <c r="BA864" s="61"/>
      <c r="BB864" s="61"/>
      <c r="BC864" s="61"/>
      <c r="BD864" s="61"/>
      <c r="BE864" s="61"/>
      <c r="BF864" s="61"/>
      <c r="BG864" s="61"/>
      <c r="BH864" s="61"/>
      <c r="BI864" s="61"/>
      <c r="BJ864" s="61"/>
      <c r="BK864" s="61"/>
      <c r="BL864" s="61"/>
      <c r="BM864" s="61"/>
      <c r="BN864" s="61"/>
      <c r="BO864" s="36" t="s">
        <v>52</v>
      </c>
      <c r="BP864" s="505">
        <v>303706</v>
      </c>
      <c r="BQ864" s="505">
        <v>350170</v>
      </c>
      <c r="BR864" s="505">
        <v>422400</v>
      </c>
      <c r="BS864" s="505">
        <v>540672</v>
      </c>
      <c r="BT864" s="505">
        <v>602342</v>
      </c>
      <c r="BU864" s="56"/>
      <c r="BV864" s="36" t="s">
        <v>52</v>
      </c>
      <c r="BW864" s="505">
        <v>303706</v>
      </c>
      <c r="BX864" s="505">
        <v>350170</v>
      </c>
      <c r="BY864" s="505">
        <v>422400</v>
      </c>
      <c r="BZ864" s="505">
        <v>540672</v>
      </c>
      <c r="CA864" s="505">
        <v>602342</v>
      </c>
      <c r="CB864" s="61"/>
      <c r="CC864" s="61"/>
      <c r="CD864" s="61"/>
      <c r="CE864" s="61"/>
      <c r="CF864" s="61"/>
      <c r="CG864" s="61"/>
      <c r="CH864" s="61"/>
      <c r="CI864" s="61"/>
      <c r="CJ864" s="61"/>
      <c r="CK864" s="61"/>
      <c r="CL864" s="61"/>
      <c r="CM864" s="61"/>
      <c r="CN864" s="61"/>
      <c r="CO864" s="61"/>
      <c r="CP864" s="61"/>
      <c r="CQ864" s="61"/>
      <c r="CR864" s="160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1">
        <v>56000</v>
      </c>
      <c r="X865" s="2131"/>
      <c r="Y865" s="2131"/>
      <c r="Z865" s="2131"/>
      <c r="AA865" s="2131"/>
      <c r="AB865" s="2131"/>
      <c r="AC865" s="2131"/>
      <c r="AZ865" s="61"/>
      <c r="BA865" s="61"/>
      <c r="BB865" s="61"/>
      <c r="BC865" s="61"/>
      <c r="BD865" s="61"/>
      <c r="BE865" s="61"/>
      <c r="BF865" s="61"/>
      <c r="BG865" s="61"/>
      <c r="BH865" s="61"/>
      <c r="BI865" s="61"/>
      <c r="BJ865" s="61"/>
      <c r="BK865" s="61"/>
      <c r="BL865" s="61"/>
      <c r="BM865" s="61"/>
      <c r="BN865" s="61"/>
      <c r="BO865" s="36" t="s">
        <v>53</v>
      </c>
      <c r="BP865" s="507">
        <v>278397</v>
      </c>
      <c r="BQ865" s="507">
        <v>320989</v>
      </c>
      <c r="BR865" s="507">
        <v>387200</v>
      </c>
      <c r="BS865" s="507">
        <v>495616</v>
      </c>
      <c r="BT865" s="507">
        <v>552147</v>
      </c>
      <c r="BU865" s="56"/>
      <c r="BV865" s="36" t="s">
        <v>53</v>
      </c>
      <c r="BW865" s="507">
        <v>278397</v>
      </c>
      <c r="BX865" s="507">
        <v>320989</v>
      </c>
      <c r="BY865" s="507">
        <v>387200</v>
      </c>
      <c r="BZ865" s="507">
        <v>495616</v>
      </c>
      <c r="CA865" s="507">
        <v>552147</v>
      </c>
      <c r="CB865" s="61"/>
      <c r="CC865" s="61"/>
      <c r="CD865" s="61"/>
      <c r="CE865" s="61"/>
      <c r="CF865" s="61"/>
      <c r="CG865" s="61"/>
      <c r="CH865" s="61"/>
      <c r="CI865" s="61"/>
      <c r="CJ865" s="61"/>
      <c r="CK865" s="61"/>
      <c r="CL865" s="61"/>
      <c r="CM865" s="61"/>
      <c r="CN865" s="61"/>
      <c r="CO865" s="61"/>
      <c r="CP865" s="61"/>
      <c r="CQ865" s="61"/>
      <c r="CR865" s="160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1">
        <v>5000</v>
      </c>
      <c r="X866" s="2131"/>
      <c r="Y866" s="2131"/>
      <c r="Z866" s="2131"/>
      <c r="AA866" s="2131"/>
      <c r="AB866" s="2131"/>
      <c r="AC866" s="2131"/>
      <c r="AZ866" s="61"/>
      <c r="BA866" s="61"/>
      <c r="BB866" s="61"/>
      <c r="BC866" s="61"/>
      <c r="BD866" s="61"/>
      <c r="BE866" s="61"/>
      <c r="BF866" s="61"/>
      <c r="BG866" s="61"/>
      <c r="BH866" s="61"/>
      <c r="BI866" s="61"/>
      <c r="BJ866" s="61"/>
      <c r="BK866" s="61"/>
      <c r="BL866" s="61"/>
      <c r="BM866" s="61"/>
      <c r="BN866" s="61"/>
      <c r="BO866" s="36" t="s">
        <v>335</v>
      </c>
      <c r="BP866" s="505">
        <v>278397</v>
      </c>
      <c r="BQ866" s="505">
        <v>320989</v>
      </c>
      <c r="BR866" s="505">
        <v>387200</v>
      </c>
      <c r="BS866" s="505">
        <v>495616</v>
      </c>
      <c r="BT866" s="505">
        <v>552147</v>
      </c>
      <c r="BU866" s="56"/>
      <c r="BV866" s="36" t="s">
        <v>335</v>
      </c>
      <c r="BW866" s="505">
        <v>278397</v>
      </c>
      <c r="BX866" s="505">
        <v>320989</v>
      </c>
      <c r="BY866" s="505">
        <v>387200</v>
      </c>
      <c r="BZ866" s="505">
        <v>495616</v>
      </c>
      <c r="CA866" s="505">
        <v>552147</v>
      </c>
      <c r="CB866" s="61"/>
      <c r="CC866" s="61"/>
      <c r="CD866" s="61"/>
      <c r="CE866" s="61"/>
      <c r="CF866" s="61"/>
      <c r="CG866" s="61"/>
      <c r="CH866" s="61"/>
      <c r="CI866" s="61"/>
      <c r="CJ866" s="61"/>
      <c r="CK866" s="61"/>
      <c r="CL866" s="61"/>
      <c r="CM866" s="61"/>
      <c r="CN866" s="61"/>
      <c r="CO866" s="61"/>
      <c r="CP866" s="61"/>
      <c r="CQ866" s="61"/>
      <c r="CR866" s="160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1">
        <v>30000</v>
      </c>
      <c r="X867" s="2131"/>
      <c r="Y867" s="2131"/>
      <c r="Z867" s="2131"/>
      <c r="AA867" s="2131"/>
      <c r="AB867" s="2131"/>
      <c r="AC867" s="213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1">
        <v>18500</v>
      </c>
      <c r="X868" s="2131"/>
      <c r="Y868" s="2131"/>
      <c r="Z868" s="2131"/>
      <c r="AA868" s="2131"/>
      <c r="AB868" s="2131"/>
      <c r="AC868" s="213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99" t="s">
        <v>2620</v>
      </c>
      <c r="N869" s="2283"/>
      <c r="O869" s="2283"/>
      <c r="P869" s="2283"/>
      <c r="Q869" s="2283"/>
      <c r="R869" s="2283"/>
      <c r="S869" s="2283"/>
      <c r="T869" s="2283"/>
      <c r="U869" s="2283"/>
      <c r="V869" s="2284"/>
      <c r="W869" s="2131">
        <v>6500</v>
      </c>
      <c r="X869" s="2131"/>
      <c r="Y869" s="2131"/>
      <c r="Z869" s="2131"/>
      <c r="AA869" s="2131"/>
      <c r="AB869" s="2131"/>
      <c r="AC869" s="2131"/>
      <c r="AD869" s="914"/>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2">
        <f>SUM(W863:AC869)</f>
        <v>201959</v>
      </c>
      <c r="X870" s="2132"/>
      <c r="Y870" s="2132"/>
      <c r="Z870" s="2132"/>
      <c r="AA870" s="2132"/>
      <c r="AB870" s="2132"/>
      <c r="AC870" s="213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0"/>
      <c r="CS871" s="61"/>
      <c r="CT871" s="61"/>
      <c r="CU871" s="61"/>
      <c r="CV871" s="61"/>
      <c r="CW871" s="61"/>
      <c r="CX871" s="61"/>
      <c r="CY871" s="61"/>
      <c r="CZ871" s="61"/>
      <c r="DA871" s="61"/>
      <c r="DB871" s="61"/>
      <c r="DC871" s="61"/>
      <c r="DD871" s="61"/>
      <c r="DE871" s="61"/>
      <c r="DF871" s="61"/>
    </row>
    <row r="872" spans="3:110" ht="12.75" customHeight="1">
      <c r="C872" s="50" t="s">
        <v>1459</v>
      </c>
      <c r="J872" s="76" t="s">
        <v>175</v>
      </c>
      <c r="K872" s="77"/>
      <c r="L872" s="77"/>
      <c r="M872" s="2282" t="s">
        <v>343</v>
      </c>
      <c r="N872" s="2283"/>
      <c r="O872" s="2283"/>
      <c r="P872" s="2283"/>
      <c r="Q872" s="2283"/>
      <c r="R872" s="2283"/>
      <c r="S872" s="2283"/>
      <c r="T872" s="2283"/>
      <c r="U872" s="2283"/>
      <c r="V872" s="2284"/>
      <c r="W872" s="2028"/>
      <c r="X872" s="2029"/>
      <c r="Y872" s="2029"/>
      <c r="Z872" s="2029"/>
      <c r="AA872" s="2029"/>
      <c r="AB872" s="2029"/>
      <c r="AC872" s="2030"/>
      <c r="AD872" s="914"/>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0"/>
      <c r="CS872" s="61"/>
      <c r="CT872" s="61"/>
      <c r="CU872" s="61"/>
      <c r="CV872" s="61"/>
      <c r="CW872" s="61"/>
      <c r="CX872" s="61"/>
      <c r="CY872" s="61"/>
      <c r="CZ872" s="61"/>
      <c r="DA872" s="61"/>
      <c r="DB872" s="61"/>
      <c r="DC872" s="61"/>
      <c r="DD872" s="61"/>
      <c r="DE872" s="61"/>
      <c r="DF872" s="61"/>
    </row>
    <row r="873" spans="3:110" ht="12.75" customHeight="1">
      <c r="C873" s="50" t="s">
        <v>1460</v>
      </c>
      <c r="J873" s="76" t="s">
        <v>175</v>
      </c>
      <c r="K873" s="77"/>
      <c r="L873" s="77"/>
      <c r="M873" s="2282" t="s">
        <v>343</v>
      </c>
      <c r="N873" s="2283"/>
      <c r="O873" s="2283"/>
      <c r="P873" s="2283"/>
      <c r="Q873" s="2283"/>
      <c r="R873" s="2283"/>
      <c r="S873" s="2283"/>
      <c r="T873" s="2283"/>
      <c r="U873" s="2283"/>
      <c r="V873" s="2284"/>
      <c r="W873" s="2028"/>
      <c r="X873" s="2029"/>
      <c r="Y873" s="2029"/>
      <c r="Z873" s="2029"/>
      <c r="AA873" s="2029"/>
      <c r="AB873" s="2029"/>
      <c r="AC873" s="2030"/>
      <c r="AD873" s="914"/>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82" t="s">
        <v>343</v>
      </c>
      <c r="N874" s="2283"/>
      <c r="O874" s="2283"/>
      <c r="P874" s="2283"/>
      <c r="Q874" s="2283"/>
      <c r="R874" s="2283"/>
      <c r="S874" s="2283"/>
      <c r="T874" s="2283"/>
      <c r="U874" s="2283"/>
      <c r="V874" s="2284"/>
      <c r="W874" s="2028"/>
      <c r="X874" s="2029"/>
      <c r="Y874" s="2029"/>
      <c r="Z874" s="2029"/>
      <c r="AA874" s="2029"/>
      <c r="AB874" s="2029"/>
      <c r="AC874" s="203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82" t="s">
        <v>343</v>
      </c>
      <c r="N875" s="2283"/>
      <c r="O875" s="2283"/>
      <c r="P875" s="2283"/>
      <c r="Q875" s="2283"/>
      <c r="R875" s="2283"/>
      <c r="S875" s="2283"/>
      <c r="T875" s="2283"/>
      <c r="U875" s="2283"/>
      <c r="V875" s="2284"/>
      <c r="W875" s="2028"/>
      <c r="X875" s="2029"/>
      <c r="Y875" s="2029"/>
      <c r="Z875" s="2029"/>
      <c r="AA875" s="2029"/>
      <c r="AB875" s="2029"/>
      <c r="AC875" s="203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82" t="s">
        <v>343</v>
      </c>
      <c r="N876" s="2283"/>
      <c r="O876" s="2283"/>
      <c r="P876" s="2283"/>
      <c r="Q876" s="2283"/>
      <c r="R876" s="2283"/>
      <c r="S876" s="2283"/>
      <c r="T876" s="2283"/>
      <c r="U876" s="2283"/>
      <c r="V876" s="2284"/>
      <c r="W876" s="2028"/>
      <c r="X876" s="2029"/>
      <c r="Y876" s="2029"/>
      <c r="Z876" s="2029"/>
      <c r="AA876" s="2029"/>
      <c r="AB876" s="2029"/>
      <c r="AC876" s="203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3">
        <f>SUM(W872:AC876)</f>
        <v>0</v>
      </c>
      <c r="X877" s="2134"/>
      <c r="Y877" s="2134"/>
      <c r="Z877" s="2134"/>
      <c r="AA877" s="2134"/>
      <c r="AB877" s="2134"/>
      <c r="AC877" s="213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0"/>
      <c r="CS877" s="61"/>
      <c r="CT877" s="61"/>
      <c r="CU877" s="61"/>
      <c r="CV877" s="61"/>
      <c r="CW877" s="61"/>
      <c r="CX877" s="61"/>
      <c r="CY877" s="61"/>
      <c r="CZ877" s="61"/>
      <c r="DA877" s="61"/>
      <c r="DB877" s="61"/>
      <c r="DC877" s="61"/>
      <c r="DD877" s="61"/>
      <c r="DE877" s="61"/>
      <c r="DF877" s="61"/>
    </row>
    <row r="878" spans="3:110" ht="12.75" customHeight="1">
      <c r="E878" s="909"/>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0"/>
      <c r="CS878" s="61"/>
      <c r="CT878" s="61"/>
      <c r="CU878" s="61"/>
      <c r="CV878" s="61"/>
      <c r="CW878" s="61"/>
      <c r="CX878" s="61"/>
      <c r="CY878" s="61"/>
      <c r="CZ878" s="61"/>
      <c r="DA878" s="61"/>
      <c r="DB878" s="61"/>
      <c r="DC878" s="61"/>
      <c r="DD878" s="61"/>
      <c r="DE878" s="61"/>
      <c r="DF878" s="61"/>
    </row>
    <row r="879" spans="3:110" ht="12.75" customHeight="1">
      <c r="C879" s="50" t="s">
        <v>183</v>
      </c>
      <c r="I879" s="914"/>
      <c r="J879" s="915"/>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0"/>
      <c r="CS879" s="61"/>
      <c r="CT879" s="61"/>
      <c r="CU879" s="61"/>
      <c r="CV879" s="61"/>
      <c r="CW879" s="61"/>
      <c r="CX879" s="61"/>
      <c r="CY879" s="61"/>
      <c r="CZ879" s="61"/>
      <c r="DA879" s="61"/>
      <c r="DB879" s="61"/>
      <c r="DC879" s="61"/>
      <c r="DD879" s="61"/>
      <c r="DE879" s="61"/>
      <c r="DF879" s="61"/>
    </row>
    <row r="880" spans="3:110" ht="12.75" customHeight="1">
      <c r="E880" s="909"/>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1" t="s">
        <v>283</v>
      </c>
      <c r="AC881" s="2134">
        <f>W845+W853+W860+W861+W870+W877+W847</f>
        <v>1195000</v>
      </c>
      <c r="AD881" s="2134"/>
      <c r="AE881" s="2134"/>
      <c r="AF881" s="2134"/>
      <c r="AG881" s="2134"/>
      <c r="AH881" s="213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1" t="s">
        <v>544</v>
      </c>
      <c r="AC882" s="2340">
        <f>O796+O776+G753</f>
        <v>200</v>
      </c>
      <c r="AD882" s="2340"/>
      <c r="AE882" s="2340"/>
      <c r="AF882" s="2340"/>
      <c r="AG882" s="2340"/>
      <c r="AH882" s="234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0"/>
      <c r="CS882" s="61"/>
      <c r="CT882" s="61"/>
      <c r="CU882" s="61"/>
      <c r="CV882" s="61"/>
      <c r="CW882" s="61"/>
      <c r="CX882" s="61"/>
      <c r="CY882" s="61"/>
      <c r="CZ882" s="61"/>
      <c r="DA882" s="61"/>
      <c r="DB882" s="61"/>
      <c r="DC882" s="61"/>
      <c r="DD882" s="61"/>
      <c r="DE882" s="61"/>
      <c r="DF882" s="61"/>
    </row>
    <row r="883" spans="1:110" ht="12.75" customHeight="1">
      <c r="C883" s="71"/>
      <c r="D883" s="72"/>
      <c r="E883" s="2338" t="s">
        <v>33</v>
      </c>
      <c r="F883" s="2338"/>
      <c r="G883" s="2338"/>
      <c r="H883" s="2338"/>
      <c r="I883" s="2338"/>
      <c r="J883" s="2338"/>
      <c r="K883" s="2338"/>
      <c r="L883" s="2338"/>
      <c r="M883" s="2338"/>
      <c r="N883" s="2338"/>
      <c r="O883" s="2338"/>
      <c r="P883" s="2338"/>
      <c r="Q883" s="2338"/>
      <c r="R883" s="2338"/>
      <c r="S883" s="2338"/>
      <c r="T883" s="2338"/>
      <c r="U883" s="2338"/>
      <c r="V883" s="2338"/>
      <c r="W883" s="2338"/>
      <c r="X883" s="2338"/>
      <c r="Y883" s="2338"/>
      <c r="Z883" s="2338"/>
      <c r="AA883" s="2338"/>
      <c r="AB883" s="2339"/>
      <c r="AC883" s="2132">
        <f>IF(ISERROR((ROUNDDOWN(AC881/AC882,0))),0,(ROUNDDOWN(AC881/AC882,0)))</f>
        <v>5975</v>
      </c>
      <c r="AD883" s="2132"/>
      <c r="AE883" s="2132"/>
      <c r="AF883" s="2132"/>
      <c r="AG883" s="2132"/>
      <c r="AH883" s="213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3" t="s">
        <v>819</v>
      </c>
      <c r="AC884" s="2029">
        <f>'Sources and Uses Budget'!B75</f>
        <v>551245</v>
      </c>
      <c r="AD884" s="2029"/>
      <c r="AE884" s="2029"/>
      <c r="AF884" s="2029"/>
      <c r="AG884" s="2029"/>
      <c r="AH884" s="203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3" t="s">
        <v>1353</v>
      </c>
      <c r="AC885" s="2030"/>
      <c r="AD885" s="2131"/>
      <c r="AE885" s="2131"/>
      <c r="AF885" s="2131"/>
      <c r="AG885" s="2131"/>
      <c r="AH885" s="213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3" t="s">
        <v>543</v>
      </c>
      <c r="AC886" s="2029">
        <v>200000</v>
      </c>
      <c r="AD886" s="2029"/>
      <c r="AE886" s="2029"/>
      <c r="AF886" s="2029"/>
      <c r="AG886" s="2029"/>
      <c r="AH886" s="203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3" t="s">
        <v>84</v>
      </c>
      <c r="AC887" s="2029">
        <v>100000</v>
      </c>
      <c r="AD887" s="2029"/>
      <c r="AE887" s="2029"/>
      <c r="AF887" s="2029"/>
      <c r="AG887" s="2029"/>
      <c r="AH887" s="203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0"/>
      <c r="CS887" s="61"/>
      <c r="CT887" s="61"/>
      <c r="CU887" s="61"/>
      <c r="CV887" s="61"/>
      <c r="CW887" s="61"/>
      <c r="CX887" s="61"/>
      <c r="CY887" s="61"/>
      <c r="CZ887" s="61"/>
      <c r="DA887" s="61"/>
      <c r="DB887" s="61"/>
      <c r="DC887" s="61"/>
      <c r="DD887" s="61"/>
      <c r="DE887" s="61"/>
      <c r="DF887" s="61"/>
    </row>
    <row r="888" spans="1:110" s="714"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06" t="s">
        <v>2151</v>
      </c>
      <c r="AC888" s="2029">
        <f>15000+(AO637*0.0005)</f>
        <v>20337</v>
      </c>
      <c r="AD888" s="2029"/>
      <c r="AE888" s="2029"/>
      <c r="AF888" s="2029"/>
      <c r="AG888" s="2029"/>
      <c r="AH888" s="203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0"/>
      <c r="CS888" s="61"/>
      <c r="CT888" s="61"/>
      <c r="CU888" s="61"/>
      <c r="CV888" s="61"/>
      <c r="CW888" s="61"/>
      <c r="CX888" s="61"/>
      <c r="CY888" s="61"/>
      <c r="CZ888" s="61"/>
      <c r="DA888" s="61"/>
      <c r="DB888" s="61"/>
      <c r="DC888" s="61"/>
      <c r="DD888" s="61"/>
      <c r="DE888" s="61"/>
      <c r="DF888" s="61"/>
    </row>
    <row r="889" spans="1:110" ht="12.75" customHeight="1">
      <c r="A889" s="714"/>
      <c r="B889" s="714"/>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3" t="s">
        <v>85</v>
      </c>
      <c r="AC889" s="2029">
        <v>25000</v>
      </c>
      <c r="AD889" s="2029"/>
      <c r="AE889" s="2029"/>
      <c r="AF889" s="2029"/>
      <c r="AG889" s="2029"/>
      <c r="AH889" s="2030"/>
      <c r="AI889" s="714"/>
      <c r="AJ889" s="714"/>
      <c r="AK889" s="714"/>
      <c r="AL889" s="714"/>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3" t="s">
        <v>2009</v>
      </c>
      <c r="AC890" s="2029"/>
      <c r="AD890" s="2029"/>
      <c r="AE890" s="2029"/>
      <c r="AF890" s="2029"/>
      <c r="AG890" s="2029"/>
      <c r="AH890" s="203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0"/>
      <c r="CS890" s="61"/>
      <c r="CT890" s="61"/>
      <c r="CU890" s="61"/>
      <c r="CV890" s="61"/>
      <c r="CW890" s="61"/>
      <c r="CX890" s="61"/>
      <c r="CY890" s="61"/>
      <c r="CZ890" s="61"/>
      <c r="DA890" s="61"/>
      <c r="DB890" s="61"/>
      <c r="DC890" s="61"/>
      <c r="DD890" s="61"/>
      <c r="DE890" s="61"/>
      <c r="DF890" s="61"/>
    </row>
    <row r="891" spans="1:110" s="714" customFormat="1" ht="12.75" customHeight="1">
      <c r="A891" s="12"/>
      <c r="B891" s="12"/>
      <c r="C891" s="2125" t="s">
        <v>1033</v>
      </c>
      <c r="D891" s="2126"/>
      <c r="E891" s="2126"/>
      <c r="F891" s="2126"/>
      <c r="G891" s="2126"/>
      <c r="H891" s="2126"/>
      <c r="I891" s="2126"/>
      <c r="J891" s="2126"/>
      <c r="K891" s="2126"/>
      <c r="L891" s="2126"/>
      <c r="M891" s="2126"/>
      <c r="N891" s="2126"/>
      <c r="O891" s="2126"/>
      <c r="P891" s="2126"/>
      <c r="Q891" s="2126"/>
      <c r="R891" s="2126"/>
      <c r="S891" s="2126"/>
      <c r="T891" s="2126"/>
      <c r="U891" s="2126"/>
      <c r="V891" s="2126"/>
      <c r="W891" s="2126"/>
      <c r="X891" s="2126"/>
      <c r="Y891" s="2126"/>
      <c r="Z891" s="2126"/>
      <c r="AA891" s="2126"/>
      <c r="AB891" s="2127"/>
      <c r="AC891" s="2029"/>
      <c r="AD891" s="2029"/>
      <c r="AE891" s="2029"/>
      <c r="AF891" s="2029"/>
      <c r="AG891" s="2029"/>
      <c r="AH891" s="203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0"/>
      <c r="CS891" s="61"/>
      <c r="CT891" s="61"/>
      <c r="CU891" s="61"/>
      <c r="CV891" s="61"/>
      <c r="CW891" s="61"/>
      <c r="CX891" s="61"/>
      <c r="CY891" s="61"/>
      <c r="CZ891" s="61"/>
      <c r="DA891" s="61"/>
      <c r="DB891" s="61"/>
      <c r="DC891" s="61"/>
      <c r="DD891" s="61"/>
      <c r="DE891" s="61"/>
      <c r="DF891" s="61"/>
    </row>
    <row r="892" spans="1:110" ht="12.75" customHeight="1">
      <c r="C892" s="2125" t="s">
        <v>1033</v>
      </c>
      <c r="D892" s="2126"/>
      <c r="E892" s="2126"/>
      <c r="F892" s="2126"/>
      <c r="G892" s="2126"/>
      <c r="H892" s="2126"/>
      <c r="I892" s="2126"/>
      <c r="J892" s="2126"/>
      <c r="K892" s="2126"/>
      <c r="L892" s="2126"/>
      <c r="M892" s="2126"/>
      <c r="N892" s="2126"/>
      <c r="O892" s="2126"/>
      <c r="P892" s="2126"/>
      <c r="Q892" s="2126"/>
      <c r="R892" s="2126"/>
      <c r="S892" s="2126"/>
      <c r="T892" s="2126"/>
      <c r="U892" s="2126"/>
      <c r="V892" s="2126"/>
      <c r="W892" s="2126"/>
      <c r="X892" s="2126"/>
      <c r="Y892" s="2126"/>
      <c r="Z892" s="2126"/>
      <c r="AA892" s="2126"/>
      <c r="AB892" s="2127"/>
      <c r="AC892" s="2131"/>
      <c r="AD892" s="2131"/>
      <c r="AE892" s="2131"/>
      <c r="AF892" s="2131"/>
      <c r="AG892" s="2131"/>
      <c r="AH892" s="213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2"/>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4"/>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8"/>
      <c r="AA896" s="2029"/>
      <c r="AB896" s="2029"/>
      <c r="AC896" s="2029"/>
      <c r="AD896" s="2029"/>
      <c r="AE896" s="2030"/>
      <c r="AF896" s="914"/>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8"/>
      <c r="AA897" s="2029"/>
      <c r="AB897" s="2029"/>
      <c r="AC897" s="2029"/>
      <c r="AD897" s="2029"/>
      <c r="AE897" s="203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8"/>
      <c r="AA898" s="2029"/>
      <c r="AB898" s="2029"/>
      <c r="AC898" s="2029"/>
      <c r="AD898" s="2029"/>
      <c r="AE898" s="203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3">
        <f>Z896-(Z897+Z898)</f>
        <v>0</v>
      </c>
      <c r="AA899" s="2134"/>
      <c r="AB899" s="2134"/>
      <c r="AC899" s="2134"/>
      <c r="AD899" s="2134"/>
      <c r="AE899" s="2135"/>
      <c r="AZ899" s="61"/>
      <c r="BA899" s="25"/>
      <c r="BB899" s="127"/>
      <c r="BC899" s="127"/>
      <c r="BD899" s="1280"/>
      <c r="BE899" s="1280"/>
      <c r="BF899" s="1280"/>
      <c r="BG899" s="160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0"/>
      <c r="CS899" s="61"/>
      <c r="CT899" s="61"/>
      <c r="CU899" s="61"/>
      <c r="CV899" s="61"/>
      <c r="CW899" s="61"/>
      <c r="CX899" s="61"/>
      <c r="CY899" s="61"/>
      <c r="CZ899" s="61"/>
      <c r="DA899" s="61"/>
      <c r="DB899" s="61"/>
      <c r="DC899" s="61"/>
      <c r="DD899" s="61"/>
      <c r="DE899" s="61"/>
      <c r="DF899" s="61"/>
    </row>
    <row r="900" spans="1:110" ht="12.75" customHeight="1">
      <c r="A900" s="39"/>
      <c r="C900" s="909"/>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0"/>
      <c r="BE900" s="1280"/>
      <c r="BF900" s="1280"/>
      <c r="BG900" s="160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1"/>
      <c r="BD901" s="2296"/>
      <c r="BE901" s="2296"/>
      <c r="BF901" s="1280"/>
      <c r="BG901" s="160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1"/>
      <c r="BD902" s="2298"/>
      <c r="BE902" s="2298"/>
      <c r="BF902" s="1280"/>
      <c r="BG902" s="160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1"/>
      <c r="BD903" s="2297"/>
      <c r="BE903" s="2297"/>
      <c r="BF903" s="1280"/>
      <c r="BG903" s="160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0"/>
      <c r="CS903" s="61"/>
      <c r="CT903" s="61"/>
      <c r="CU903" s="61"/>
      <c r="CV903" s="61"/>
      <c r="CW903" s="61"/>
      <c r="CX903" s="61"/>
      <c r="CY903" s="61"/>
      <c r="CZ903" s="61"/>
      <c r="DA903" s="61"/>
      <c r="DB903" s="61"/>
      <c r="DC903" s="61"/>
      <c r="DD903" s="61"/>
      <c r="DE903" s="61"/>
      <c r="DF903" s="61"/>
    </row>
    <row r="904" spans="1:110" ht="12.75" customHeight="1">
      <c r="A904" s="39"/>
      <c r="C904" s="527"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1"/>
      <c r="BD904" s="2297"/>
      <c r="BE904" s="2297"/>
      <c r="BF904" s="1280"/>
      <c r="BG904" s="160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1"/>
      <c r="BD905" s="2297"/>
      <c r="BE905" s="2297"/>
      <c r="BF905" s="1280"/>
      <c r="BG905" s="160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1"/>
      <c r="BD906" s="2296"/>
      <c r="BE906" s="2297"/>
      <c r="BF906" s="1280"/>
      <c r="BG906" s="160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0"/>
      <c r="CS906" s="61"/>
      <c r="CT906" s="61"/>
      <c r="CU906" s="61"/>
      <c r="CV906" s="61"/>
      <c r="CW906" s="61"/>
      <c r="CX906" s="61"/>
      <c r="CY906" s="61"/>
      <c r="CZ906" s="61"/>
      <c r="DA906" s="61"/>
      <c r="DB906" s="61"/>
      <c r="DC906" s="61"/>
      <c r="DD906" s="61"/>
      <c r="DE906" s="61"/>
      <c r="DF906" s="61"/>
    </row>
    <row r="907" spans="1:110" ht="12.75" customHeight="1">
      <c r="A907" s="2080" t="s">
        <v>101</v>
      </c>
      <c r="B907" s="2080"/>
      <c r="C907" s="2080"/>
      <c r="D907" s="2080"/>
      <c r="E907" s="2080"/>
      <c r="F907" s="2080"/>
      <c r="G907" s="2080"/>
      <c r="H907" s="2080"/>
      <c r="I907" s="2080"/>
      <c r="J907" s="2080"/>
      <c r="K907" s="2080"/>
      <c r="L907" s="2080"/>
      <c r="M907" s="2080"/>
      <c r="N907" s="2080"/>
      <c r="O907" s="2080"/>
      <c r="P907" s="2080"/>
      <c r="Q907" s="2080"/>
      <c r="R907" s="2080"/>
      <c r="S907" s="2080"/>
      <c r="T907" s="2080"/>
      <c r="U907" s="2080"/>
      <c r="V907" s="2080"/>
      <c r="W907" s="2080"/>
      <c r="X907" s="2080"/>
      <c r="Y907" s="2080"/>
      <c r="Z907" s="2080"/>
      <c r="AA907" s="2080"/>
      <c r="AB907" s="2080"/>
      <c r="AC907" s="2080"/>
      <c r="AD907" s="2080"/>
      <c r="AE907" s="2080"/>
      <c r="AF907" s="2080"/>
      <c r="AG907" s="2080"/>
      <c r="AH907" s="2080"/>
      <c r="AI907" s="2080"/>
      <c r="AJ907" s="2080"/>
      <c r="AK907" s="2080"/>
      <c r="AL907" s="2080"/>
      <c r="AM907" s="144"/>
      <c r="AN907" s="144"/>
      <c r="AO907" s="144"/>
      <c r="AP907" s="144"/>
      <c r="AQ907" s="144"/>
      <c r="AR907" s="144"/>
      <c r="AS907" s="144"/>
      <c r="AT907" s="144"/>
      <c r="AU907" s="144"/>
      <c r="AV907" s="144"/>
      <c r="AW907" s="144"/>
      <c r="AX907" s="144"/>
      <c r="AY907" s="144"/>
      <c r="AZ907" s="61"/>
      <c r="BA907" s="25"/>
      <c r="BB907" s="127"/>
      <c r="BC907" s="1601"/>
      <c r="BD907" s="2295"/>
      <c r="BE907" s="2295"/>
      <c r="BF907" s="2295"/>
      <c r="BG907" s="160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0"/>
      <c r="CS907" s="61"/>
      <c r="CT907" s="61"/>
      <c r="CU907" s="61"/>
      <c r="CV907" s="61"/>
      <c r="CW907" s="61"/>
      <c r="CX907" s="61"/>
      <c r="CY907" s="61"/>
      <c r="CZ907" s="61"/>
      <c r="DA907" s="61"/>
      <c r="DB907" s="61"/>
      <c r="DC907" s="61"/>
      <c r="DD907" s="61"/>
      <c r="DE907" s="61"/>
      <c r="DF907" s="61"/>
    </row>
    <row r="908" spans="1:110" ht="12.75" customHeight="1" thickBot="1">
      <c r="A908" s="2081"/>
      <c r="B908" s="2081"/>
      <c r="C908" s="2081"/>
      <c r="D908" s="2081"/>
      <c r="E908" s="2081"/>
      <c r="F908" s="2081"/>
      <c r="G908" s="2081"/>
      <c r="H908" s="2081"/>
      <c r="I908" s="2081"/>
      <c r="J908" s="2081"/>
      <c r="K908" s="2081"/>
      <c r="L908" s="2081"/>
      <c r="M908" s="2081"/>
      <c r="N908" s="2081"/>
      <c r="O908" s="2081"/>
      <c r="P908" s="2081"/>
      <c r="Q908" s="2081"/>
      <c r="R908" s="2081"/>
      <c r="S908" s="2081"/>
      <c r="T908" s="2081"/>
      <c r="U908" s="2081"/>
      <c r="V908" s="2081"/>
      <c r="W908" s="2081"/>
      <c r="X908" s="2081"/>
      <c r="Y908" s="2081"/>
      <c r="Z908" s="2081"/>
      <c r="AA908" s="2081"/>
      <c r="AB908" s="2081"/>
      <c r="AC908" s="2081"/>
      <c r="AD908" s="2081"/>
      <c r="AE908" s="2081"/>
      <c r="AF908" s="2081"/>
      <c r="AG908" s="2081"/>
      <c r="AH908" s="2081"/>
      <c r="AI908" s="2081"/>
      <c r="AJ908" s="2081"/>
      <c r="AK908" s="2081"/>
      <c r="AL908" s="2081"/>
      <c r="AM908" s="144"/>
      <c r="AN908" s="144"/>
      <c r="AO908" s="144"/>
      <c r="AP908" s="144"/>
      <c r="AQ908" s="144"/>
      <c r="AR908" s="144"/>
      <c r="AS908" s="144"/>
      <c r="AT908" s="144"/>
      <c r="AU908" s="144"/>
      <c r="AV908" s="144"/>
      <c r="AW908" s="144"/>
      <c r="AX908" s="144"/>
      <c r="AY908" s="144"/>
      <c r="AZ908" s="61"/>
      <c r="BA908" s="25"/>
      <c r="BB908" s="127"/>
      <c r="BC908" s="1601"/>
      <c r="BD908" s="2278"/>
      <c r="BE908" s="2278"/>
      <c r="BF908" s="2278"/>
      <c r="BG908" s="160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1"/>
      <c r="BD909" s="2297"/>
      <c r="BE909" s="2297"/>
      <c r="BF909" s="1280"/>
      <c r="BG909" s="160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1"/>
      <c r="BD910" s="2296"/>
      <c r="BE910" s="2297"/>
      <c r="BF910" s="1280"/>
      <c r="BG910" s="160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0"/>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1"/>
      <c r="BD911" s="25"/>
      <c r="BE911" s="25"/>
      <c r="BF911" s="25"/>
      <c r="BG911" s="160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6" t="s">
        <v>850</v>
      </c>
      <c r="G912" s="2497"/>
      <c r="H912" s="2497"/>
      <c r="I912" s="2497"/>
      <c r="J912" s="2497"/>
      <c r="K912" s="2497"/>
      <c r="L912" s="2497"/>
      <c r="M912" s="2497"/>
      <c r="N912" s="2497"/>
      <c r="O912" s="2497"/>
      <c r="P912" s="2497"/>
      <c r="Q912" s="2497"/>
      <c r="R912" s="2497"/>
      <c r="S912" s="2497"/>
      <c r="T912" s="2498"/>
      <c r="U912" s="2240" t="s">
        <v>32</v>
      </c>
      <c r="V912" s="2163"/>
      <c r="W912" s="2163"/>
      <c r="X912" s="2163"/>
      <c r="Y912" s="2163"/>
      <c r="Z912" s="2163"/>
      <c r="AA912" s="73"/>
      <c r="AB912" s="161"/>
      <c r="AC912" s="161"/>
      <c r="AD912" s="161"/>
      <c r="AE912" s="161"/>
      <c r="AF912" s="162"/>
      <c r="AZ912" s="61"/>
      <c r="BA912" s="1600"/>
      <c r="BB912" s="127"/>
      <c r="BC912" s="127"/>
      <c r="BD912" s="2296"/>
      <c r="BE912" s="2297"/>
      <c r="BF912" s="1603"/>
      <c r="BG912" s="160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0"/>
      <c r="CS912" s="61"/>
      <c r="CT912" s="61"/>
      <c r="CU912" s="61"/>
      <c r="CV912" s="61"/>
      <c r="CW912" s="61"/>
      <c r="CX912" s="61"/>
      <c r="CY912" s="61"/>
      <c r="CZ912" s="61"/>
      <c r="DA912" s="61"/>
      <c r="DB912" s="61"/>
      <c r="DC912" s="61"/>
      <c r="DD912" s="61"/>
      <c r="DE912" s="61"/>
      <c r="DF912" s="61"/>
    </row>
    <row r="913" spans="2:110" ht="12.75" customHeight="1">
      <c r="B913" s="50"/>
      <c r="F913" s="2241" t="s">
        <v>879</v>
      </c>
      <c r="G913" s="2242"/>
      <c r="H913" s="2242"/>
      <c r="I913" s="2242"/>
      <c r="J913" s="2242"/>
      <c r="K913" s="2242"/>
      <c r="L913" s="2242"/>
      <c r="M913" s="2242"/>
      <c r="N913" s="2242"/>
      <c r="O913" s="2242"/>
      <c r="P913" s="2242"/>
      <c r="Q913" s="2242"/>
      <c r="R913" s="2242"/>
      <c r="S913" s="2242"/>
      <c r="T913" s="2243"/>
      <c r="U913" s="2241"/>
      <c r="V913" s="2242"/>
      <c r="W913" s="2242"/>
      <c r="X913" s="2242"/>
      <c r="Y913" s="2242"/>
      <c r="Z913" s="2242"/>
      <c r="AA913" s="74"/>
      <c r="AB913" s="57"/>
      <c r="AC913" s="57"/>
      <c r="AD913" s="57"/>
      <c r="AE913" s="57"/>
      <c r="AF913" s="163"/>
      <c r="AZ913" s="61"/>
      <c r="BA913" s="1600"/>
      <c r="BB913" s="1600"/>
      <c r="BC913" s="1600"/>
      <c r="BD913" s="1600"/>
      <c r="BE913" s="1600"/>
      <c r="BF913" s="1600"/>
      <c r="BG913" s="160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0"/>
      <c r="CS913" s="61"/>
      <c r="CT913" s="61"/>
      <c r="CU913" s="61"/>
      <c r="CV913" s="61"/>
      <c r="CW913" s="61"/>
      <c r="CX913" s="61"/>
      <c r="CY913" s="61"/>
      <c r="CZ913" s="61"/>
      <c r="DA913" s="61"/>
      <c r="DB913" s="61"/>
      <c r="DC913" s="61"/>
      <c r="DD913" s="61"/>
      <c r="DE913" s="61"/>
      <c r="DF913" s="61"/>
    </row>
    <row r="914" spans="2:110" ht="12.75" customHeight="1">
      <c r="B914" s="50"/>
      <c r="F914" s="2244"/>
      <c r="G914" s="2245"/>
      <c r="H914" s="2245"/>
      <c r="I914" s="2245"/>
      <c r="J914" s="2245"/>
      <c r="K914" s="2245"/>
      <c r="L914" s="2245"/>
      <c r="M914" s="2245"/>
      <c r="N914" s="2245"/>
      <c r="O914" s="2245"/>
      <c r="P914" s="2245"/>
      <c r="Q914" s="2245"/>
      <c r="R914" s="2245"/>
      <c r="S914" s="2245"/>
      <c r="T914" s="2246"/>
      <c r="U914" s="2244"/>
      <c r="V914" s="2245"/>
      <c r="W914" s="2245"/>
      <c r="X914" s="2245"/>
      <c r="Y914" s="2245"/>
      <c r="Z914" s="2245"/>
      <c r="AA914" s="164"/>
      <c r="AB914" s="2328" t="s">
        <v>410</v>
      </c>
      <c r="AC914" s="2328"/>
      <c r="AD914" s="2328"/>
      <c r="AE914" s="2328"/>
      <c r="AF914" s="165"/>
      <c r="AZ914" s="61"/>
      <c r="BA914" s="1600"/>
      <c r="BB914" s="1600"/>
      <c r="BC914" s="1600"/>
      <c r="BD914" s="1600"/>
      <c r="BE914" s="1600"/>
      <c r="BF914" s="1600"/>
      <c r="BG914" s="160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5" t="s">
        <v>578</v>
      </c>
      <c r="V915" s="2055"/>
      <c r="W915" s="2055"/>
      <c r="X915" s="2055"/>
      <c r="Y915" s="2055"/>
      <c r="Z915" s="2056"/>
      <c r="AA915" s="2309">
        <f>+AM564</f>
        <v>52125000</v>
      </c>
      <c r="AB915" s="2039"/>
      <c r="AC915" s="2039"/>
      <c r="AD915" s="2039"/>
      <c r="AE915" s="2039"/>
      <c r="AF915" s="231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5" t="s">
        <v>578</v>
      </c>
      <c r="V916" s="2055"/>
      <c r="W916" s="2055"/>
      <c r="X916" s="2055"/>
      <c r="Y916" s="2055"/>
      <c r="Z916" s="2056"/>
      <c r="AA916" s="2309">
        <f>+AM565</f>
        <v>14842534</v>
      </c>
      <c r="AB916" s="2039"/>
      <c r="AC916" s="2039"/>
      <c r="AD916" s="2039"/>
      <c r="AE916" s="2039"/>
      <c r="AF916" s="231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4" t="s">
        <v>626</v>
      </c>
      <c r="V917" s="2055"/>
      <c r="W917" s="2055"/>
      <c r="X917" s="2055"/>
      <c r="Y917" s="2055"/>
      <c r="Z917" s="2056"/>
      <c r="AA917" s="2309"/>
      <c r="AB917" s="2039"/>
      <c r="AC917" s="2039"/>
      <c r="AD917" s="2039"/>
      <c r="AE917" s="2039"/>
      <c r="AF917" s="231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4" t="s">
        <v>626</v>
      </c>
      <c r="V918" s="2055"/>
      <c r="W918" s="2055"/>
      <c r="X918" s="2055"/>
      <c r="Y918" s="2055"/>
      <c r="Z918" s="2056"/>
      <c r="AA918" s="2309"/>
      <c r="AB918" s="2039"/>
      <c r="AC918" s="2039"/>
      <c r="AD918" s="2039"/>
      <c r="AE918" s="2039"/>
      <c r="AF918" s="231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4" t="s">
        <v>626</v>
      </c>
      <c r="V919" s="2055"/>
      <c r="W919" s="2055"/>
      <c r="X919" s="2055"/>
      <c r="Y919" s="2055"/>
      <c r="Z919" s="2056"/>
      <c r="AA919" s="2309"/>
      <c r="AB919" s="2039"/>
      <c r="AC919" s="2039"/>
      <c r="AD919" s="2039"/>
      <c r="AE919" s="2039"/>
      <c r="AF919" s="231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4" t="s">
        <v>626</v>
      </c>
      <c r="V920" s="2055"/>
      <c r="W920" s="2055"/>
      <c r="X920" s="2055"/>
      <c r="Y920" s="2055"/>
      <c r="Z920" s="2056"/>
      <c r="AA920" s="2309"/>
      <c r="AB920" s="2039"/>
      <c r="AC920" s="2039"/>
      <c r="AD920" s="2039"/>
      <c r="AE920" s="2039"/>
      <c r="AF920" s="231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4" t="s">
        <v>626</v>
      </c>
      <c r="V921" s="2055"/>
      <c r="W921" s="2055"/>
      <c r="X921" s="2055"/>
      <c r="Y921" s="2055"/>
      <c r="Z921" s="2056"/>
      <c r="AA921" s="2309"/>
      <c r="AB921" s="2039"/>
      <c r="AC921" s="2039"/>
      <c r="AD921" s="2039"/>
      <c r="AE921" s="2039"/>
      <c r="AF921" s="231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4" t="s">
        <v>626</v>
      </c>
      <c r="V922" s="2055"/>
      <c r="W922" s="2055"/>
      <c r="X922" s="2055"/>
      <c r="Y922" s="2055"/>
      <c r="Z922" s="2056"/>
      <c r="AA922" s="2309"/>
      <c r="AB922" s="2039"/>
      <c r="AC922" s="2039"/>
      <c r="AD922" s="2039"/>
      <c r="AE922" s="2039"/>
      <c r="AF922" s="231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4" t="s">
        <v>626</v>
      </c>
      <c r="V923" s="2055"/>
      <c r="W923" s="2055"/>
      <c r="X923" s="2055"/>
      <c r="Y923" s="2055"/>
      <c r="Z923" s="2056"/>
      <c r="AA923" s="2309"/>
      <c r="AB923" s="2039"/>
      <c r="AC923" s="2039"/>
      <c r="AD923" s="2039"/>
      <c r="AE923" s="2039"/>
      <c r="AF923" s="231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4" t="s">
        <v>626</v>
      </c>
      <c r="V924" s="2055"/>
      <c r="W924" s="2055"/>
      <c r="X924" s="2055"/>
      <c r="Y924" s="2055"/>
      <c r="Z924" s="2056"/>
      <c r="AA924" s="2309"/>
      <c r="AB924" s="2039"/>
      <c r="AC924" s="2039"/>
      <c r="AD924" s="2039"/>
      <c r="AE924" s="2039"/>
      <c r="AF924" s="231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0"/>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314" t="s">
        <v>626</v>
      </c>
      <c r="V925" s="2055"/>
      <c r="W925" s="2055"/>
      <c r="X925" s="2055"/>
      <c r="Y925" s="2055"/>
      <c r="Z925" s="2056"/>
      <c r="AA925" s="2309"/>
      <c r="AB925" s="2039"/>
      <c r="AC925" s="2039"/>
      <c r="AD925" s="2039"/>
      <c r="AE925" s="2039"/>
      <c r="AF925" s="231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4" t="s">
        <v>626</v>
      </c>
      <c r="V926" s="2055"/>
      <c r="W926" s="2055"/>
      <c r="X926" s="2055"/>
      <c r="Y926" s="2055"/>
      <c r="Z926" s="2056"/>
      <c r="AA926" s="2309"/>
      <c r="AB926" s="2039"/>
      <c r="AC926" s="2039"/>
      <c r="AD926" s="2039"/>
      <c r="AE926" s="2039"/>
      <c r="AF926" s="231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5"/>
      <c r="U927" s="2314" t="s">
        <v>626</v>
      </c>
      <c r="V927" s="2055"/>
      <c r="W927" s="2055"/>
      <c r="X927" s="2055"/>
      <c r="Y927" s="2055"/>
      <c r="Z927" s="2056"/>
      <c r="AA927" s="2309"/>
      <c r="AB927" s="2039"/>
      <c r="AC927" s="2039"/>
      <c r="AD927" s="2039"/>
      <c r="AE927" s="2039"/>
      <c r="AF927" s="231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0"/>
      <c r="CS927" s="61"/>
      <c r="CT927" s="61"/>
      <c r="CU927" s="61"/>
      <c r="CV927" s="61"/>
      <c r="CW927" s="61"/>
      <c r="CX927" s="61"/>
      <c r="CY927" s="61"/>
      <c r="CZ927" s="61"/>
      <c r="DA927" s="61"/>
      <c r="DB927" s="61"/>
      <c r="DC927" s="61"/>
      <c r="DD927" s="61"/>
      <c r="DE927" s="61"/>
      <c r="DF927" s="61"/>
    </row>
    <row r="928" spans="2:110" ht="12.75" customHeight="1">
      <c r="F928" s="880" t="s">
        <v>1491</v>
      </c>
      <c r="G928" s="148"/>
      <c r="H928" s="148"/>
      <c r="I928" s="148"/>
      <c r="J928" s="148"/>
      <c r="K928" s="148"/>
      <c r="L928" s="148"/>
      <c r="M928" s="148"/>
      <c r="N928" s="148"/>
      <c r="O928" s="148"/>
      <c r="P928" s="148"/>
      <c r="Q928" s="148"/>
      <c r="R928" s="148"/>
      <c r="S928" s="148"/>
      <c r="T928" s="335"/>
      <c r="U928" s="2314" t="s">
        <v>626</v>
      </c>
      <c r="V928" s="2055"/>
      <c r="W928" s="2055"/>
      <c r="X928" s="2055"/>
      <c r="Y928" s="2055"/>
      <c r="Z928" s="2056"/>
      <c r="AA928" s="2309"/>
      <c r="AB928" s="2039"/>
      <c r="AC928" s="2039"/>
      <c r="AD928" s="2039"/>
      <c r="AE928" s="2039"/>
      <c r="AF928" s="231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0"/>
      <c r="CS928" s="61"/>
      <c r="CT928" s="61"/>
      <c r="CU928" s="61"/>
      <c r="CV928" s="61"/>
      <c r="CW928" s="61"/>
      <c r="CX928" s="61"/>
      <c r="CY928" s="61"/>
      <c r="CZ928" s="61"/>
      <c r="DA928" s="61"/>
      <c r="DB928" s="61"/>
      <c r="DC928" s="61"/>
      <c r="DD928" s="61"/>
      <c r="DE928" s="61"/>
      <c r="DF928" s="61"/>
    </row>
    <row r="929" spans="1:110" ht="12.75" customHeight="1">
      <c r="F929" s="880" t="s">
        <v>1492</v>
      </c>
      <c r="G929" s="77"/>
      <c r="H929" s="77"/>
      <c r="I929" s="77"/>
      <c r="J929" s="77"/>
      <c r="K929" s="77"/>
      <c r="L929" s="77"/>
      <c r="M929" s="77"/>
      <c r="N929" s="77"/>
      <c r="O929" s="77"/>
      <c r="P929" s="148"/>
      <c r="Q929" s="148"/>
      <c r="R929" s="148"/>
      <c r="S929" s="148"/>
      <c r="T929" s="335"/>
      <c r="U929" s="2314" t="s">
        <v>626</v>
      </c>
      <c r="V929" s="2055"/>
      <c r="W929" s="2055"/>
      <c r="X929" s="2055"/>
      <c r="Y929" s="2055"/>
      <c r="Z929" s="2056"/>
      <c r="AA929" s="2309"/>
      <c r="AB929" s="2039"/>
      <c r="AC929" s="2039"/>
      <c r="AD929" s="2039"/>
      <c r="AE929" s="2039"/>
      <c r="AF929" s="231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4" t="s">
        <v>706</v>
      </c>
      <c r="Q930" s="2055"/>
      <c r="R930" s="2055"/>
      <c r="S930" s="2055"/>
      <c r="T930" s="2056"/>
      <c r="U930" s="2314" t="s">
        <v>626</v>
      </c>
      <c r="V930" s="2055"/>
      <c r="W930" s="2055"/>
      <c r="X930" s="2055"/>
      <c r="Y930" s="2055"/>
      <c r="Z930" s="2056"/>
      <c r="AA930" s="2309"/>
      <c r="AB930" s="2039"/>
      <c r="AC930" s="2039"/>
      <c r="AD930" s="2039"/>
      <c r="AE930" s="2039"/>
      <c r="AF930" s="231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93" t="s">
        <v>343</v>
      </c>
      <c r="J931" s="2494"/>
      <c r="K931" s="2494"/>
      <c r="L931" s="2494"/>
      <c r="M931" s="2494"/>
      <c r="N931" s="2494"/>
      <c r="O931" s="2494"/>
      <c r="P931" s="2494"/>
      <c r="Q931" s="2494"/>
      <c r="R931" s="2494"/>
      <c r="S931" s="2494"/>
      <c r="T931" s="2495"/>
      <c r="U931" s="2314" t="s">
        <v>626</v>
      </c>
      <c r="V931" s="2055"/>
      <c r="W931" s="2055"/>
      <c r="X931" s="2055"/>
      <c r="Y931" s="2055"/>
      <c r="Z931" s="2056"/>
      <c r="AA931" s="2309"/>
      <c r="AB931" s="2039"/>
      <c r="AC931" s="2039"/>
      <c r="AD931" s="2039"/>
      <c r="AE931" s="2039"/>
      <c r="AF931" s="231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5" t="str">
        <f>+C566</f>
        <v>SHRA - Housing Trust Fund + MIHF</v>
      </c>
      <c r="J932" s="2306"/>
      <c r="K932" s="2306"/>
      <c r="L932" s="2306"/>
      <c r="M932" s="2306"/>
      <c r="N932" s="2306"/>
      <c r="O932" s="2306"/>
      <c r="P932" s="2306"/>
      <c r="Q932" s="2306"/>
      <c r="R932" s="2306"/>
      <c r="S932" s="2306"/>
      <c r="T932" s="2307"/>
      <c r="U932" s="2315" t="s">
        <v>578</v>
      </c>
      <c r="V932" s="2055"/>
      <c r="W932" s="2055"/>
      <c r="X932" s="2055"/>
      <c r="Y932" s="2055"/>
      <c r="Z932" s="2056"/>
      <c r="AA932" s="2309">
        <f>+AO638</f>
        <v>5000000</v>
      </c>
      <c r="AB932" s="2039"/>
      <c r="AC932" s="2039"/>
      <c r="AD932" s="2039"/>
      <c r="AE932" s="2039"/>
      <c r="AF932" s="231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5" t="str">
        <f>+C567</f>
        <v xml:space="preserve">SHRA/City of Sacramento Loan </v>
      </c>
      <c r="J933" s="2306"/>
      <c r="K933" s="2306"/>
      <c r="L933" s="2306"/>
      <c r="M933" s="2306"/>
      <c r="N933" s="2306"/>
      <c r="O933" s="2306"/>
      <c r="P933" s="2306"/>
      <c r="Q933" s="2306"/>
      <c r="R933" s="2306"/>
      <c r="S933" s="2306"/>
      <c r="T933" s="2307"/>
      <c r="U933" s="2315" t="s">
        <v>578</v>
      </c>
      <c r="V933" s="2055"/>
      <c r="W933" s="2055"/>
      <c r="X933" s="2055"/>
      <c r="Y933" s="2055"/>
      <c r="Z933" s="2056"/>
      <c r="AA933" s="2309">
        <f>+AO639</f>
        <v>10000000</v>
      </c>
      <c r="AB933" s="2039"/>
      <c r="AC933" s="2039"/>
      <c r="AD933" s="2039"/>
      <c r="AE933" s="2039"/>
      <c r="AF933" s="231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5" t="s">
        <v>343</v>
      </c>
      <c r="J934" s="2306"/>
      <c r="K934" s="2306"/>
      <c r="L934" s="2306"/>
      <c r="M934" s="2306"/>
      <c r="N934" s="2306"/>
      <c r="O934" s="2306"/>
      <c r="P934" s="2306"/>
      <c r="Q934" s="2306"/>
      <c r="R934" s="2306"/>
      <c r="S934" s="2306"/>
      <c r="T934" s="2307"/>
      <c r="U934" s="2314" t="s">
        <v>626</v>
      </c>
      <c r="V934" s="2055"/>
      <c r="W934" s="2055"/>
      <c r="X934" s="2055"/>
      <c r="Y934" s="2055"/>
      <c r="Z934" s="2056"/>
      <c r="AA934" s="2309"/>
      <c r="AB934" s="2039"/>
      <c r="AC934" s="2039"/>
      <c r="AD934" s="2039"/>
      <c r="AE934" s="2039"/>
      <c r="AF934" s="231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76"/>
      <c r="AN937" s="1576"/>
      <c r="AO937" s="1576"/>
      <c r="AP937" s="1576"/>
      <c r="AQ937" s="1576"/>
      <c r="AR937" s="1576"/>
      <c r="AS937" s="1576"/>
      <c r="AT937" s="1576"/>
      <c r="AU937" s="1576"/>
      <c r="AV937" s="1576"/>
      <c r="AW937" s="1576"/>
      <c r="AX937" s="1576"/>
      <c r="AY937" s="157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5"/>
      <c r="N939" s="2326"/>
      <c r="O939" s="2326"/>
      <c r="P939" s="2326"/>
      <c r="Q939" s="2326"/>
      <c r="R939" s="2326"/>
      <c r="S939" s="2327"/>
      <c r="U939" s="103" t="s">
        <v>11</v>
      </c>
      <c r="V939" s="77"/>
      <c r="W939" s="77"/>
      <c r="X939" s="77"/>
      <c r="Y939" s="77"/>
      <c r="Z939" s="77"/>
      <c r="AA939" s="77"/>
      <c r="AB939" s="77"/>
      <c r="AC939" s="77"/>
      <c r="AD939" s="78"/>
      <c r="AE939" s="2325"/>
      <c r="AF939" s="2326"/>
      <c r="AG939" s="2326"/>
      <c r="AH939" s="2326"/>
      <c r="AI939" s="2326"/>
      <c r="AJ939" s="2326"/>
      <c r="AK939" s="232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1"/>
      <c r="N940" s="2312"/>
      <c r="O940" s="2312"/>
      <c r="P940" s="2312"/>
      <c r="Q940" s="2312"/>
      <c r="R940" s="2312"/>
      <c r="S940" s="2313"/>
      <c r="U940" s="103" t="s">
        <v>12</v>
      </c>
      <c r="V940" s="77"/>
      <c r="W940" s="77"/>
      <c r="X940" s="77"/>
      <c r="Y940" s="77"/>
      <c r="Z940" s="77"/>
      <c r="AA940" s="77"/>
      <c r="AB940" s="77"/>
      <c r="AC940" s="77"/>
      <c r="AD940" s="78"/>
      <c r="AE940" s="2311"/>
      <c r="AF940" s="2312"/>
      <c r="AG940" s="2312"/>
      <c r="AH940" s="2312"/>
      <c r="AI940" s="2312"/>
      <c r="AJ940" s="2312"/>
      <c r="AK940" s="231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0"/>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16" t="s">
        <v>316</v>
      </c>
      <c r="K941" s="2317"/>
      <c r="L941" s="2317"/>
      <c r="M941" s="2317"/>
      <c r="N941" s="2317"/>
      <c r="O941" s="2317"/>
      <c r="P941" s="2317"/>
      <c r="Q941" s="2317"/>
      <c r="R941" s="2317"/>
      <c r="S941" s="2318"/>
      <c r="U941" s="103" t="s">
        <v>943</v>
      </c>
      <c r="V941" s="77"/>
      <c r="W941" s="77"/>
      <c r="AB941" s="2316" t="s">
        <v>316</v>
      </c>
      <c r="AC941" s="2317"/>
      <c r="AD941" s="2317"/>
      <c r="AE941" s="2317"/>
      <c r="AF941" s="2317"/>
      <c r="AG941" s="2317"/>
      <c r="AH941" s="2317"/>
      <c r="AI941" s="2317"/>
      <c r="AJ941" s="2317"/>
      <c r="AK941" s="231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3"/>
      <c r="N942" s="2348"/>
      <c r="O942" s="2348"/>
      <c r="P942" s="2348"/>
      <c r="Q942" s="2348"/>
      <c r="R942" s="2348"/>
      <c r="S942" s="2349"/>
      <c r="U942" s="103" t="s">
        <v>13</v>
      </c>
      <c r="V942" s="77"/>
      <c r="W942" s="77"/>
      <c r="X942" s="77"/>
      <c r="Y942" s="77"/>
      <c r="Z942" s="77"/>
      <c r="AA942" s="77"/>
      <c r="AB942" s="77"/>
      <c r="AC942" s="77"/>
      <c r="AD942" s="78"/>
      <c r="AE942" s="2347"/>
      <c r="AF942" s="2348"/>
      <c r="AG942" s="2348"/>
      <c r="AH942" s="2348"/>
      <c r="AI942" s="2348"/>
      <c r="AJ942" s="2348"/>
      <c r="AK942" s="234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2"/>
      <c r="N943" s="2263"/>
      <c r="O943" s="2263"/>
      <c r="P943" s="2263"/>
      <c r="Q943" s="2263"/>
      <c r="R943" s="2263"/>
      <c r="S943" s="2264"/>
      <c r="U943" s="103" t="s">
        <v>14</v>
      </c>
      <c r="V943" s="77"/>
      <c r="W943" s="77"/>
      <c r="X943" s="77"/>
      <c r="Y943" s="77"/>
      <c r="Z943" s="77"/>
      <c r="AA943" s="77"/>
      <c r="AB943" s="77"/>
      <c r="AC943" s="77"/>
      <c r="AD943" s="78"/>
      <c r="AE943" s="2262"/>
      <c r="AF943" s="2263"/>
      <c r="AG943" s="2263"/>
      <c r="AH943" s="2263"/>
      <c r="AI943" s="2263"/>
      <c r="AJ943" s="2263"/>
      <c r="AK943" s="226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9"/>
      <c r="N944" s="2039"/>
      <c r="O944" s="2039"/>
      <c r="P944" s="2039"/>
      <c r="Q944" s="2039"/>
      <c r="R944" s="2039"/>
      <c r="S944" s="2310"/>
      <c r="U944" s="103" t="s">
        <v>15</v>
      </c>
      <c r="V944" s="77"/>
      <c r="W944" s="77"/>
      <c r="X944" s="77"/>
      <c r="Y944" s="77"/>
      <c r="Z944" s="77"/>
      <c r="AA944" s="77"/>
      <c r="AB944" s="77"/>
      <c r="AC944" s="77"/>
      <c r="AD944" s="78"/>
      <c r="AE944" s="2309"/>
      <c r="AF944" s="2039"/>
      <c r="AG944" s="2039"/>
      <c r="AH944" s="2039"/>
      <c r="AI944" s="2039"/>
      <c r="AJ944" s="2039"/>
      <c r="AK944" s="231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9"/>
      <c r="N945" s="2039"/>
      <c r="O945" s="2039"/>
      <c r="P945" s="2039"/>
      <c r="Q945" s="2039"/>
      <c r="R945" s="2039"/>
      <c r="S945" s="2310"/>
      <c r="U945" s="103" t="s">
        <v>16</v>
      </c>
      <c r="V945" s="77"/>
      <c r="W945" s="77"/>
      <c r="X945" s="77"/>
      <c r="Y945" s="77"/>
      <c r="Z945" s="77"/>
      <c r="AA945" s="77"/>
      <c r="AB945" s="77"/>
      <c r="AC945" s="77"/>
      <c r="AD945" s="78"/>
      <c r="AE945" s="2309"/>
      <c r="AF945" s="2039"/>
      <c r="AG945" s="2039"/>
      <c r="AH945" s="2039"/>
      <c r="AI945" s="2039"/>
      <c r="AJ945" s="2039"/>
      <c r="AK945" s="231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44"/>
      <c r="N946" s="2345"/>
      <c r="O946" s="2345"/>
      <c r="P946" s="2345"/>
      <c r="Q946" s="2345"/>
      <c r="R946" s="2345"/>
      <c r="S946" s="2346"/>
      <c r="U946" s="103" t="s">
        <v>605</v>
      </c>
      <c r="V946" s="77"/>
      <c r="W946" s="77"/>
      <c r="X946" s="77"/>
      <c r="Y946" s="77"/>
      <c r="Z946" s="77"/>
      <c r="AA946" s="77"/>
      <c r="AB946" s="77"/>
      <c r="AC946" s="77"/>
      <c r="AD946" s="78"/>
      <c r="AE946" s="2344"/>
      <c r="AF946" s="2345"/>
      <c r="AG946" s="2345"/>
      <c r="AH946" s="2345"/>
      <c r="AI946" s="2345"/>
      <c r="AJ946" s="2345"/>
      <c r="AK946" s="234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76"/>
      <c r="AN948" s="1576"/>
      <c r="AO948" s="1576"/>
      <c r="AP948" s="1576"/>
      <c r="AQ948" s="1576"/>
      <c r="AR948" s="1576"/>
      <c r="AS948" s="1576"/>
      <c r="AT948" s="1576"/>
      <c r="AU948" s="1576"/>
      <c r="AV948" s="1576"/>
      <c r="AW948" s="1576"/>
      <c r="AX948" s="1576"/>
      <c r="AY948" s="157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76"/>
      <c r="AN949" s="1576"/>
      <c r="AO949" s="1576"/>
      <c r="AP949" s="1576"/>
      <c r="AQ949" s="1576"/>
      <c r="AR949" s="1576"/>
      <c r="AS949" s="1576"/>
      <c r="AT949" s="1576"/>
      <c r="AU949" s="1576"/>
      <c r="AV949" s="1576"/>
      <c r="AW949" s="1576"/>
      <c r="AX949" s="1576"/>
      <c r="AY949" s="157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76"/>
      <c r="AN950" s="1576"/>
      <c r="AO950" s="1576"/>
      <c r="AP950" s="1576"/>
      <c r="AQ950" s="1576"/>
      <c r="AR950" s="1576"/>
      <c r="AS950" s="1576"/>
      <c r="AT950" s="1576"/>
      <c r="AU950" s="1576"/>
      <c r="AV950" s="1576"/>
      <c r="AW950" s="1576"/>
      <c r="AX950" s="1576"/>
      <c r="AY950" s="157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19"/>
      <c r="N951" s="2320"/>
      <c r="O951" s="2320"/>
      <c r="P951" s="2320"/>
      <c r="Q951" s="2320"/>
      <c r="R951" s="2320"/>
      <c r="S951" s="2321"/>
      <c r="T951" s="103" t="s">
        <v>848</v>
      </c>
      <c r="U951" s="77"/>
      <c r="V951" s="77"/>
      <c r="W951" s="77"/>
      <c r="X951" s="77"/>
      <c r="Y951" s="77"/>
      <c r="Z951" s="78"/>
      <c r="AA951" s="2319"/>
      <c r="AB951" s="2320"/>
      <c r="AC951" s="2320"/>
      <c r="AD951" s="2320"/>
      <c r="AE951" s="2320"/>
      <c r="AF951" s="2320"/>
      <c r="AG951" s="232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19"/>
      <c r="N952" s="2320"/>
      <c r="O952" s="2320"/>
      <c r="P952" s="2320"/>
      <c r="Q952" s="2320"/>
      <c r="R952" s="2320"/>
      <c r="S952" s="2321"/>
      <c r="T952" s="103" t="s">
        <v>847</v>
      </c>
      <c r="U952" s="77"/>
      <c r="V952" s="77"/>
      <c r="W952" s="77"/>
      <c r="X952" s="77"/>
      <c r="Y952" s="77"/>
      <c r="Z952" s="78"/>
      <c r="AA952" s="2319"/>
      <c r="AB952" s="2320"/>
      <c r="AC952" s="2320"/>
      <c r="AD952" s="2320"/>
      <c r="AE952" s="2320"/>
      <c r="AF952" s="2320"/>
      <c r="AG952" s="232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0"/>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29" t="s">
        <v>626</v>
      </c>
      <c r="N953" s="2330"/>
      <c r="O953" s="2330"/>
      <c r="P953" s="2330"/>
      <c r="Q953" s="2330"/>
      <c r="R953" s="2330"/>
      <c r="S953" s="2331"/>
      <c r="T953" s="76" t="s">
        <v>346</v>
      </c>
      <c r="U953" s="77"/>
      <c r="V953" s="77"/>
      <c r="W953" s="77"/>
      <c r="X953" s="77"/>
      <c r="Y953" s="77"/>
      <c r="Z953" s="78"/>
      <c r="AA953" s="2319"/>
      <c r="AB953" s="2320"/>
      <c r="AC953" s="2320"/>
      <c r="AD953" s="2320"/>
      <c r="AE953" s="2320"/>
      <c r="AF953" s="2320"/>
      <c r="AG953" s="232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19"/>
      <c r="N954" s="2320"/>
      <c r="O954" s="2320"/>
      <c r="P954" s="2320"/>
      <c r="Q954" s="2320"/>
      <c r="R954" s="2320"/>
      <c r="S954" s="2321"/>
      <c r="T954" s="76" t="s">
        <v>347</v>
      </c>
      <c r="U954" s="77"/>
      <c r="V954" s="77"/>
      <c r="W954" s="77"/>
      <c r="X954" s="77"/>
      <c r="Y954" s="77"/>
      <c r="Z954" s="78"/>
      <c r="AA954" s="2319"/>
      <c r="AB954" s="2320"/>
      <c r="AC954" s="2320"/>
      <c r="AD954" s="2320"/>
      <c r="AE954" s="2320"/>
      <c r="AF954" s="2320"/>
      <c r="AG954" s="232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19"/>
      <c r="N955" s="2320"/>
      <c r="O955" s="2320"/>
      <c r="P955" s="2320"/>
      <c r="Q955" s="2320"/>
      <c r="R955" s="2320"/>
      <c r="S955" s="2321"/>
      <c r="T955" s="76" t="s">
        <v>394</v>
      </c>
      <c r="U955" s="77"/>
      <c r="V955" s="77"/>
      <c r="W955" s="77"/>
      <c r="X955" s="77"/>
      <c r="Y955" s="77"/>
      <c r="Z955" s="78"/>
      <c r="AA955" s="2319"/>
      <c r="AB955" s="2320"/>
      <c r="AC955" s="2320"/>
      <c r="AD955" s="2320"/>
      <c r="AE955" s="2320"/>
      <c r="AF955" s="2320"/>
      <c r="AG955" s="232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0"/>
      <c r="CS955" s="61"/>
      <c r="CT955" s="61"/>
      <c r="CU955" s="61"/>
      <c r="CV955" s="61"/>
      <c r="CW955" s="61"/>
      <c r="CX955" s="61"/>
      <c r="CY955" s="61"/>
      <c r="CZ955" s="61"/>
      <c r="DA955" s="61"/>
      <c r="DB955" s="61"/>
      <c r="DC955" s="61"/>
      <c r="DD955" s="61"/>
      <c r="DE955" s="61"/>
      <c r="DF955" s="61"/>
    </row>
    <row r="956" spans="1:110" ht="12.75" customHeight="1">
      <c r="F956" s="386" t="s">
        <v>943</v>
      </c>
      <c r="G956" s="72"/>
      <c r="H956" s="72"/>
      <c r="I956" s="72"/>
      <c r="J956" s="72"/>
      <c r="K956" s="72"/>
      <c r="L956" s="94"/>
      <c r="M956" s="2332" t="s">
        <v>316</v>
      </c>
      <c r="N956" s="2333"/>
      <c r="O956" s="2333"/>
      <c r="P956" s="2333"/>
      <c r="Q956" s="2333"/>
      <c r="R956" s="2333"/>
      <c r="S956" s="2334"/>
      <c r="T956" s="2322"/>
      <c r="U956" s="2323"/>
      <c r="V956" s="2323"/>
      <c r="W956" s="2323"/>
      <c r="X956" s="2323"/>
      <c r="Y956" s="2323"/>
      <c r="Z956" s="2324"/>
      <c r="AA956" s="2319"/>
      <c r="AB956" s="2320"/>
      <c r="AC956" s="2320"/>
      <c r="AD956" s="2320"/>
      <c r="AE956" s="2320"/>
      <c r="AF956" s="2320"/>
      <c r="AG956" s="232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19"/>
      <c r="N957" s="2320"/>
      <c r="O957" s="2320"/>
      <c r="P957" s="2320"/>
      <c r="Q957" s="2320"/>
      <c r="R957" s="2320"/>
      <c r="S957" s="2321"/>
      <c r="T957" s="2322"/>
      <c r="U957" s="2323"/>
      <c r="V957" s="2323"/>
      <c r="W957" s="2323"/>
      <c r="X957" s="2323"/>
      <c r="Y957" s="2323"/>
      <c r="Z957" s="2324"/>
      <c r="AA957" s="2319"/>
      <c r="AB957" s="2320"/>
      <c r="AC957" s="2320"/>
      <c r="AD957" s="2320"/>
      <c r="AE957" s="2320"/>
      <c r="AF957" s="2320"/>
      <c r="AG957" s="232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07" t="s">
        <v>706</v>
      </c>
      <c r="P958" s="2108"/>
      <c r="Q958" s="139"/>
      <c r="R958" s="139"/>
      <c r="S958" s="140"/>
      <c r="T958" s="71" t="s">
        <v>175</v>
      </c>
      <c r="U958" s="72"/>
      <c r="V958" s="72"/>
      <c r="W958" s="2282" t="s">
        <v>343</v>
      </c>
      <c r="X958" s="2283"/>
      <c r="Y958" s="2283"/>
      <c r="Z958" s="2283"/>
      <c r="AA958" s="2283"/>
      <c r="AB958" s="2283"/>
      <c r="AC958" s="2283"/>
      <c r="AD958" s="2283"/>
      <c r="AE958" s="2283"/>
      <c r="AF958" s="2283"/>
      <c r="AG958" s="228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0"/>
      <c r="CS958" s="61"/>
      <c r="CT958" s="61"/>
      <c r="CU958" s="61"/>
      <c r="CV958" s="61"/>
      <c r="CW958" s="61"/>
      <c r="CX958" s="61"/>
      <c r="CY958" s="61"/>
      <c r="CZ958" s="61"/>
      <c r="DA958" s="61"/>
      <c r="DB958" s="61"/>
      <c r="DC958" s="61"/>
      <c r="DD958" s="61"/>
      <c r="DE958" s="61"/>
      <c r="DF958" s="61"/>
    </row>
    <row r="959" spans="1:110" ht="12.75" customHeight="1">
      <c r="F959" s="2351" t="s">
        <v>34</v>
      </c>
      <c r="G959" s="2352"/>
      <c r="H959" s="2352"/>
      <c r="I959" s="2352"/>
      <c r="J959" s="2352"/>
      <c r="K959" s="2352"/>
      <c r="L959" s="2352"/>
      <c r="M959" s="2319"/>
      <c r="N959" s="2320"/>
      <c r="O959" s="2320"/>
      <c r="P959" s="2320"/>
      <c r="Q959" s="2320"/>
      <c r="R959" s="2320"/>
      <c r="S959" s="2321"/>
      <c r="T959" s="79"/>
      <c r="U959" s="80"/>
      <c r="V959" s="80"/>
      <c r="W959" s="80"/>
      <c r="X959" s="80"/>
      <c r="Y959" s="80"/>
      <c r="Z959" s="188" t="s">
        <v>139</v>
      </c>
      <c r="AA959" s="2490"/>
      <c r="AB959" s="2491"/>
      <c r="AC959" s="2491"/>
      <c r="AD959" s="2491"/>
      <c r="AE959" s="2491"/>
      <c r="AF959" s="2491"/>
      <c r="AG959" s="249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0"/>
      <c r="CS962" s="61"/>
      <c r="CT962" s="61"/>
      <c r="CU962" s="61"/>
      <c r="CV962" s="61"/>
      <c r="CW962" s="61"/>
      <c r="CX962" s="61"/>
      <c r="CY962" s="61"/>
      <c r="CZ962" s="61"/>
      <c r="DA962" s="61"/>
      <c r="DB962" s="61"/>
      <c r="DC962" s="61"/>
      <c r="DD962" s="61"/>
      <c r="DE962" s="61"/>
      <c r="DF962" s="61"/>
    </row>
    <row r="963" spans="1:110" ht="12.75" customHeight="1">
      <c r="A963" s="2382" t="s">
        <v>581</v>
      </c>
      <c r="B963" s="2382"/>
      <c r="C963" s="2382"/>
      <c r="D963" s="2382"/>
      <c r="E963" s="2382"/>
      <c r="F963" s="2382"/>
      <c r="G963" s="2382"/>
      <c r="H963" s="2382"/>
      <c r="I963" s="2382"/>
      <c r="J963" s="2382"/>
      <c r="K963" s="2382"/>
      <c r="L963" s="2382"/>
      <c r="M963" s="2382"/>
      <c r="N963" s="2382"/>
      <c r="O963" s="2382"/>
      <c r="P963" s="2382"/>
      <c r="Q963" s="2382"/>
      <c r="R963" s="2382"/>
      <c r="S963" s="2382"/>
      <c r="T963" s="2382"/>
      <c r="U963" s="2382"/>
      <c r="V963" s="2382"/>
      <c r="W963" s="2382"/>
      <c r="X963" s="2382"/>
      <c r="Y963" s="2382"/>
      <c r="Z963" s="2382"/>
      <c r="AA963" s="2382"/>
      <c r="AB963" s="2382"/>
      <c r="AC963" s="2382"/>
      <c r="AD963" s="2382"/>
      <c r="AE963" s="2382"/>
      <c r="AF963" s="2382"/>
      <c r="AG963" s="2382"/>
      <c r="AH963" s="2382"/>
      <c r="AI963" s="2382"/>
      <c r="AJ963" s="2382"/>
      <c r="AK963" s="2382"/>
      <c r="AL963" s="2382"/>
      <c r="AM963" s="2382"/>
      <c r="AN963" s="2382"/>
      <c r="AO963" s="2382"/>
      <c r="AP963" s="2382"/>
      <c r="AQ963" s="2382"/>
      <c r="AR963" s="2382"/>
      <c r="AS963" s="238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0"/>
      <c r="CS963" s="61"/>
      <c r="CT963" s="61"/>
      <c r="CU963" s="61"/>
      <c r="CV963" s="61"/>
      <c r="CW963" s="61"/>
      <c r="CX963" s="61"/>
      <c r="CY963" s="61"/>
      <c r="CZ963" s="61"/>
      <c r="DA963" s="61"/>
      <c r="DB963" s="61"/>
      <c r="DC963" s="61"/>
      <c r="DD963" s="61"/>
      <c r="DE963" s="61"/>
      <c r="DF963" s="61"/>
    </row>
    <row r="964" spans="1:110" s="51" customFormat="1" ht="12.75" customHeight="1">
      <c r="A964" s="2382"/>
      <c r="B964" s="2382"/>
      <c r="C964" s="2382"/>
      <c r="D964" s="2382"/>
      <c r="E964" s="2382"/>
      <c r="F964" s="2382"/>
      <c r="G964" s="2382"/>
      <c r="H964" s="2382"/>
      <c r="I964" s="2382"/>
      <c r="J964" s="2382"/>
      <c r="K964" s="2382"/>
      <c r="L964" s="2382"/>
      <c r="M964" s="2382"/>
      <c r="N964" s="2382"/>
      <c r="O964" s="2382"/>
      <c r="P964" s="2382"/>
      <c r="Q964" s="2382"/>
      <c r="R964" s="2382"/>
      <c r="S964" s="2382"/>
      <c r="T964" s="2382"/>
      <c r="U964" s="2382"/>
      <c r="V964" s="2382"/>
      <c r="W964" s="2382"/>
      <c r="X964" s="2382"/>
      <c r="Y964" s="2382"/>
      <c r="Z964" s="2382"/>
      <c r="AA964" s="2382"/>
      <c r="AB964" s="2382"/>
      <c r="AC964" s="2382"/>
      <c r="AD964" s="2382"/>
      <c r="AE964" s="2382"/>
      <c r="AF964" s="2382"/>
      <c r="AG964" s="2382"/>
      <c r="AH964" s="2382"/>
      <c r="AI964" s="2382"/>
      <c r="AJ964" s="2382"/>
      <c r="AK964" s="2382"/>
      <c r="AL964" s="2382"/>
      <c r="AM964" s="2382"/>
      <c r="AN964" s="2382"/>
      <c r="AO964" s="2382"/>
      <c r="AP964" s="2382"/>
      <c r="AQ964" s="2382"/>
      <c r="AR964" s="2382"/>
      <c r="AS964" s="238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90"/>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77"/>
      <c r="AN965" s="1577"/>
      <c r="AO965" s="1577"/>
      <c r="AP965" s="1577"/>
      <c r="AQ965" s="1577"/>
      <c r="AR965" s="1577"/>
      <c r="AS965" s="1577"/>
      <c r="AT965" s="1577"/>
      <c r="AU965" s="1577"/>
      <c r="AV965" s="1577"/>
      <c r="AW965" s="1577"/>
      <c r="AX965" s="1577"/>
      <c r="AY965" s="1577"/>
      <c r="AZ965" s="21"/>
      <c r="BB965" s="21"/>
      <c r="BC965" s="21"/>
      <c r="BD965" s="21"/>
      <c r="BE965" s="21"/>
      <c r="BF965" s="21"/>
      <c r="BG965" s="2308"/>
      <c r="BH965" s="2308"/>
      <c r="BI965" s="2308"/>
      <c r="BJ965" s="2308"/>
      <c r="BK965" s="2308"/>
      <c r="BL965" s="2308"/>
      <c r="BM965" s="56"/>
      <c r="BN965" s="56"/>
      <c r="CB965" s="107"/>
      <c r="CC965" s="107"/>
      <c r="CD965" s="107"/>
      <c r="CE965" s="107"/>
      <c r="CF965" s="107"/>
      <c r="CG965" s="107"/>
      <c r="CH965" s="107"/>
      <c r="CI965" s="107"/>
      <c r="CJ965" s="107"/>
      <c r="CK965" s="107"/>
      <c r="CL965" s="107"/>
      <c r="CM965" s="107"/>
      <c r="CN965" s="107"/>
      <c r="CO965" s="107"/>
      <c r="CP965" s="107"/>
      <c r="CQ965" s="107"/>
      <c r="CR965" s="1790"/>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577"/>
      <c r="AN966" s="1577"/>
      <c r="AO966" s="1577"/>
      <c r="AP966" s="1577"/>
      <c r="AQ966" s="1577"/>
      <c r="AR966" s="1577"/>
      <c r="AS966" s="1577"/>
      <c r="AT966" s="1577"/>
      <c r="AU966" s="1577"/>
      <c r="AV966" s="1577"/>
      <c r="AW966" s="1577"/>
      <c r="AX966" s="1577"/>
      <c r="AY966" s="1577"/>
      <c r="BB966" s="1604"/>
      <c r="BC966" s="160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90"/>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77"/>
      <c r="AN967" s="1577"/>
      <c r="AO967" s="1577"/>
      <c r="AP967" s="1577"/>
      <c r="AQ967" s="1577"/>
      <c r="AR967" s="1577"/>
      <c r="AS967" s="1577"/>
      <c r="AT967" s="1577"/>
      <c r="AU967" s="1577"/>
      <c r="AV967" s="1577"/>
      <c r="AW967" s="1577"/>
      <c r="AX967" s="1577"/>
      <c r="AY967" s="1577"/>
      <c r="BB967" s="1604"/>
      <c r="BC967" s="160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90"/>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0"/>
      <c r="D968" s="2484" t="s">
        <v>673</v>
      </c>
      <c r="E968" s="2485"/>
      <c r="F968" s="2485"/>
      <c r="G968" s="2485"/>
      <c r="H968" s="2485"/>
      <c r="I968" s="2485"/>
      <c r="J968" s="2485"/>
      <c r="K968" s="2485"/>
      <c r="L968" s="2485"/>
      <c r="M968" s="2485"/>
      <c r="N968" s="2485"/>
      <c r="O968" s="2485"/>
      <c r="P968" s="2485"/>
      <c r="Q968" s="2486"/>
      <c r="R968" s="2484" t="s">
        <v>674</v>
      </c>
      <c r="S968" s="2485"/>
      <c r="T968" s="2485"/>
      <c r="U968" s="2485"/>
      <c r="V968" s="2485"/>
      <c r="W968" s="2485"/>
      <c r="X968" s="2485"/>
      <c r="Y968" s="2485"/>
      <c r="Z968" s="2485"/>
      <c r="AA968" s="2486"/>
      <c r="AB968" s="2484" t="s">
        <v>675</v>
      </c>
      <c r="AC968" s="2485"/>
      <c r="AD968" s="2485"/>
      <c r="AE968" s="2485"/>
      <c r="AF968" s="2485"/>
      <c r="AG968" s="2485"/>
      <c r="AH968" s="2485"/>
      <c r="AI968" s="2486"/>
      <c r="AJ968" s="2484" t="s">
        <v>676</v>
      </c>
      <c r="AK968" s="2485"/>
      <c r="AL968" s="2485"/>
      <c r="AM968" s="2485"/>
      <c r="AN968" s="2485"/>
      <c r="AO968" s="2485"/>
      <c r="AP968" s="2485"/>
      <c r="AQ968" s="2486"/>
      <c r="AR968" s="1577"/>
      <c r="AS968" s="1577"/>
      <c r="AT968" s="1577"/>
      <c r="AU968" s="1577"/>
      <c r="AV968" s="1577"/>
      <c r="AW968" s="1577"/>
      <c r="AX968" s="1577"/>
      <c r="AY968" s="157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90"/>
      <c r="CS968" s="107"/>
      <c r="CT968" s="107"/>
      <c r="CU968" s="107"/>
      <c r="CV968" s="107"/>
      <c r="CW968" s="107"/>
      <c r="CX968" s="107"/>
      <c r="CY968" s="107"/>
      <c r="CZ968" s="107"/>
      <c r="DA968" s="107"/>
      <c r="DB968" s="107"/>
      <c r="DC968" s="107"/>
      <c r="DD968" s="107"/>
      <c r="DE968" s="107"/>
      <c r="DF968" s="107"/>
    </row>
    <row r="969" spans="1:110" s="51" customFormat="1" ht="13.2">
      <c r="B969" s="110"/>
      <c r="C969" s="1621"/>
      <c r="D969" s="2375" t="s">
        <v>668</v>
      </c>
      <c r="E969" s="2376"/>
      <c r="F969" s="2376"/>
      <c r="G969" s="2376"/>
      <c r="H969" s="2376"/>
      <c r="I969" s="2376"/>
      <c r="J969" s="2376"/>
      <c r="K969" s="2376"/>
      <c r="L969" s="2376"/>
      <c r="M969" s="2376"/>
      <c r="N969" s="2376"/>
      <c r="O969" s="2376"/>
      <c r="P969" s="2376"/>
      <c r="Q969" s="2377"/>
      <c r="R969" s="2353">
        <f>IF(ISNA(IF($BN$799="4%",(INDEX($BP$809:$BT$866,MATCH($CB$799,$BO$809:$BO$866,0),MATCH(D969,$BP$808:$BT$808,0))),(INDEX($BW$809:$CA$866,MATCH($CB$799,$BV$809:$BV$866,0),MATCH(D969,$BW$808:$CA$808,0))))),0,IF($BN$799="4%",(INDEX($BP$809:$BT$866,MATCH($CB$799,$BO$809:$BO$866,0),MATCH(D969,$BP$808:$BT$808,0))),(INDEX($BW$809:$CA$866,MATCH($CB$799,$BV$809:$BV$866,0),MATCH(D969,$BW$808:$CA$808,0)))))</f>
        <v>278397</v>
      </c>
      <c r="S969" s="2353"/>
      <c r="T969" s="2353"/>
      <c r="U969" s="2353"/>
      <c r="V969" s="2353"/>
      <c r="W969" s="2353"/>
      <c r="X969" s="2353"/>
      <c r="Y969" s="2353"/>
      <c r="Z969" s="2353"/>
      <c r="AA969" s="2353"/>
      <c r="AB969" s="2487">
        <f>BN663</f>
        <v>0</v>
      </c>
      <c r="AC969" s="2488"/>
      <c r="AD969" s="2488"/>
      <c r="AE969" s="2488"/>
      <c r="AF969" s="2488"/>
      <c r="AG969" s="2488"/>
      <c r="AH969" s="2488"/>
      <c r="AI969" s="2489"/>
      <c r="AJ969" s="2379">
        <f>IF(ISERROR((R969*AB969)),0,(R969*AB969))</f>
        <v>0</v>
      </c>
      <c r="AK969" s="2380"/>
      <c r="AL969" s="2380"/>
      <c r="AM969" s="2380"/>
      <c r="AN969" s="2380"/>
      <c r="AO969" s="2380"/>
      <c r="AP969" s="2380"/>
      <c r="AQ969" s="2381"/>
      <c r="AR969" s="1577"/>
      <c r="AS969" s="1577"/>
      <c r="AT969" s="1577"/>
      <c r="AU969" s="1577"/>
      <c r="AV969" s="1577"/>
      <c r="AW969" s="1577"/>
      <c r="AX969" s="1577"/>
      <c r="AY969" s="157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90"/>
      <c r="CS969" s="107"/>
      <c r="CT969" s="107"/>
      <c r="CU969" s="107"/>
      <c r="CV969" s="107"/>
      <c r="CW969" s="107"/>
      <c r="CX969" s="107"/>
      <c r="CY969" s="107"/>
      <c r="CZ969" s="107"/>
      <c r="DA969" s="107"/>
      <c r="DB969" s="107"/>
      <c r="DC969" s="107"/>
      <c r="DD969" s="107"/>
      <c r="DE969" s="107"/>
      <c r="DF969" s="107"/>
    </row>
    <row r="970" spans="1:110" s="51" customFormat="1" ht="13.2">
      <c r="B970" s="110"/>
      <c r="C970" s="1622"/>
      <c r="D970" s="2375" t="s">
        <v>334</v>
      </c>
      <c r="E970" s="2376"/>
      <c r="F970" s="2376"/>
      <c r="G970" s="2376"/>
      <c r="H970" s="2376"/>
      <c r="I970" s="2376"/>
      <c r="J970" s="2376"/>
      <c r="K970" s="2376"/>
      <c r="L970" s="2376"/>
      <c r="M970" s="2376"/>
      <c r="N970" s="2376"/>
      <c r="O970" s="2376"/>
      <c r="P970" s="2376"/>
      <c r="Q970" s="2377"/>
      <c r="R970" s="2353">
        <f>IF(ISNA(IF($BN$799="4%",(INDEX($BP$809:$BT$866,MATCH($CB$799,$BO$809:$BO$866,0),MATCH(D970,$BP$808:$BT$808,0))),(INDEX($BW$809:$CA$866,MATCH($CB$799,$BV$809:$BV$866,0),MATCH(D970,$BW$808:$CA$808,0))))),0,IF($BN$799="4%",(INDEX($BP$809:$BT$866,MATCH($CB$799,$BO$809:$BO$866,0),MATCH(D970,$BP$808:$BT$808,0))),(INDEX($BW$809:$CA$866,MATCH($CB$799,$BV$809:$BV$866,0),MATCH(D970,$BW$808:$CA$808,0)))))</f>
        <v>320989</v>
      </c>
      <c r="S970" s="2353"/>
      <c r="T970" s="2353"/>
      <c r="U970" s="2353"/>
      <c r="V970" s="2353"/>
      <c r="W970" s="2353"/>
      <c r="X970" s="2353"/>
      <c r="Y970" s="2353"/>
      <c r="Z970" s="2353"/>
      <c r="AA970" s="2353"/>
      <c r="AB970" s="2487">
        <f>BS663</f>
        <v>47</v>
      </c>
      <c r="AC970" s="2488"/>
      <c r="AD970" s="2488"/>
      <c r="AE970" s="2488"/>
      <c r="AF970" s="2488"/>
      <c r="AG970" s="2488"/>
      <c r="AH970" s="2488"/>
      <c r="AI970" s="2489"/>
      <c r="AJ970" s="2379">
        <f>IF(ISERROR((R970*AB970)),0,(R970*AB970))</f>
        <v>15086483</v>
      </c>
      <c r="AK970" s="2380"/>
      <c r="AL970" s="2380"/>
      <c r="AM970" s="2380"/>
      <c r="AN970" s="2380"/>
      <c r="AO970" s="2380"/>
      <c r="AP970" s="2380"/>
      <c r="AQ970" s="2381"/>
      <c r="AR970" s="1577"/>
      <c r="AS970" s="1577"/>
      <c r="AT970" s="1577"/>
      <c r="AU970" s="1577"/>
      <c r="AV970" s="1577"/>
      <c r="AW970" s="1577"/>
      <c r="AX970" s="1577"/>
      <c r="AY970" s="157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9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2"/>
      <c r="D971" s="2375" t="s">
        <v>168</v>
      </c>
      <c r="E971" s="2376"/>
      <c r="F971" s="2376"/>
      <c r="G971" s="2376"/>
      <c r="H971" s="2376"/>
      <c r="I971" s="2376"/>
      <c r="J971" s="2376"/>
      <c r="K971" s="2376"/>
      <c r="L971" s="2376"/>
      <c r="M971" s="2376"/>
      <c r="N971" s="2376"/>
      <c r="O971" s="2376"/>
      <c r="P971" s="2376"/>
      <c r="Q971" s="2377"/>
      <c r="R971" s="2353">
        <f>IF(ISNA(IF($BN$799="4%",(INDEX($BP$809:$BT$866,MATCH($CB$799,$BO$809:$BO$866,0),MATCH(D971,$BP$808:$BT$808,0))),(INDEX($BW$809:$CA$866,MATCH($CB$799,$BV$809:$BV$866,0),MATCH(D971,$BW$808:$CA$808,0))))),0,IF($BN$799="4%",(INDEX($BP$809:$BT$866,MATCH($CB$799,$BO$809:$BO$866,0),MATCH(D971,$BP$808:$BT$808,0))),(INDEX($BW$809:$CA$866,MATCH($CB$799,$BV$809:$BV$866,0),MATCH(D971,$BW$808:$CA$808,0)))))</f>
        <v>387200</v>
      </c>
      <c r="S971" s="2353"/>
      <c r="T971" s="2353"/>
      <c r="U971" s="2353"/>
      <c r="V971" s="2353"/>
      <c r="W971" s="2353"/>
      <c r="X971" s="2353"/>
      <c r="Y971" s="2353"/>
      <c r="Z971" s="2353"/>
      <c r="AA971" s="2353"/>
      <c r="AB971" s="2487">
        <f>BX663</f>
        <v>95</v>
      </c>
      <c r="AC971" s="2488"/>
      <c r="AD971" s="2488"/>
      <c r="AE971" s="2488"/>
      <c r="AF971" s="2488"/>
      <c r="AG971" s="2488"/>
      <c r="AH971" s="2488"/>
      <c r="AI971" s="2489"/>
      <c r="AJ971" s="2379">
        <f>IF(ISERROR((R971*AB971)),0,(R971*AB971))</f>
        <v>36784000</v>
      </c>
      <c r="AK971" s="2380"/>
      <c r="AL971" s="2380"/>
      <c r="AM971" s="2380"/>
      <c r="AN971" s="2380"/>
      <c r="AO971" s="2380"/>
      <c r="AP971" s="2380"/>
      <c r="AQ971" s="2381"/>
      <c r="AR971" s="1577"/>
      <c r="AS971" s="1577"/>
      <c r="AT971" s="1577"/>
      <c r="AU971" s="1577"/>
      <c r="AV971" s="1577"/>
      <c r="AW971" s="1577"/>
      <c r="AX971" s="1577"/>
      <c r="AY971" s="157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90"/>
      <c r="CS971" s="107"/>
      <c r="CT971" s="107"/>
      <c r="CU971" s="107"/>
      <c r="CV971" s="107"/>
      <c r="CW971" s="107"/>
      <c r="CX971" s="107"/>
      <c r="CY971" s="107"/>
      <c r="CZ971" s="107"/>
      <c r="DA971" s="107"/>
      <c r="DB971" s="107"/>
      <c r="DC971" s="107"/>
      <c r="DD971" s="107"/>
      <c r="DE971" s="107"/>
      <c r="DF971" s="107"/>
    </row>
    <row r="972" spans="1:110" s="51" customFormat="1" ht="13.2">
      <c r="B972" s="110"/>
      <c r="C972" s="1622"/>
      <c r="D972" s="2375" t="s">
        <v>169</v>
      </c>
      <c r="E972" s="2376"/>
      <c r="F972" s="2376"/>
      <c r="G972" s="2376"/>
      <c r="H972" s="2376"/>
      <c r="I972" s="2376"/>
      <c r="J972" s="2376"/>
      <c r="K972" s="2376"/>
      <c r="L972" s="2376"/>
      <c r="M972" s="2376"/>
      <c r="N972" s="2376"/>
      <c r="O972" s="2376"/>
      <c r="P972" s="2376"/>
      <c r="Q972" s="2377"/>
      <c r="R972" s="2353">
        <f>IF(ISNA(IF($BN$799="4%",(INDEX($BP$809:$BT$866,MATCH($CB$799,$BO$809:$BO$866,0),MATCH(D972,$BP$808:$BT$808,0))),(INDEX($BW$809:$CA$866,MATCH($CB$799,$BV$809:$BV$866,0),MATCH(D972,$BW$808:$CA$808,0))))),0,IF($BN$799="4%",(INDEX($BP$809:$BT$866,MATCH($CB$799,$BO$809:$BO$866,0),MATCH(D972,$BP$808:$BT$808,0))),(INDEX($BW$809:$CA$866,MATCH($CB$799,$BV$809:$BV$866,0),MATCH(D972,$BW$808:$CA$808,0)))))</f>
        <v>495616</v>
      </c>
      <c r="S972" s="2353"/>
      <c r="T972" s="2353"/>
      <c r="U972" s="2353"/>
      <c r="V972" s="2353"/>
      <c r="W972" s="2353"/>
      <c r="X972" s="2353"/>
      <c r="Y972" s="2353"/>
      <c r="Z972" s="2353"/>
      <c r="AA972" s="2353"/>
      <c r="AB972" s="2487">
        <f>CC663</f>
        <v>58</v>
      </c>
      <c r="AC972" s="2488"/>
      <c r="AD972" s="2488"/>
      <c r="AE972" s="2488"/>
      <c r="AF972" s="2488"/>
      <c r="AG972" s="2488"/>
      <c r="AH972" s="2488"/>
      <c r="AI972" s="2489"/>
      <c r="AJ972" s="2379">
        <f>IF(ISERROR((R972*AB972)),0,(R972*AB972))</f>
        <v>28745728</v>
      </c>
      <c r="AK972" s="2380"/>
      <c r="AL972" s="2380"/>
      <c r="AM972" s="2380"/>
      <c r="AN972" s="2380"/>
      <c r="AO972" s="2380"/>
      <c r="AP972" s="2380"/>
      <c r="AQ972" s="2381"/>
      <c r="AR972" s="1577"/>
      <c r="AS972" s="1577"/>
      <c r="AT972" s="1577"/>
      <c r="AU972" s="1577"/>
      <c r="AV972" s="1577"/>
      <c r="AW972" s="1577"/>
      <c r="AX972" s="1577"/>
      <c r="AY972" s="157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90"/>
      <c r="CS972" s="107"/>
      <c r="CT972" s="107"/>
      <c r="CU972" s="107"/>
      <c r="CV972" s="107"/>
      <c r="CW972" s="107"/>
      <c r="CX972" s="107"/>
      <c r="CY972" s="107"/>
      <c r="CZ972" s="107"/>
      <c r="DA972" s="107"/>
      <c r="DB972" s="107"/>
      <c r="DC972" s="107"/>
      <c r="DD972" s="107"/>
      <c r="DE972" s="107"/>
      <c r="DF972" s="107"/>
    </row>
    <row r="973" spans="1:110" ht="12.75" customHeight="1">
      <c r="A973" s="51"/>
      <c r="B973" s="79"/>
      <c r="C973" s="1623"/>
      <c r="D973" s="2375" t="s">
        <v>493</v>
      </c>
      <c r="E973" s="2376"/>
      <c r="F973" s="2376"/>
      <c r="G973" s="2376"/>
      <c r="H973" s="2376"/>
      <c r="I973" s="2376"/>
      <c r="J973" s="2376"/>
      <c r="K973" s="2376"/>
      <c r="L973" s="2376"/>
      <c r="M973" s="2376"/>
      <c r="N973" s="2376"/>
      <c r="O973" s="2376"/>
      <c r="P973" s="2376"/>
      <c r="Q973" s="2377"/>
      <c r="R973" s="2353">
        <f>IF(ISNA(IF($BN$799="4%",(INDEX($BP$809:$BT$866,MATCH($CB$799,$BO$809:$BO$866,0),MATCH(D973,$BP$808:$BT$808,0))),(INDEX($BW$809:$CA$866,MATCH($CB$799,$BV$809:$BV$866,0),MATCH(D973,$BW$808:$CA$808,0))))),0,IF($BN$799="4%",(INDEX($BP$809:$BT$866,MATCH($CB$799,$BO$809:$BO$866,0),MATCH(D973,$BP$808:$BT$808,0))),(INDEX($BW$809:$CA$866,MATCH($CB$799,$BV$809:$BV$866,0),MATCH(D973,$BW$808:$CA$808,0)))))</f>
        <v>552147</v>
      </c>
      <c r="S973" s="2353"/>
      <c r="T973" s="2353"/>
      <c r="U973" s="2353"/>
      <c r="V973" s="2353"/>
      <c r="W973" s="2353"/>
      <c r="X973" s="2353"/>
      <c r="Y973" s="2353"/>
      <c r="Z973" s="2353"/>
      <c r="AA973" s="2353"/>
      <c r="AB973" s="2487">
        <f>CM663+CH663</f>
        <v>0</v>
      </c>
      <c r="AC973" s="2488"/>
      <c r="AD973" s="2488"/>
      <c r="AE973" s="2488"/>
      <c r="AF973" s="2488"/>
      <c r="AG973" s="2488"/>
      <c r="AH973" s="2488"/>
      <c r="AI973" s="2489"/>
      <c r="AJ973" s="2379">
        <f>IF(ISERROR((R973*AB973)),0,(R973*AB973))</f>
        <v>0</v>
      </c>
      <c r="AK973" s="2380"/>
      <c r="AL973" s="2380"/>
      <c r="AM973" s="2380"/>
      <c r="AN973" s="2380"/>
      <c r="AO973" s="2380"/>
      <c r="AP973" s="2380"/>
      <c r="AQ973" s="2381"/>
      <c r="AR973" s="1577"/>
      <c r="AS973" s="1577"/>
      <c r="AT973" s="1577"/>
      <c r="AU973" s="1577"/>
      <c r="AV973" s="1577"/>
      <c r="AW973" s="1577"/>
      <c r="AX973" s="1577"/>
      <c r="AY973" s="157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0"/>
      <c r="CS973" s="61"/>
      <c r="CT973" s="61"/>
      <c r="CU973" s="61"/>
      <c r="CV973" s="61"/>
      <c r="CW973" s="61"/>
      <c r="CX973" s="61"/>
      <c r="CY973" s="61"/>
      <c r="CZ973" s="61"/>
      <c r="DA973" s="61"/>
      <c r="DB973" s="61"/>
      <c r="DC973" s="61"/>
      <c r="DD973" s="61"/>
      <c r="DE973" s="61"/>
      <c r="DF973" s="61"/>
    </row>
    <row r="974" spans="1:110" ht="12.75" customHeight="1">
      <c r="A974" s="51"/>
      <c r="B974" s="2509" t="s">
        <v>849</v>
      </c>
      <c r="C974" s="2510"/>
      <c r="D974" s="2510"/>
      <c r="E974" s="2510"/>
      <c r="F974" s="2510"/>
      <c r="G974" s="2510"/>
      <c r="H974" s="2510"/>
      <c r="I974" s="2510"/>
      <c r="J974" s="2510"/>
      <c r="K974" s="2510"/>
      <c r="L974" s="2510"/>
      <c r="M974" s="2510"/>
      <c r="N974" s="2510"/>
      <c r="O974" s="2510"/>
      <c r="P974" s="2510"/>
      <c r="Q974" s="2510"/>
      <c r="R974" s="2510"/>
      <c r="S974" s="2510"/>
      <c r="T974" s="2510"/>
      <c r="U974" s="2510"/>
      <c r="V974" s="2510"/>
      <c r="W974" s="2510"/>
      <c r="X974" s="2510"/>
      <c r="Y974" s="2510"/>
      <c r="Z974" s="2510"/>
      <c r="AA974" s="2511"/>
      <c r="AB974" s="2487">
        <f>SUM(AB969:AI973)</f>
        <v>200</v>
      </c>
      <c r="AC974" s="2488"/>
      <c r="AD974" s="2488"/>
      <c r="AE974" s="2488"/>
      <c r="AF974" s="2488"/>
      <c r="AG974" s="2488"/>
      <c r="AH974" s="2488"/>
      <c r="AI974" s="2489"/>
      <c r="AJ974" s="2379"/>
      <c r="AK974" s="2380"/>
      <c r="AL974" s="2380"/>
      <c r="AM974" s="2380"/>
      <c r="AN974" s="2380"/>
      <c r="AO974" s="2380"/>
      <c r="AP974" s="2380"/>
      <c r="AQ974" s="2381"/>
      <c r="AR974" s="1577"/>
      <c r="AS974" s="1577"/>
      <c r="AT974" s="1577"/>
      <c r="AU974" s="1577"/>
      <c r="AV974" s="1577"/>
      <c r="AW974" s="1577"/>
      <c r="AX974" s="1577"/>
      <c r="AY974" s="157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0"/>
      <c r="CS974" s="61"/>
      <c r="CT974" s="61"/>
      <c r="CU974" s="61"/>
      <c r="CV974" s="61"/>
      <c r="CW974" s="61"/>
      <c r="CX974" s="61"/>
      <c r="CY974" s="61"/>
      <c r="CZ974" s="61"/>
      <c r="DA974" s="61"/>
      <c r="DB974" s="61"/>
      <c r="DC974" s="61"/>
      <c r="DD974" s="61"/>
      <c r="DE974" s="61"/>
      <c r="DF974" s="61"/>
    </row>
    <row r="975" spans="1:110" ht="12.45" customHeight="1">
      <c r="A975" s="51"/>
      <c r="B975" s="2542" t="s">
        <v>545</v>
      </c>
      <c r="C975" s="2543"/>
      <c r="D975" s="2543"/>
      <c r="E975" s="2543"/>
      <c r="F975" s="2543"/>
      <c r="G975" s="2543"/>
      <c r="H975" s="2543"/>
      <c r="I975" s="2543"/>
      <c r="J975" s="2543"/>
      <c r="K975" s="2543"/>
      <c r="L975" s="2543"/>
      <c r="M975" s="2543"/>
      <c r="N975" s="2543"/>
      <c r="O975" s="2543"/>
      <c r="P975" s="2543"/>
      <c r="Q975" s="2543"/>
      <c r="R975" s="2543"/>
      <c r="S975" s="2543"/>
      <c r="T975" s="2543"/>
      <c r="U975" s="2543"/>
      <c r="V975" s="2543"/>
      <c r="W975" s="2543"/>
      <c r="X975" s="2543"/>
      <c r="Y975" s="2543"/>
      <c r="Z975" s="2543"/>
      <c r="AA975" s="2543"/>
      <c r="AB975" s="2543"/>
      <c r="AC975" s="2543"/>
      <c r="AD975" s="2543"/>
      <c r="AE975" s="2543"/>
      <c r="AF975" s="2543"/>
      <c r="AG975" s="2543"/>
      <c r="AH975" s="2543"/>
      <c r="AI975" s="2544"/>
      <c r="AJ975" s="2379">
        <f>SUM(AJ969:AQ973)</f>
        <v>80616211</v>
      </c>
      <c r="AK975" s="2380"/>
      <c r="AL975" s="2380"/>
      <c r="AM975" s="2380"/>
      <c r="AN975" s="2380"/>
      <c r="AO975" s="2380"/>
      <c r="AP975" s="2380"/>
      <c r="AQ975" s="2381"/>
      <c r="AR975" s="1577"/>
      <c r="AS975" s="1577"/>
      <c r="AT975" s="1577"/>
      <c r="AU975" s="1577"/>
      <c r="AV975" s="1577"/>
      <c r="AW975" s="1577"/>
      <c r="AX975" s="1577"/>
      <c r="AY975" s="157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0"/>
      <c r="CS975" s="61"/>
      <c r="CT975" s="61"/>
      <c r="CU975" s="61"/>
      <c r="CV975" s="61"/>
      <c r="CW975" s="61"/>
      <c r="CX975" s="61"/>
      <c r="CY975" s="61"/>
      <c r="CZ975" s="61"/>
      <c r="DA975" s="61"/>
      <c r="DB975" s="61"/>
      <c r="DC975" s="61"/>
      <c r="DD975" s="61"/>
      <c r="DE975" s="61"/>
      <c r="DF975" s="61"/>
    </row>
    <row r="976" spans="1:110" ht="12.75" customHeight="1">
      <c r="A976" s="51"/>
      <c r="B976" s="2477"/>
      <c r="C976" s="2478"/>
      <c r="D976" s="2478"/>
      <c r="E976" s="2478"/>
      <c r="F976" s="2478"/>
      <c r="G976" s="2478"/>
      <c r="H976" s="2478"/>
      <c r="I976" s="2478"/>
      <c r="J976" s="2478"/>
      <c r="K976" s="2478"/>
      <c r="L976" s="2478"/>
      <c r="M976" s="2478"/>
      <c r="N976" s="2478"/>
      <c r="O976" s="2478"/>
      <c r="P976" s="2478"/>
      <c r="Q976" s="2478"/>
      <c r="R976" s="2478"/>
      <c r="S976" s="2478"/>
      <c r="T976" s="2478"/>
      <c r="U976" s="2478"/>
      <c r="V976" s="2478"/>
      <c r="W976" s="2478"/>
      <c r="X976" s="2478"/>
      <c r="Y976" s="2478"/>
      <c r="Z976" s="2478"/>
      <c r="AA976" s="2478"/>
      <c r="AB976" s="2478"/>
      <c r="AC976" s="2478"/>
      <c r="AD976" s="2478"/>
      <c r="AE976" s="2479"/>
      <c r="AF976" s="2545" t="s">
        <v>703</v>
      </c>
      <c r="AG976" s="2546"/>
      <c r="AH976" s="2546"/>
      <c r="AI976" s="2547"/>
      <c r="AJ976" s="2477"/>
      <c r="AK976" s="2478"/>
      <c r="AL976" s="2478"/>
      <c r="AM976" s="2478"/>
      <c r="AN976" s="2478"/>
      <c r="AO976" s="2478"/>
      <c r="AP976" s="2478"/>
      <c r="AQ976" s="2479"/>
      <c r="AR976" s="1577"/>
      <c r="AS976" s="1577"/>
      <c r="AT976" s="1577"/>
      <c r="AU976" s="1577"/>
      <c r="AV976" s="1577"/>
      <c r="AW976" s="1577"/>
      <c r="AX976" s="1577"/>
      <c r="AY976" s="157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0"/>
      <c r="CS976" s="61"/>
      <c r="CT976" s="61"/>
      <c r="CU976" s="61"/>
      <c r="CV976" s="61"/>
      <c r="CW976" s="61"/>
      <c r="CX976" s="61"/>
      <c r="CY976" s="61"/>
      <c r="CZ976" s="61"/>
      <c r="DA976" s="61"/>
      <c r="DB976" s="61"/>
      <c r="DC976" s="61"/>
      <c r="DD976" s="61"/>
      <c r="DE976" s="61"/>
      <c r="DF976" s="61"/>
    </row>
    <row r="977" spans="1:110" ht="12.75" customHeight="1">
      <c r="A977" s="51"/>
      <c r="B977" s="110"/>
      <c r="C977" s="1619" t="s">
        <v>705</v>
      </c>
      <c r="D977" s="2480" t="s">
        <v>1429</v>
      </c>
      <c r="E977" s="2481"/>
      <c r="F977" s="2481"/>
      <c r="G977" s="2481"/>
      <c r="H977" s="2481"/>
      <c r="I977" s="2481"/>
      <c r="J977" s="2481"/>
      <c r="K977" s="2481"/>
      <c r="L977" s="2481"/>
      <c r="M977" s="2481"/>
      <c r="N977" s="2481"/>
      <c r="O977" s="2481"/>
      <c r="P977" s="2481"/>
      <c r="Q977" s="2481"/>
      <c r="R977" s="2481"/>
      <c r="S977" s="2481"/>
      <c r="T977" s="2481"/>
      <c r="U977" s="2481"/>
      <c r="V977" s="2481"/>
      <c r="W977" s="2481"/>
      <c r="X977" s="2481"/>
      <c r="Y977" s="2481"/>
      <c r="Z977" s="2481"/>
      <c r="AA977" s="2481"/>
      <c r="AB977" s="2481"/>
      <c r="AC977" s="2481"/>
      <c r="AD977" s="2481"/>
      <c r="AE977" s="2482"/>
      <c r="AF977" s="117"/>
      <c r="AG977" s="2548" t="s">
        <v>706</v>
      </c>
      <c r="AH977" s="2549"/>
      <c r="AI977" s="125"/>
      <c r="AJ977" s="2468">
        <f>ROUND(IF(AND(AG977="yes",D979&gt;0),AJ975*0.2,0),0)</f>
        <v>0</v>
      </c>
      <c r="AK977" s="2469"/>
      <c r="AL977" s="2469"/>
      <c r="AM977" s="2469"/>
      <c r="AN977" s="2469"/>
      <c r="AO977" s="2469"/>
      <c r="AP977" s="2469"/>
      <c r="AQ977" s="2470"/>
      <c r="AR977" s="1577"/>
      <c r="AS977" s="1577"/>
      <c r="AT977" s="1577"/>
      <c r="AU977" s="1577"/>
      <c r="AV977" s="1577"/>
      <c r="AW977" s="1577"/>
      <c r="AX977" s="1577"/>
      <c r="AY977" s="157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0"/>
      <c r="CS977" s="61"/>
      <c r="CT977" s="61"/>
      <c r="CU977" s="61"/>
      <c r="CV977" s="61"/>
      <c r="CW977" s="61"/>
      <c r="CX977" s="61"/>
      <c r="CY977" s="61"/>
      <c r="CZ977" s="61"/>
      <c r="DA977" s="61"/>
      <c r="DB977" s="61"/>
      <c r="DC977" s="61"/>
      <c r="DD977" s="61"/>
      <c r="DE977" s="61"/>
      <c r="DF977" s="61"/>
    </row>
    <row r="978" spans="1:110" ht="66" customHeight="1">
      <c r="A978" s="51"/>
      <c r="B978" s="407"/>
      <c r="C978" s="406"/>
      <c r="D978" s="2512" t="s">
        <v>1430</v>
      </c>
      <c r="E978" s="2513"/>
      <c r="F978" s="2513"/>
      <c r="G978" s="2513"/>
      <c r="H978" s="2513"/>
      <c r="I978" s="2513"/>
      <c r="J978" s="2513"/>
      <c r="K978" s="2513"/>
      <c r="L978" s="2513"/>
      <c r="M978" s="2513"/>
      <c r="N978" s="2513"/>
      <c r="O978" s="2513"/>
      <c r="P978" s="2513"/>
      <c r="Q978" s="2513"/>
      <c r="R978" s="2513"/>
      <c r="S978" s="2513"/>
      <c r="T978" s="2513"/>
      <c r="U978" s="2513"/>
      <c r="V978" s="2513"/>
      <c r="W978" s="2513"/>
      <c r="X978" s="2513"/>
      <c r="Y978" s="2513"/>
      <c r="Z978" s="2513"/>
      <c r="AA978" s="2513"/>
      <c r="AB978" s="2513"/>
      <c r="AC978" s="2513"/>
      <c r="AD978" s="2513"/>
      <c r="AE978" s="2514"/>
      <c r="AF978" s="110"/>
      <c r="AG978" s="112"/>
      <c r="AH978" s="112"/>
      <c r="AI978" s="121"/>
      <c r="AJ978" s="2471"/>
      <c r="AK978" s="2472"/>
      <c r="AL978" s="2472"/>
      <c r="AM978" s="2472"/>
      <c r="AN978" s="2472"/>
      <c r="AO978" s="2472"/>
      <c r="AP978" s="2472"/>
      <c r="AQ978" s="2473"/>
      <c r="AR978" s="1577"/>
      <c r="AS978" s="1577"/>
      <c r="AT978" s="1577"/>
      <c r="AU978" s="1577"/>
      <c r="AV978" s="1577"/>
      <c r="AW978" s="1577"/>
      <c r="AX978" s="1577"/>
      <c r="AY978" s="157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0"/>
      <c r="CS978" s="61"/>
      <c r="CT978" s="61"/>
      <c r="CU978" s="61"/>
      <c r="CV978" s="61"/>
      <c r="CW978" s="61"/>
      <c r="CX978" s="61"/>
      <c r="CY978" s="61"/>
      <c r="CZ978" s="61"/>
      <c r="DA978" s="61"/>
      <c r="DB978" s="61"/>
      <c r="DC978" s="61"/>
      <c r="DD978" s="61"/>
      <c r="DE978" s="61"/>
      <c r="DF978" s="61"/>
    </row>
    <row r="979" spans="1:110" ht="12.45" customHeight="1">
      <c r="A979" s="51"/>
      <c r="B979" s="407"/>
      <c r="C979" s="406"/>
      <c r="D979" s="2515"/>
      <c r="E979" s="2516"/>
      <c r="F979" s="2516"/>
      <c r="G979" s="2516"/>
      <c r="H979" s="2516"/>
      <c r="I979" s="2516"/>
      <c r="J979" s="2516"/>
      <c r="K979" s="2516"/>
      <c r="L979" s="2516"/>
      <c r="M979" s="2516"/>
      <c r="N979" s="2516"/>
      <c r="O979" s="2516"/>
      <c r="P979" s="2516"/>
      <c r="Q979" s="2516"/>
      <c r="R979" s="2516"/>
      <c r="S979" s="2516"/>
      <c r="T979" s="2516"/>
      <c r="U979" s="2516"/>
      <c r="V979" s="2516"/>
      <c r="W979" s="2516"/>
      <c r="X979" s="2516"/>
      <c r="Y979" s="2516"/>
      <c r="Z979" s="2516"/>
      <c r="AA979" s="2516"/>
      <c r="AB979" s="2516"/>
      <c r="AC979" s="2516"/>
      <c r="AD979" s="2516"/>
      <c r="AE979" s="2517"/>
      <c r="AF979" s="115"/>
      <c r="AG979" s="11"/>
      <c r="AH979" s="11"/>
      <c r="AI979" s="116"/>
      <c r="AJ979" s="2474"/>
      <c r="AK979" s="2475"/>
      <c r="AL979" s="2475"/>
      <c r="AM979" s="2475"/>
      <c r="AN979" s="2475"/>
      <c r="AO979" s="2475"/>
      <c r="AP979" s="2475"/>
      <c r="AQ979" s="2476"/>
      <c r="AR979" s="1577"/>
      <c r="AS979" s="1577"/>
      <c r="AT979" s="1577"/>
      <c r="AU979" s="1577"/>
      <c r="AV979" s="1577"/>
      <c r="AW979" s="1577"/>
      <c r="AX979" s="1577"/>
      <c r="AY979" s="157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0"/>
      <c r="CS979" s="61"/>
      <c r="CT979" s="61"/>
      <c r="CU979" s="61"/>
      <c r="CV979" s="61"/>
      <c r="CW979" s="61"/>
      <c r="CX979" s="61"/>
      <c r="CY979" s="61"/>
      <c r="CZ979" s="61"/>
      <c r="DA979" s="61"/>
      <c r="DB979" s="61"/>
      <c r="DC979" s="61"/>
      <c r="DD979" s="61"/>
      <c r="DE979" s="61"/>
      <c r="DF979" s="61"/>
    </row>
    <row r="980" spans="1:110" ht="12.75" customHeight="1">
      <c r="A980" s="51"/>
      <c r="B980" s="405"/>
      <c r="C980" s="496"/>
      <c r="D980" s="2431" t="s">
        <v>1529</v>
      </c>
      <c r="E980" s="2432"/>
      <c r="F980" s="2432"/>
      <c r="G980" s="2432"/>
      <c r="H980" s="2432"/>
      <c r="I980" s="2432"/>
      <c r="J980" s="2432"/>
      <c r="K980" s="2432"/>
      <c r="L980" s="2432"/>
      <c r="M980" s="2432"/>
      <c r="N980" s="2432"/>
      <c r="O980" s="2432"/>
      <c r="P980" s="2432"/>
      <c r="Q980" s="2432"/>
      <c r="R980" s="2432"/>
      <c r="S980" s="2432"/>
      <c r="T980" s="2432"/>
      <c r="U980" s="2432"/>
      <c r="V980" s="2432"/>
      <c r="W980" s="2432"/>
      <c r="X980" s="2432"/>
      <c r="Y980" s="2432"/>
      <c r="Z980" s="2432"/>
      <c r="AA980" s="2432"/>
      <c r="AB980" s="2432"/>
      <c r="AC980" s="2432"/>
      <c r="AD980" s="2432"/>
      <c r="AE980" s="2433"/>
      <c r="AF980" s="117"/>
      <c r="AG980" s="2443" t="s">
        <v>706</v>
      </c>
      <c r="AH980" s="2444"/>
      <c r="AI980" s="125"/>
      <c r="AJ980" s="2468">
        <f>ROUND(IF(AG980="yes",AJ975*0.05,0),0)</f>
        <v>0</v>
      </c>
      <c r="AK980" s="2469"/>
      <c r="AL980" s="2469"/>
      <c r="AM980" s="2469"/>
      <c r="AN980" s="2469"/>
      <c r="AO980" s="2469"/>
      <c r="AP980" s="2469"/>
      <c r="AQ980" s="2470"/>
      <c r="AR980" s="1577"/>
      <c r="AS980" s="1577"/>
      <c r="AT980" s="1577"/>
      <c r="AU980" s="1577"/>
      <c r="AV980" s="1577"/>
      <c r="AW980" s="1577"/>
      <c r="AX980" s="1577"/>
      <c r="AY980" s="157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0"/>
      <c r="CS980" s="61"/>
      <c r="CT980" s="61"/>
      <c r="CU980" s="61"/>
      <c r="CV980" s="61"/>
      <c r="CW980" s="61"/>
      <c r="CX980" s="61"/>
      <c r="CY980" s="61"/>
      <c r="CZ980" s="61"/>
      <c r="DA980" s="61"/>
      <c r="DB980" s="61"/>
      <c r="DC980" s="61"/>
      <c r="DD980" s="61"/>
      <c r="DE980" s="61"/>
      <c r="DF980" s="61"/>
    </row>
    <row r="981" spans="1:110" ht="12.45" customHeight="1">
      <c r="A981" s="51"/>
      <c r="B981" s="407"/>
      <c r="C981" s="120"/>
      <c r="D981" s="2512" t="s">
        <v>1527</v>
      </c>
      <c r="E981" s="2513"/>
      <c r="F981" s="2513"/>
      <c r="G981" s="2513"/>
      <c r="H981" s="2513"/>
      <c r="I981" s="2513"/>
      <c r="J981" s="2513"/>
      <c r="K981" s="2513"/>
      <c r="L981" s="2513"/>
      <c r="M981" s="2513"/>
      <c r="N981" s="2513"/>
      <c r="O981" s="2513"/>
      <c r="P981" s="2513"/>
      <c r="Q981" s="2513"/>
      <c r="R981" s="2513"/>
      <c r="S981" s="2513"/>
      <c r="T981" s="2513"/>
      <c r="U981" s="2513"/>
      <c r="V981" s="2513"/>
      <c r="W981" s="2513"/>
      <c r="X981" s="2513"/>
      <c r="Y981" s="2513"/>
      <c r="Z981" s="2513"/>
      <c r="AA981" s="2513"/>
      <c r="AB981" s="2513"/>
      <c r="AC981" s="2513"/>
      <c r="AD981" s="2513"/>
      <c r="AE981" s="2514"/>
      <c r="AF981" s="110"/>
      <c r="AG981" s="112"/>
      <c r="AH981" s="112"/>
      <c r="AI981" s="121"/>
      <c r="AJ981" s="2471"/>
      <c r="AK981" s="2472"/>
      <c r="AL981" s="2472"/>
      <c r="AM981" s="2472"/>
      <c r="AN981" s="2472"/>
      <c r="AO981" s="2472"/>
      <c r="AP981" s="2472"/>
      <c r="AQ981" s="2473"/>
      <c r="AR981" s="1577"/>
      <c r="AS981" s="1577"/>
      <c r="AT981" s="1577"/>
      <c r="AU981" s="1577"/>
      <c r="AV981" s="1577"/>
      <c r="AW981" s="1577"/>
      <c r="AX981" s="1577"/>
      <c r="AY981" s="157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0"/>
      <c r="CS981" s="61"/>
      <c r="CT981" s="61"/>
      <c r="CU981" s="61"/>
      <c r="CV981" s="61"/>
      <c r="CW981" s="61"/>
      <c r="CX981" s="61"/>
      <c r="CY981" s="61"/>
      <c r="CZ981" s="61"/>
      <c r="DA981" s="61"/>
      <c r="DB981" s="61"/>
      <c r="DC981" s="61"/>
      <c r="DD981" s="61"/>
      <c r="DE981" s="61"/>
      <c r="DF981" s="61"/>
    </row>
    <row r="982" spans="1:110" ht="12.75" customHeight="1">
      <c r="A982" s="51"/>
      <c r="B982" s="407"/>
      <c r="C982" s="120"/>
      <c r="D982" s="2512"/>
      <c r="E982" s="2513"/>
      <c r="F982" s="2513"/>
      <c r="G982" s="2513"/>
      <c r="H982" s="2513"/>
      <c r="I982" s="2513"/>
      <c r="J982" s="2513"/>
      <c r="K982" s="2513"/>
      <c r="L982" s="2513"/>
      <c r="M982" s="2513"/>
      <c r="N982" s="2513"/>
      <c r="O982" s="2513"/>
      <c r="P982" s="2513"/>
      <c r="Q982" s="2513"/>
      <c r="R982" s="2513"/>
      <c r="S982" s="2513"/>
      <c r="T982" s="2513"/>
      <c r="U982" s="2513"/>
      <c r="V982" s="2513"/>
      <c r="W982" s="2513"/>
      <c r="X982" s="2513"/>
      <c r="Y982" s="2513"/>
      <c r="Z982" s="2513"/>
      <c r="AA982" s="2513"/>
      <c r="AB982" s="2513"/>
      <c r="AC982" s="2513"/>
      <c r="AD982" s="2513"/>
      <c r="AE982" s="2514"/>
      <c r="AF982" s="110"/>
      <c r="AG982" s="112"/>
      <c r="AH982" s="112"/>
      <c r="AI982" s="121"/>
      <c r="AJ982" s="2471"/>
      <c r="AK982" s="2472"/>
      <c r="AL982" s="2472"/>
      <c r="AM982" s="2472"/>
      <c r="AN982" s="2472"/>
      <c r="AO982" s="2472"/>
      <c r="AP982" s="2472"/>
      <c r="AQ982" s="2473"/>
      <c r="AR982" s="1577"/>
      <c r="AS982" s="1577"/>
      <c r="AT982" s="1577"/>
      <c r="AU982" s="1577"/>
      <c r="AV982" s="1577"/>
      <c r="AW982" s="1577"/>
      <c r="AX982" s="1577"/>
      <c r="AY982" s="157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0"/>
      <c r="CS982" s="61"/>
      <c r="CT982" s="61"/>
      <c r="CU982" s="61"/>
      <c r="CV982" s="61"/>
      <c r="CW982" s="61"/>
      <c r="CX982" s="61"/>
      <c r="CY982" s="61"/>
      <c r="CZ982" s="61"/>
      <c r="DA982" s="61"/>
      <c r="DB982" s="61"/>
      <c r="DC982" s="61"/>
      <c r="DD982" s="61"/>
      <c r="DE982" s="61"/>
      <c r="DF982" s="61"/>
    </row>
    <row r="983" spans="1:110" s="714" customFormat="1" ht="12.75" customHeight="1">
      <c r="A983" s="51"/>
      <c r="B983" s="407"/>
      <c r="C983" s="120"/>
      <c r="D983" s="2512"/>
      <c r="E983" s="2513"/>
      <c r="F983" s="2513"/>
      <c r="G983" s="2513"/>
      <c r="H983" s="2513"/>
      <c r="I983" s="2513"/>
      <c r="J983" s="2513"/>
      <c r="K983" s="2513"/>
      <c r="L983" s="2513"/>
      <c r="M983" s="2513"/>
      <c r="N983" s="2513"/>
      <c r="O983" s="2513"/>
      <c r="P983" s="2513"/>
      <c r="Q983" s="2513"/>
      <c r="R983" s="2513"/>
      <c r="S983" s="2513"/>
      <c r="T983" s="2513"/>
      <c r="U983" s="2513"/>
      <c r="V983" s="2513"/>
      <c r="W983" s="2513"/>
      <c r="X983" s="2513"/>
      <c r="Y983" s="2513"/>
      <c r="Z983" s="2513"/>
      <c r="AA983" s="2513"/>
      <c r="AB983" s="2513"/>
      <c r="AC983" s="2513"/>
      <c r="AD983" s="2513"/>
      <c r="AE983" s="2514"/>
      <c r="AF983" s="110"/>
      <c r="AG983" s="112"/>
      <c r="AH983" s="112"/>
      <c r="AI983" s="121"/>
      <c r="AJ983" s="2471"/>
      <c r="AK983" s="2472"/>
      <c r="AL983" s="2472"/>
      <c r="AM983" s="2472"/>
      <c r="AN983" s="2472"/>
      <c r="AO983" s="2472"/>
      <c r="AP983" s="2472"/>
      <c r="AQ983" s="2473"/>
      <c r="AR983" s="1577"/>
      <c r="AS983" s="1577"/>
      <c r="AT983" s="1577"/>
      <c r="AU983" s="1577"/>
      <c r="AV983" s="1577"/>
      <c r="AW983" s="1577"/>
      <c r="AX983" s="1577"/>
      <c r="AY983" s="157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0"/>
      <c r="CS983" s="61"/>
      <c r="CT983" s="61"/>
      <c r="CU983" s="61"/>
      <c r="CV983" s="61"/>
      <c r="CW983" s="61"/>
      <c r="CX983" s="61"/>
      <c r="CY983" s="61"/>
      <c r="CZ983" s="61"/>
      <c r="DA983" s="61"/>
      <c r="DB983" s="61"/>
      <c r="DC983" s="61"/>
      <c r="DD983" s="61"/>
      <c r="DE983" s="61"/>
      <c r="DF983" s="61"/>
    </row>
    <row r="984" spans="1:110" s="714" customFormat="1" ht="12.75" customHeight="1">
      <c r="A984" s="51"/>
      <c r="B984" s="407"/>
      <c r="C984" s="120"/>
      <c r="D984" s="2512"/>
      <c r="E984" s="2513"/>
      <c r="F984" s="2513"/>
      <c r="G984" s="2513"/>
      <c r="H984" s="2513"/>
      <c r="I984" s="2513"/>
      <c r="J984" s="2513"/>
      <c r="K984" s="2513"/>
      <c r="L984" s="2513"/>
      <c r="M984" s="2513"/>
      <c r="N984" s="2513"/>
      <c r="O984" s="2513"/>
      <c r="P984" s="2513"/>
      <c r="Q984" s="2513"/>
      <c r="R984" s="2513"/>
      <c r="S984" s="2513"/>
      <c r="T984" s="2513"/>
      <c r="U984" s="2513"/>
      <c r="V984" s="2513"/>
      <c r="W984" s="2513"/>
      <c r="X984" s="2513"/>
      <c r="Y984" s="2513"/>
      <c r="Z984" s="2513"/>
      <c r="AA984" s="2513"/>
      <c r="AB984" s="2513"/>
      <c r="AC984" s="2513"/>
      <c r="AD984" s="2513"/>
      <c r="AE984" s="2514"/>
      <c r="AF984" s="110"/>
      <c r="AG984" s="112"/>
      <c r="AH984" s="112"/>
      <c r="AI984" s="121"/>
      <c r="AJ984" s="2471"/>
      <c r="AK984" s="2472"/>
      <c r="AL984" s="2472"/>
      <c r="AM984" s="2472"/>
      <c r="AN984" s="2472"/>
      <c r="AO984" s="2472"/>
      <c r="AP984" s="2472"/>
      <c r="AQ984" s="2473"/>
      <c r="AR984" s="1577"/>
      <c r="AS984" s="1577"/>
      <c r="AT984" s="1577"/>
      <c r="AU984" s="1577"/>
      <c r="AV984" s="1577"/>
      <c r="AW984" s="1577"/>
      <c r="AX984" s="1577"/>
      <c r="AY984" s="157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0"/>
      <c r="CS984" s="61"/>
      <c r="CT984" s="61"/>
      <c r="CU984" s="61"/>
      <c r="CV984" s="61"/>
      <c r="CW984" s="61"/>
      <c r="CX984" s="61"/>
      <c r="CY984" s="61"/>
      <c r="CZ984" s="61"/>
      <c r="DA984" s="61"/>
      <c r="DB984" s="61"/>
      <c r="DC984" s="61"/>
      <c r="DD984" s="61"/>
      <c r="DE984" s="61"/>
      <c r="DF984" s="61"/>
    </row>
    <row r="985" spans="1:110" s="714" customFormat="1" ht="12.75" customHeight="1">
      <c r="A985" s="51"/>
      <c r="B985" s="113"/>
      <c r="C985" s="114"/>
      <c r="D985" s="2518"/>
      <c r="E985" s="2519"/>
      <c r="F985" s="2519"/>
      <c r="G985" s="2519"/>
      <c r="H985" s="2519"/>
      <c r="I985" s="2519"/>
      <c r="J985" s="2519"/>
      <c r="K985" s="2519"/>
      <c r="L985" s="2519"/>
      <c r="M985" s="2519"/>
      <c r="N985" s="2519"/>
      <c r="O985" s="2519"/>
      <c r="P985" s="2519"/>
      <c r="Q985" s="2519"/>
      <c r="R985" s="2519"/>
      <c r="S985" s="2519"/>
      <c r="T985" s="2519"/>
      <c r="U985" s="2519"/>
      <c r="V985" s="2519"/>
      <c r="W985" s="2519"/>
      <c r="X985" s="2519"/>
      <c r="Y985" s="2519"/>
      <c r="Z985" s="2519"/>
      <c r="AA985" s="2519"/>
      <c r="AB985" s="2519"/>
      <c r="AC985" s="2519"/>
      <c r="AD985" s="2519"/>
      <c r="AE985" s="2520"/>
      <c r="AF985" s="115"/>
      <c r="AG985" s="11"/>
      <c r="AH985" s="11"/>
      <c r="AI985" s="116"/>
      <c r="AJ985" s="2474"/>
      <c r="AK985" s="2475"/>
      <c r="AL985" s="2475"/>
      <c r="AM985" s="2475"/>
      <c r="AN985" s="2475"/>
      <c r="AO985" s="2475"/>
      <c r="AP985" s="2475"/>
      <c r="AQ985" s="2476"/>
      <c r="AR985" s="1577"/>
      <c r="AS985" s="1577"/>
      <c r="AT985" s="1577"/>
      <c r="AU985" s="1577"/>
      <c r="AV985" s="1577"/>
      <c r="AW985" s="1577"/>
      <c r="AX985" s="1577"/>
      <c r="AY985" s="157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0"/>
      <c r="CS985" s="61"/>
      <c r="CT985" s="61"/>
      <c r="CU985" s="61"/>
      <c r="CV985" s="61"/>
      <c r="CW985" s="61"/>
      <c r="CX985" s="61"/>
      <c r="CY985" s="61"/>
      <c r="CZ985" s="61"/>
      <c r="DA985" s="61"/>
      <c r="DB985" s="61"/>
      <c r="DC985" s="61"/>
      <c r="DD985" s="61"/>
      <c r="DE985" s="61"/>
      <c r="DF985" s="61"/>
    </row>
    <row r="986" spans="1:110" ht="12.75" customHeight="1">
      <c r="A986" s="51"/>
      <c r="B986" s="405"/>
      <c r="C986" s="118" t="s">
        <v>709</v>
      </c>
      <c r="D986" s="2431" t="s">
        <v>2167</v>
      </c>
      <c r="E986" s="2432"/>
      <c r="F986" s="2432"/>
      <c r="G986" s="2432"/>
      <c r="H986" s="2432"/>
      <c r="I986" s="2432"/>
      <c r="J986" s="2432"/>
      <c r="K986" s="2432"/>
      <c r="L986" s="2432"/>
      <c r="M986" s="2432"/>
      <c r="N986" s="2432"/>
      <c r="O986" s="2432"/>
      <c r="P986" s="2432"/>
      <c r="Q986" s="2432"/>
      <c r="R986" s="2432"/>
      <c r="S986" s="2432"/>
      <c r="T986" s="2432"/>
      <c r="U986" s="2432"/>
      <c r="V986" s="2432"/>
      <c r="W986" s="2432"/>
      <c r="X986" s="2432"/>
      <c r="Y986" s="2432"/>
      <c r="Z986" s="2432"/>
      <c r="AA986" s="2432"/>
      <c r="AB986" s="2432"/>
      <c r="AC986" s="2432"/>
      <c r="AD986" s="2432"/>
      <c r="AE986" s="2433"/>
      <c r="AF986" s="124"/>
      <c r="AG986" s="2443" t="s">
        <v>706</v>
      </c>
      <c r="AH986" s="2444"/>
      <c r="AI986" s="125"/>
      <c r="AJ986" s="2468">
        <f>ROUND(IF(AG986="yes",AJ975*0.1,0),0)</f>
        <v>0</v>
      </c>
      <c r="AK986" s="2469"/>
      <c r="AL986" s="2469"/>
      <c r="AM986" s="2469"/>
      <c r="AN986" s="2469"/>
      <c r="AO986" s="2469"/>
      <c r="AP986" s="2469"/>
      <c r="AQ986" s="2470"/>
      <c r="AR986" s="1577"/>
      <c r="AS986" s="1577"/>
      <c r="AT986" s="1577"/>
      <c r="AU986" s="1577"/>
      <c r="AV986" s="1577"/>
      <c r="AW986" s="1577"/>
      <c r="AX986" s="1577"/>
      <c r="AY986" s="157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0"/>
      <c r="CS986" s="61"/>
      <c r="CT986" s="61"/>
      <c r="CU986" s="61"/>
      <c r="CV986" s="61"/>
      <c r="CW986" s="61"/>
      <c r="CX986" s="61"/>
      <c r="CY986" s="61"/>
      <c r="CZ986" s="61"/>
      <c r="DA986" s="61"/>
      <c r="DB986" s="61"/>
      <c r="DC986" s="61"/>
      <c r="DD986" s="61"/>
      <c r="DE986" s="61"/>
      <c r="DF986" s="61"/>
    </row>
    <row r="987" spans="1:110" ht="12.75" customHeight="1">
      <c r="A987" s="51"/>
      <c r="B987" s="110"/>
      <c r="C987" s="111"/>
      <c r="D987" s="2434" t="s">
        <v>1528</v>
      </c>
      <c r="E987" s="2435"/>
      <c r="F987" s="2435"/>
      <c r="G987" s="2435"/>
      <c r="H987" s="2435"/>
      <c r="I987" s="2435"/>
      <c r="J987" s="2435"/>
      <c r="K987" s="2435"/>
      <c r="L987" s="2435"/>
      <c r="M987" s="2435"/>
      <c r="N987" s="2435"/>
      <c r="O987" s="2435"/>
      <c r="P987" s="2435"/>
      <c r="Q987" s="2435"/>
      <c r="R987" s="2435"/>
      <c r="S987" s="2435"/>
      <c r="T987" s="2435"/>
      <c r="U987" s="2435"/>
      <c r="V987" s="2435"/>
      <c r="W987" s="2435"/>
      <c r="X987" s="2435"/>
      <c r="Y987" s="2435"/>
      <c r="Z987" s="2435"/>
      <c r="AA987" s="2435"/>
      <c r="AB987" s="2435"/>
      <c r="AC987" s="2435"/>
      <c r="AD987" s="2435"/>
      <c r="AE987" s="2436"/>
      <c r="AF987" s="110"/>
      <c r="AG987" s="25"/>
      <c r="AH987" s="25"/>
      <c r="AI987" s="121"/>
      <c r="AJ987" s="2471"/>
      <c r="AK987" s="2472"/>
      <c r="AL987" s="2472"/>
      <c r="AM987" s="2472"/>
      <c r="AN987" s="2472"/>
      <c r="AO987" s="2472"/>
      <c r="AP987" s="2472"/>
      <c r="AQ987" s="2473"/>
      <c r="AR987" s="1577"/>
      <c r="AS987" s="1577"/>
      <c r="AT987" s="1577"/>
      <c r="AU987" s="1577"/>
      <c r="AV987" s="1577"/>
      <c r="AW987" s="1577"/>
      <c r="AX987" s="1577"/>
      <c r="AY987" s="1577"/>
      <c r="AZ987" s="61"/>
      <c r="BA987" s="1606">
        <f>G753+O796</f>
        <v>198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0"/>
      <c r="CS987" s="61"/>
      <c r="CT987" s="61"/>
      <c r="CU987" s="61"/>
      <c r="CV987" s="61"/>
      <c r="CW987" s="61"/>
      <c r="CX987" s="61"/>
      <c r="CY987" s="61"/>
      <c r="CZ987" s="61"/>
      <c r="DA987" s="61"/>
      <c r="DB987" s="61"/>
      <c r="DC987" s="61"/>
      <c r="DD987" s="61"/>
      <c r="DE987" s="61"/>
      <c r="DF987" s="61"/>
    </row>
    <row r="988" spans="1:110" ht="12.75" customHeight="1">
      <c r="A988" s="51"/>
      <c r="B988" s="110"/>
      <c r="C988" s="111"/>
      <c r="D988" s="2434"/>
      <c r="E988" s="2435"/>
      <c r="F988" s="2435"/>
      <c r="G988" s="2435"/>
      <c r="H988" s="2435"/>
      <c r="I988" s="2435"/>
      <c r="J988" s="2435"/>
      <c r="K988" s="2435"/>
      <c r="L988" s="2435"/>
      <c r="M988" s="2435"/>
      <c r="N988" s="2435"/>
      <c r="O988" s="2435"/>
      <c r="P988" s="2435"/>
      <c r="Q988" s="2435"/>
      <c r="R988" s="2435"/>
      <c r="S988" s="2435"/>
      <c r="T988" s="2435"/>
      <c r="U988" s="2435"/>
      <c r="V988" s="2435"/>
      <c r="W988" s="2435"/>
      <c r="X988" s="2435"/>
      <c r="Y988" s="2435"/>
      <c r="Z988" s="2435"/>
      <c r="AA988" s="2435"/>
      <c r="AB988" s="2435"/>
      <c r="AC988" s="2435"/>
      <c r="AD988" s="2435"/>
      <c r="AE988" s="2436"/>
      <c r="AF988" s="110"/>
      <c r="AG988" s="112"/>
      <c r="AH988" s="112"/>
      <c r="AI988" s="121"/>
      <c r="AJ988" s="2471"/>
      <c r="AK988" s="2472"/>
      <c r="AL988" s="2472"/>
      <c r="AM988" s="2472"/>
      <c r="AN988" s="2472"/>
      <c r="AO988" s="2472"/>
      <c r="AP988" s="2472"/>
      <c r="AQ988" s="2473"/>
      <c r="AR988" s="1577"/>
      <c r="AS988" s="1577"/>
      <c r="AT988" s="1577"/>
      <c r="AU988" s="1577"/>
      <c r="AV988" s="1577"/>
      <c r="AW988" s="1577"/>
      <c r="AX988" s="1577"/>
      <c r="AY988" s="157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0"/>
      <c r="CS988" s="61"/>
      <c r="CT988" s="61"/>
      <c r="CU988" s="61"/>
      <c r="CV988" s="61"/>
      <c r="CW988" s="61"/>
      <c r="CX988" s="61"/>
      <c r="CY988" s="61"/>
      <c r="CZ988" s="61"/>
      <c r="DA988" s="61"/>
      <c r="DB988" s="61"/>
      <c r="DC988" s="61"/>
      <c r="DD988" s="61"/>
      <c r="DE988" s="61"/>
      <c r="DF988" s="61"/>
    </row>
    <row r="989" spans="1:110" ht="12.75" customHeight="1">
      <c r="A989" s="51"/>
      <c r="B989" s="123"/>
      <c r="C989" s="114"/>
      <c r="D989" s="2447"/>
      <c r="E989" s="2448"/>
      <c r="F989" s="2448"/>
      <c r="G989" s="2448"/>
      <c r="H989" s="2448"/>
      <c r="I989" s="2448"/>
      <c r="J989" s="2448"/>
      <c r="K989" s="2448"/>
      <c r="L989" s="2448"/>
      <c r="M989" s="2448"/>
      <c r="N989" s="2448"/>
      <c r="O989" s="2448"/>
      <c r="P989" s="2448"/>
      <c r="Q989" s="2448"/>
      <c r="R989" s="2448"/>
      <c r="S989" s="2448"/>
      <c r="T989" s="2448"/>
      <c r="U989" s="2448"/>
      <c r="V989" s="2448"/>
      <c r="W989" s="2448"/>
      <c r="X989" s="2448"/>
      <c r="Y989" s="2448"/>
      <c r="Z989" s="2448"/>
      <c r="AA989" s="2448"/>
      <c r="AB989" s="2448"/>
      <c r="AC989" s="2448"/>
      <c r="AD989" s="2448"/>
      <c r="AE989" s="2449"/>
      <c r="AF989" s="115"/>
      <c r="AG989" s="11"/>
      <c r="AH989" s="11"/>
      <c r="AI989" s="116"/>
      <c r="AJ989" s="2474"/>
      <c r="AK989" s="2475"/>
      <c r="AL989" s="2475"/>
      <c r="AM989" s="2475"/>
      <c r="AN989" s="2475"/>
      <c r="AO989" s="2475"/>
      <c r="AP989" s="2475"/>
      <c r="AQ989" s="2476"/>
      <c r="AR989" s="1577"/>
      <c r="AS989" s="1577"/>
      <c r="AT989" s="1577"/>
      <c r="AU989" s="1577"/>
      <c r="AV989" s="1577"/>
      <c r="AW989" s="1577"/>
      <c r="AX989" s="1577"/>
      <c r="AY989" s="1577"/>
      <c r="AZ989" s="61"/>
      <c r="BA989" s="1605">
        <f>ROUNDDOWN(X1027/I1027,2)</f>
        <v>0.35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1" t="s">
        <v>1530</v>
      </c>
      <c r="E990" s="2432"/>
      <c r="F990" s="2432"/>
      <c r="G990" s="2432"/>
      <c r="H990" s="2432"/>
      <c r="I990" s="2432"/>
      <c r="J990" s="2432"/>
      <c r="K990" s="2432"/>
      <c r="L990" s="2432"/>
      <c r="M990" s="2432"/>
      <c r="N990" s="2432"/>
      <c r="O990" s="2432"/>
      <c r="P990" s="2432"/>
      <c r="Q990" s="2432"/>
      <c r="R990" s="2432"/>
      <c r="S990" s="2432"/>
      <c r="T990" s="2432"/>
      <c r="U990" s="2432"/>
      <c r="V990" s="2432"/>
      <c r="W990" s="2432"/>
      <c r="X990" s="2432"/>
      <c r="Y990" s="2432"/>
      <c r="Z990" s="2432"/>
      <c r="AA990" s="2432"/>
      <c r="AB990" s="2432"/>
      <c r="AC990" s="2432"/>
      <c r="AD990" s="2432"/>
      <c r="AE990" s="2433"/>
      <c r="AF990" s="117"/>
      <c r="AG990" s="2443" t="s">
        <v>706</v>
      </c>
      <c r="AH990" s="2444"/>
      <c r="AI990" s="125"/>
      <c r="AJ990" s="2468">
        <f>ROUND(IF(AG990="yes",AJ975*0.02,0),0)</f>
        <v>0</v>
      </c>
      <c r="AK990" s="2469"/>
      <c r="AL990" s="2469"/>
      <c r="AM990" s="2469"/>
      <c r="AN990" s="2469"/>
      <c r="AO990" s="2469"/>
      <c r="AP990" s="2469"/>
      <c r="AQ990" s="2470"/>
      <c r="AR990" s="1577"/>
      <c r="AS990" s="1577"/>
      <c r="AT990" s="1577"/>
      <c r="AU990" s="1577"/>
      <c r="AV990" s="1577"/>
      <c r="AW990" s="1577"/>
      <c r="AX990" s="1577"/>
      <c r="AY990" s="1577"/>
      <c r="AZ990" s="61"/>
      <c r="BA990" s="1605">
        <f>ROUNDDOWN(X1031/I1031,2)</f>
        <v>0.13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7" t="s">
        <v>1531</v>
      </c>
      <c r="E991" s="2448"/>
      <c r="F991" s="2448"/>
      <c r="G991" s="2448"/>
      <c r="H991" s="2448"/>
      <c r="I991" s="2448"/>
      <c r="J991" s="2448"/>
      <c r="K991" s="2448"/>
      <c r="L991" s="2448"/>
      <c r="M991" s="2448"/>
      <c r="N991" s="2448"/>
      <c r="O991" s="2448"/>
      <c r="P991" s="2448"/>
      <c r="Q991" s="2448"/>
      <c r="R991" s="2448"/>
      <c r="S991" s="2448"/>
      <c r="T991" s="2448"/>
      <c r="U991" s="2448"/>
      <c r="V991" s="2448"/>
      <c r="W991" s="2448"/>
      <c r="X991" s="2448"/>
      <c r="Y991" s="2448"/>
      <c r="Z991" s="2448"/>
      <c r="AA991" s="2448"/>
      <c r="AB991" s="2448"/>
      <c r="AC991" s="2448"/>
      <c r="AD991" s="2448"/>
      <c r="AE991" s="2449"/>
      <c r="AF991" s="115"/>
      <c r="AG991" s="11"/>
      <c r="AH991" s="11"/>
      <c r="AI991" s="116"/>
      <c r="AJ991" s="2474"/>
      <c r="AK991" s="2475"/>
      <c r="AL991" s="2475"/>
      <c r="AM991" s="2475"/>
      <c r="AN991" s="2475"/>
      <c r="AO991" s="2475"/>
      <c r="AP991" s="2475"/>
      <c r="AQ991" s="2476"/>
      <c r="AR991" s="1577"/>
      <c r="AS991" s="1577"/>
      <c r="AT991" s="1577"/>
      <c r="AU991" s="1577"/>
      <c r="AV991" s="1577"/>
      <c r="AW991" s="1577"/>
      <c r="AX991" s="1577"/>
      <c r="AY991" s="1577"/>
      <c r="BB991" s="61"/>
      <c r="BC991" s="61"/>
      <c r="BD991" s="61"/>
      <c r="BE991" s="61"/>
      <c r="BF991" s="61"/>
      <c r="CR991" s="204"/>
    </row>
    <row r="992" spans="1:110" ht="12.75" customHeight="1">
      <c r="A992" s="51"/>
      <c r="B992" s="117"/>
      <c r="C992" s="118" t="s">
        <v>221</v>
      </c>
      <c r="D992" s="2431" t="s">
        <v>1532</v>
      </c>
      <c r="E992" s="2432"/>
      <c r="F992" s="2432"/>
      <c r="G992" s="2432"/>
      <c r="H992" s="2432"/>
      <c r="I992" s="2432"/>
      <c r="J992" s="2432"/>
      <c r="K992" s="2432"/>
      <c r="L992" s="2432"/>
      <c r="M992" s="2432"/>
      <c r="N992" s="2432"/>
      <c r="O992" s="2432"/>
      <c r="P992" s="2432"/>
      <c r="Q992" s="2432"/>
      <c r="R992" s="2432"/>
      <c r="S992" s="2432"/>
      <c r="T992" s="2432"/>
      <c r="U992" s="2432"/>
      <c r="V992" s="2432"/>
      <c r="W992" s="2432"/>
      <c r="X992" s="2432"/>
      <c r="Y992" s="2432"/>
      <c r="Z992" s="2432"/>
      <c r="AA992" s="2432"/>
      <c r="AB992" s="2432"/>
      <c r="AC992" s="2432"/>
      <c r="AD992" s="2432"/>
      <c r="AE992" s="2433"/>
      <c r="AF992" s="117"/>
      <c r="AG992" s="2443" t="s">
        <v>706</v>
      </c>
      <c r="AH992" s="2444"/>
      <c r="AI992" s="117"/>
      <c r="AJ992" s="2468">
        <f>ROUND(IF(AG992="yes",AJ975*0.02,0),0)</f>
        <v>0</v>
      </c>
      <c r="AK992" s="2469"/>
      <c r="AL992" s="2469"/>
      <c r="AM992" s="2469"/>
      <c r="AN992" s="2469"/>
      <c r="AO992" s="2469"/>
      <c r="AP992" s="2469"/>
      <c r="AQ992" s="2470"/>
      <c r="AR992" s="1577"/>
      <c r="AS992" s="1577"/>
      <c r="AT992" s="1577"/>
      <c r="AU992" s="1577"/>
      <c r="AV992" s="1577"/>
      <c r="AW992" s="1577"/>
      <c r="AX992" s="1577"/>
      <c r="AY992" s="1577"/>
      <c r="BB992" s="32"/>
      <c r="BC992" s="32"/>
      <c r="BD992" s="32"/>
      <c r="BE992" s="32"/>
      <c r="BF992" s="32"/>
    </row>
    <row r="993" spans="1:96" s="714" customFormat="1" ht="12.75" customHeight="1">
      <c r="A993" s="51"/>
      <c r="B993" s="110"/>
      <c r="C993" s="111"/>
      <c r="D993" s="2434" t="s">
        <v>1533</v>
      </c>
      <c r="E993" s="2435"/>
      <c r="F993" s="2435"/>
      <c r="G993" s="2435"/>
      <c r="H993" s="2435"/>
      <c r="I993" s="2435"/>
      <c r="J993" s="2435"/>
      <c r="K993" s="2435"/>
      <c r="L993" s="2435"/>
      <c r="M993" s="2435"/>
      <c r="N993" s="2435"/>
      <c r="O993" s="2435"/>
      <c r="P993" s="2435"/>
      <c r="Q993" s="2435"/>
      <c r="R993" s="2435"/>
      <c r="S993" s="2435"/>
      <c r="T993" s="2435"/>
      <c r="U993" s="2435"/>
      <c r="V993" s="2435"/>
      <c r="W993" s="2435"/>
      <c r="X993" s="2435"/>
      <c r="Y993" s="2435"/>
      <c r="Z993" s="2435"/>
      <c r="AA993" s="2435"/>
      <c r="AB993" s="2435"/>
      <c r="AC993" s="2435"/>
      <c r="AD993" s="2435"/>
      <c r="AE993" s="2436"/>
      <c r="AF993" s="110"/>
      <c r="AG993" s="25"/>
      <c r="AH993" s="25"/>
      <c r="AI993" s="112"/>
      <c r="AJ993" s="2471"/>
      <c r="AK993" s="2472"/>
      <c r="AL993" s="2472"/>
      <c r="AM993" s="2472"/>
      <c r="AN993" s="2472"/>
      <c r="AO993" s="2472"/>
      <c r="AP993" s="2472"/>
      <c r="AQ993" s="2473"/>
      <c r="AR993" s="1577"/>
      <c r="AS993" s="1577"/>
      <c r="AT993" s="1577"/>
      <c r="AU993" s="1577"/>
      <c r="AV993" s="1577"/>
      <c r="AW993" s="1577"/>
      <c r="AX993" s="1577"/>
      <c r="AY993" s="1577"/>
      <c r="BB993" s="897"/>
      <c r="BC993" s="897"/>
      <c r="BD993" s="897"/>
      <c r="BE993" s="897"/>
      <c r="BF993" s="897"/>
      <c r="CR993" s="25"/>
    </row>
    <row r="994" spans="1:96" ht="12.75" customHeight="1">
      <c r="A994" s="51"/>
      <c r="B994" s="113"/>
      <c r="C994" s="114"/>
      <c r="D994" s="2447"/>
      <c r="E994" s="2448"/>
      <c r="F994" s="2448"/>
      <c r="G994" s="2448"/>
      <c r="H994" s="2448"/>
      <c r="I994" s="2448"/>
      <c r="J994" s="2448"/>
      <c r="K994" s="2448"/>
      <c r="L994" s="2448"/>
      <c r="M994" s="2448"/>
      <c r="N994" s="2448"/>
      <c r="O994" s="2448"/>
      <c r="P994" s="2448"/>
      <c r="Q994" s="2448"/>
      <c r="R994" s="2448"/>
      <c r="S994" s="2448"/>
      <c r="T994" s="2448"/>
      <c r="U994" s="2448"/>
      <c r="V994" s="2448"/>
      <c r="W994" s="2448"/>
      <c r="X994" s="2448"/>
      <c r="Y994" s="2448"/>
      <c r="Z994" s="2448"/>
      <c r="AA994" s="2448"/>
      <c r="AB994" s="2448"/>
      <c r="AC994" s="2448"/>
      <c r="AD994" s="2448"/>
      <c r="AE994" s="2449"/>
      <c r="AF994" s="115"/>
      <c r="AG994" s="11"/>
      <c r="AH994" s="11"/>
      <c r="AI994" s="116"/>
      <c r="AJ994" s="2474"/>
      <c r="AK994" s="2475"/>
      <c r="AL994" s="2475"/>
      <c r="AM994" s="2475"/>
      <c r="AN994" s="2475"/>
      <c r="AO994" s="2475"/>
      <c r="AP994" s="2475"/>
      <c r="AQ994" s="2476"/>
      <c r="AR994" s="1577"/>
      <c r="AS994" s="1577"/>
      <c r="AT994" s="1577"/>
      <c r="AU994" s="1577"/>
      <c r="AV994" s="1577"/>
      <c r="AW994" s="1577"/>
      <c r="AX994" s="1577"/>
      <c r="AY994" s="1577"/>
    </row>
    <row r="995" spans="1:96" s="714" customFormat="1" ht="12.75" customHeight="1">
      <c r="A995" s="51"/>
      <c r="B995" s="117"/>
      <c r="C995" s="118" t="s">
        <v>224</v>
      </c>
      <c r="D995" s="2480" t="s">
        <v>1534</v>
      </c>
      <c r="E995" s="2481"/>
      <c r="F995" s="2481"/>
      <c r="G995" s="2481"/>
      <c r="H995" s="2481"/>
      <c r="I995" s="2481"/>
      <c r="J995" s="2481"/>
      <c r="K995" s="2481"/>
      <c r="L995" s="2481"/>
      <c r="M995" s="2481"/>
      <c r="N995" s="2481"/>
      <c r="O995" s="2481"/>
      <c r="P995" s="2481"/>
      <c r="Q995" s="2481"/>
      <c r="R995" s="2481"/>
      <c r="S995" s="2481"/>
      <c r="T995" s="2481"/>
      <c r="U995" s="2481"/>
      <c r="V995" s="2481"/>
      <c r="W995" s="2481"/>
      <c r="X995" s="2481"/>
      <c r="Y995" s="2481"/>
      <c r="Z995" s="2481"/>
      <c r="AA995" s="2481"/>
      <c r="AB995" s="2481"/>
      <c r="AC995" s="2481"/>
      <c r="AD995" s="2481"/>
      <c r="AE995" s="2482"/>
      <c r="AF995" s="117"/>
      <c r="AG995" s="2443" t="s">
        <v>706</v>
      </c>
      <c r="AH995" s="2444"/>
      <c r="AI995" s="125"/>
      <c r="AJ995" s="2468">
        <f>IF(AG995="yes",AJ975*BA995,0)</f>
        <v>0</v>
      </c>
      <c r="AK995" s="2469"/>
      <c r="AL995" s="2469"/>
      <c r="AM995" s="2469"/>
      <c r="AN995" s="2469"/>
      <c r="AO995" s="2469"/>
      <c r="AP995" s="2469"/>
      <c r="AQ995" s="2470"/>
      <c r="AR995" s="1577"/>
      <c r="AS995" s="1577"/>
      <c r="AT995" s="1577"/>
      <c r="AU995" s="1577"/>
      <c r="AV995" s="1577"/>
      <c r="AW995" s="1577"/>
      <c r="AX995" s="1577"/>
      <c r="AY995" s="1577"/>
      <c r="BA995" s="322">
        <f>IF(SUM(BA997:BA1005)&lt;=0.1,SUM(BA997:BA1005),0.1)</f>
        <v>0</v>
      </c>
      <c r="CR995" s="25"/>
    </row>
    <row r="996" spans="1:96" ht="12.75" customHeight="1">
      <c r="A996" s="51"/>
      <c r="B996" s="110"/>
      <c r="C996" s="111"/>
      <c r="D996" s="2434" t="s">
        <v>1535</v>
      </c>
      <c r="E996" s="2435"/>
      <c r="F996" s="2435"/>
      <c r="G996" s="2435"/>
      <c r="H996" s="2435"/>
      <c r="I996" s="2435"/>
      <c r="J996" s="2435"/>
      <c r="K996" s="2435"/>
      <c r="L996" s="2435"/>
      <c r="M996" s="2435"/>
      <c r="N996" s="2435"/>
      <c r="O996" s="2435"/>
      <c r="P996" s="2435"/>
      <c r="Q996" s="2435"/>
      <c r="R996" s="2435"/>
      <c r="S996" s="2435"/>
      <c r="T996" s="2435"/>
      <c r="U996" s="2435"/>
      <c r="V996" s="2435"/>
      <c r="W996" s="2435"/>
      <c r="X996" s="2435"/>
      <c r="Y996" s="2435"/>
      <c r="Z996" s="2435"/>
      <c r="AA996" s="2435"/>
      <c r="AB996" s="2435"/>
      <c r="AC996" s="2435"/>
      <c r="AD996" s="2435"/>
      <c r="AE996" s="2436"/>
      <c r="AF996" s="110"/>
      <c r="AG996" s="112"/>
      <c r="AH996" s="112"/>
      <c r="AI996" s="121"/>
      <c r="AJ996" s="2471"/>
      <c r="AK996" s="2472"/>
      <c r="AL996" s="2472"/>
      <c r="AM996" s="2472"/>
      <c r="AN996" s="2472"/>
      <c r="AO996" s="2472"/>
      <c r="AP996" s="2472"/>
      <c r="AQ996" s="2473"/>
      <c r="AR996" s="1577"/>
      <c r="AS996" s="1577"/>
      <c r="AT996" s="1577"/>
      <c r="AU996" s="1577"/>
      <c r="AV996" s="1577"/>
      <c r="AW996" s="1577"/>
      <c r="AX996" s="1577"/>
      <c r="AY996" s="1577"/>
    </row>
    <row r="997" spans="1:96" ht="12.75" customHeight="1">
      <c r="A997" s="51"/>
      <c r="B997" s="110"/>
      <c r="C997" s="111"/>
      <c r="D997" s="2434"/>
      <c r="E997" s="2435"/>
      <c r="F997" s="2435"/>
      <c r="G997" s="2435"/>
      <c r="H997" s="2435"/>
      <c r="I997" s="2435"/>
      <c r="J997" s="2435"/>
      <c r="K997" s="2435"/>
      <c r="L997" s="2435"/>
      <c r="M997" s="2435"/>
      <c r="N997" s="2435"/>
      <c r="O997" s="2435"/>
      <c r="P997" s="2435"/>
      <c r="Q997" s="2435"/>
      <c r="R997" s="2435"/>
      <c r="S997" s="2435"/>
      <c r="T997" s="2435"/>
      <c r="U997" s="2435"/>
      <c r="V997" s="2435"/>
      <c r="W997" s="2435"/>
      <c r="X997" s="2435"/>
      <c r="Y997" s="2435"/>
      <c r="Z997" s="2435"/>
      <c r="AA997" s="2435"/>
      <c r="AB997" s="2435"/>
      <c r="AC997" s="2435"/>
      <c r="AD997" s="2435"/>
      <c r="AE997" s="2436"/>
      <c r="AF997" s="110"/>
      <c r="AG997" s="112"/>
      <c r="AH997" s="112"/>
      <c r="AI997" s="121"/>
      <c r="AJ997" s="2471"/>
      <c r="AK997" s="2472"/>
      <c r="AL997" s="2472"/>
      <c r="AM997" s="2472"/>
      <c r="AN997" s="2472"/>
      <c r="AO997" s="2472"/>
      <c r="AP997" s="2472"/>
      <c r="AQ997" s="2473"/>
      <c r="AR997" s="1577"/>
      <c r="AS997" s="1577"/>
      <c r="AT997" s="1577"/>
      <c r="AU997" s="1577"/>
      <c r="AV997" s="1577"/>
      <c r="AW997" s="1577"/>
      <c r="AX997" s="1577"/>
      <c r="AY997" s="1577"/>
      <c r="BA997" s="320">
        <f>IF(A1044="Yes",0.05,0)</f>
        <v>0</v>
      </c>
    </row>
    <row r="998" spans="1:96" ht="15" customHeight="1">
      <c r="A998" s="51"/>
      <c r="B998" s="119"/>
      <c r="C998" s="120"/>
      <c r="D998" s="2447"/>
      <c r="E998" s="2448"/>
      <c r="F998" s="2448"/>
      <c r="G998" s="2448"/>
      <c r="H998" s="2448"/>
      <c r="I998" s="2448"/>
      <c r="J998" s="2448"/>
      <c r="K998" s="2448"/>
      <c r="L998" s="2448"/>
      <c r="M998" s="2448"/>
      <c r="N998" s="2448"/>
      <c r="O998" s="2448"/>
      <c r="P998" s="2448"/>
      <c r="Q998" s="2448"/>
      <c r="R998" s="2448"/>
      <c r="S998" s="2448"/>
      <c r="T998" s="2448"/>
      <c r="U998" s="2448"/>
      <c r="V998" s="2448"/>
      <c r="W998" s="2448"/>
      <c r="X998" s="2448"/>
      <c r="Y998" s="2448"/>
      <c r="Z998" s="2448"/>
      <c r="AA998" s="2448"/>
      <c r="AB998" s="2448"/>
      <c r="AC998" s="2448"/>
      <c r="AD998" s="2448"/>
      <c r="AE998" s="2449"/>
      <c r="AF998" s="115"/>
      <c r="AG998" s="11"/>
      <c r="AH998" s="11"/>
      <c r="AI998" s="116"/>
      <c r="AJ998" s="2474"/>
      <c r="AK998" s="2475"/>
      <c r="AL998" s="2475"/>
      <c r="AM998" s="2475"/>
      <c r="AN998" s="2475"/>
      <c r="AO998" s="2475"/>
      <c r="AP998" s="2475"/>
      <c r="AQ998" s="2476"/>
      <c r="AR998" s="1577"/>
      <c r="AS998" s="1577"/>
      <c r="AT998" s="1577"/>
      <c r="AU998" s="1577"/>
      <c r="AV998" s="1577"/>
      <c r="AW998" s="1577"/>
      <c r="AX998" s="1577"/>
      <c r="AY998" s="1577"/>
      <c r="BA998" s="320">
        <f>IF(A1050="Yes",0.02,0)</f>
        <v>0</v>
      </c>
    </row>
    <row r="999" spans="1:96" s="714" customFormat="1" ht="15" customHeight="1">
      <c r="A999" s="51"/>
      <c r="B999" s="117"/>
      <c r="C999" s="118" t="s">
        <v>229</v>
      </c>
      <c r="D999" s="2533" t="s">
        <v>1536</v>
      </c>
      <c r="E999" s="2534"/>
      <c r="F999" s="2534"/>
      <c r="G999" s="2534"/>
      <c r="H999" s="2534"/>
      <c r="I999" s="2534"/>
      <c r="J999" s="2534"/>
      <c r="K999" s="2534"/>
      <c r="L999" s="2534"/>
      <c r="M999" s="2534"/>
      <c r="N999" s="2534"/>
      <c r="O999" s="2534"/>
      <c r="P999" s="2534"/>
      <c r="Q999" s="2534"/>
      <c r="R999" s="2534"/>
      <c r="S999" s="2534"/>
      <c r="T999" s="2534"/>
      <c r="U999" s="2534"/>
      <c r="V999" s="2534"/>
      <c r="W999" s="2534"/>
      <c r="X999" s="2534"/>
      <c r="Y999" s="2534"/>
      <c r="Z999" s="2534"/>
      <c r="AA999" s="2534"/>
      <c r="AB999" s="2534"/>
      <c r="AC999" s="2534"/>
      <c r="AD999" s="2534"/>
      <c r="AE999" s="2535"/>
      <c r="AF999" s="117"/>
      <c r="AG999" s="2443" t="s">
        <v>706</v>
      </c>
      <c r="AH999" s="2444"/>
      <c r="AI999" s="125"/>
      <c r="AJ999" s="2500"/>
      <c r="AK999" s="2501"/>
      <c r="AL999" s="2501"/>
      <c r="AM999" s="2501"/>
      <c r="AN999" s="2501"/>
      <c r="AO999" s="2501"/>
      <c r="AP999" s="2501"/>
      <c r="AQ999" s="2502"/>
      <c r="AR999" s="1577"/>
      <c r="AS999" s="1577"/>
      <c r="AT999" s="1577"/>
      <c r="AU999" s="1577"/>
      <c r="AV999" s="1577"/>
      <c r="AW999" s="1577"/>
      <c r="AX999" s="1577"/>
      <c r="AY999" s="1577"/>
      <c r="BA999" s="320">
        <f>IF(A1056="Yes",0.04,0)</f>
        <v>0</v>
      </c>
      <c r="CR999" s="25"/>
    </row>
    <row r="1000" spans="1:96" ht="13.2">
      <c r="A1000" s="51"/>
      <c r="B1000" s="119"/>
      <c r="C1000" s="122"/>
      <c r="D1000" s="2536"/>
      <c r="E1000" s="2537"/>
      <c r="F1000" s="2537"/>
      <c r="G1000" s="2537"/>
      <c r="H1000" s="2537"/>
      <c r="I1000" s="2537"/>
      <c r="J1000" s="2537"/>
      <c r="K1000" s="2537"/>
      <c r="L1000" s="2537"/>
      <c r="M1000" s="2537"/>
      <c r="N1000" s="2537"/>
      <c r="O1000" s="2537"/>
      <c r="P1000" s="2537"/>
      <c r="Q1000" s="2537"/>
      <c r="R1000" s="2537"/>
      <c r="S1000" s="2537"/>
      <c r="T1000" s="2537"/>
      <c r="U1000" s="2537"/>
      <c r="V1000" s="2537"/>
      <c r="W1000" s="2537"/>
      <c r="X1000" s="2537"/>
      <c r="Y1000" s="2537"/>
      <c r="Z1000" s="2537"/>
      <c r="AA1000" s="2537"/>
      <c r="AB1000" s="2537"/>
      <c r="AC1000" s="2537"/>
      <c r="AD1000" s="2537"/>
      <c r="AE1000" s="2538"/>
      <c r="AF1000" s="2521">
        <f>IF(AG999="yes","Please Select Type and Enter Amount:",0)</f>
        <v>0</v>
      </c>
      <c r="AG1000" s="2522"/>
      <c r="AH1000" s="2522"/>
      <c r="AI1000" s="2523"/>
      <c r="AJ1000" s="2503"/>
      <c r="AK1000" s="2504"/>
      <c r="AL1000" s="2504"/>
      <c r="AM1000" s="2504"/>
      <c r="AN1000" s="2504"/>
      <c r="AO1000" s="2504"/>
      <c r="AP1000" s="2504"/>
      <c r="AQ1000" s="2505"/>
      <c r="AR1000" s="1577"/>
      <c r="AS1000" s="1577"/>
      <c r="AT1000" s="1577"/>
      <c r="AU1000" s="1577"/>
      <c r="AV1000" s="1577"/>
      <c r="AW1000" s="1577"/>
      <c r="AX1000" s="1577"/>
      <c r="AY1000" s="1577"/>
      <c r="BA1000" s="320">
        <f>IF(A1063="Yes",0.04,0)</f>
        <v>0</v>
      </c>
    </row>
    <row r="1001" spans="1:96" ht="12.75" customHeight="1">
      <c r="A1001" s="51"/>
      <c r="B1001" s="119"/>
      <c r="C1001" s="122"/>
      <c r="D1001" s="2434" t="s">
        <v>1537</v>
      </c>
      <c r="E1001" s="2435"/>
      <c r="F1001" s="2435"/>
      <c r="G1001" s="2435"/>
      <c r="H1001" s="2435"/>
      <c r="I1001" s="2435"/>
      <c r="J1001" s="2435"/>
      <c r="K1001" s="2435"/>
      <c r="L1001" s="2435"/>
      <c r="M1001" s="2435"/>
      <c r="N1001" s="2435"/>
      <c r="O1001" s="2435"/>
      <c r="P1001" s="2435"/>
      <c r="Q1001" s="2435"/>
      <c r="R1001" s="2435"/>
      <c r="S1001" s="2435"/>
      <c r="T1001" s="2435"/>
      <c r="U1001" s="2435"/>
      <c r="V1001" s="2435"/>
      <c r="W1001" s="2435"/>
      <c r="X1001" s="2435"/>
      <c r="Y1001" s="2435"/>
      <c r="Z1001" s="2435"/>
      <c r="AA1001" s="2435"/>
      <c r="AB1001" s="2435"/>
      <c r="AC1001" s="2435"/>
      <c r="AD1001" s="2435"/>
      <c r="AE1001" s="2436"/>
      <c r="AF1001" s="2521"/>
      <c r="AG1001" s="2522"/>
      <c r="AH1001" s="2522"/>
      <c r="AI1001" s="2523"/>
      <c r="AJ1001" s="2503"/>
      <c r="AK1001" s="2504"/>
      <c r="AL1001" s="2504"/>
      <c r="AM1001" s="2504"/>
      <c r="AN1001" s="2504"/>
      <c r="AO1001" s="2504"/>
      <c r="AP1001" s="2504"/>
      <c r="AQ1001" s="2505"/>
      <c r="AR1001" s="1577"/>
      <c r="AS1001" s="1577"/>
      <c r="AT1001" s="1577"/>
      <c r="AU1001" s="1577"/>
      <c r="AV1001" s="1577"/>
      <c r="AW1001" s="1577"/>
      <c r="AX1001" s="1577"/>
      <c r="AY1001" s="1577"/>
      <c r="BA1001" s="320">
        <f>IF(A1066="Yes",0.01,0)</f>
        <v>0</v>
      </c>
    </row>
    <row r="1002" spans="1:96" ht="12.75" customHeight="1">
      <c r="A1002" s="51"/>
      <c r="B1002" s="119"/>
      <c r="C1002" s="122"/>
      <c r="D1002" s="2434"/>
      <c r="E1002" s="2435"/>
      <c r="F1002" s="2435"/>
      <c r="G1002" s="2435"/>
      <c r="H1002" s="2435"/>
      <c r="I1002" s="2435"/>
      <c r="J1002" s="2435"/>
      <c r="K1002" s="2435"/>
      <c r="L1002" s="2435"/>
      <c r="M1002" s="2435"/>
      <c r="N1002" s="2435"/>
      <c r="O1002" s="2435"/>
      <c r="P1002" s="2435"/>
      <c r="Q1002" s="2435"/>
      <c r="R1002" s="2435"/>
      <c r="S1002" s="2435"/>
      <c r="T1002" s="2435"/>
      <c r="U1002" s="2435"/>
      <c r="V1002" s="2435"/>
      <c r="W1002" s="2435"/>
      <c r="X1002" s="2435"/>
      <c r="Y1002" s="2435"/>
      <c r="Z1002" s="2435"/>
      <c r="AA1002" s="2435"/>
      <c r="AB1002" s="2435"/>
      <c r="AC1002" s="2435"/>
      <c r="AD1002" s="2435"/>
      <c r="AE1002" s="2436"/>
      <c r="AF1002" s="2521"/>
      <c r="AG1002" s="2522"/>
      <c r="AH1002" s="2522"/>
      <c r="AI1002" s="2523"/>
      <c r="AJ1002" s="2503"/>
      <c r="AK1002" s="2504"/>
      <c r="AL1002" s="2504"/>
      <c r="AM1002" s="2504"/>
      <c r="AN1002" s="2504"/>
      <c r="AO1002" s="2504"/>
      <c r="AP1002" s="2504"/>
      <c r="AQ1002" s="2505"/>
      <c r="AR1002" s="1577"/>
      <c r="AS1002" s="1577"/>
      <c r="AT1002" s="1577"/>
      <c r="AU1002" s="1577"/>
      <c r="AV1002" s="1577"/>
      <c r="AW1002" s="1577"/>
      <c r="AX1002" s="1577"/>
      <c r="AY1002" s="1577"/>
      <c r="BA1002" s="320">
        <f>IF(A1071="Yes",0.01,0)</f>
        <v>0</v>
      </c>
    </row>
    <row r="1003" spans="1:96" s="714" customFormat="1" ht="12.75" customHeight="1">
      <c r="A1003" s="51"/>
      <c r="B1003" s="119"/>
      <c r="C1003" s="122"/>
      <c r="D1003" s="901" t="s">
        <v>369</v>
      </c>
      <c r="E1003" s="133"/>
      <c r="F1003" s="133"/>
      <c r="G1003" s="160"/>
      <c r="H1003" s="160"/>
      <c r="I1003" s="81"/>
      <c r="J1003" s="2539" t="s">
        <v>626</v>
      </c>
      <c r="K1003" s="2540"/>
      <c r="L1003" s="2540"/>
      <c r="M1003" s="2540"/>
      <c r="N1003" s="2540"/>
      <c r="O1003" s="2540"/>
      <c r="P1003" s="2540"/>
      <c r="Q1003" s="2540"/>
      <c r="R1003" s="2540"/>
      <c r="S1003" s="2540"/>
      <c r="T1003" s="2540"/>
      <c r="U1003" s="2540"/>
      <c r="V1003" s="2540"/>
      <c r="W1003" s="2540"/>
      <c r="X1003" s="2540"/>
      <c r="Y1003" s="2540"/>
      <c r="Z1003" s="2540"/>
      <c r="AA1003" s="2540"/>
      <c r="AB1003" s="2540"/>
      <c r="AC1003" s="2540"/>
      <c r="AD1003" s="2540"/>
      <c r="AE1003" s="2541"/>
      <c r="AF1003" s="2524"/>
      <c r="AG1003" s="2525"/>
      <c r="AH1003" s="2525"/>
      <c r="AI1003" s="2526"/>
      <c r="AJ1003" s="2506"/>
      <c r="AK1003" s="2507"/>
      <c r="AL1003" s="2507"/>
      <c r="AM1003" s="2507"/>
      <c r="AN1003" s="2507"/>
      <c r="AO1003" s="2507"/>
      <c r="AP1003" s="2507"/>
      <c r="AQ1003" s="2508"/>
      <c r="AR1003" s="1577"/>
      <c r="AS1003" s="1577"/>
      <c r="AT1003" s="1577"/>
      <c r="AU1003" s="1577"/>
      <c r="AV1003" s="1577"/>
      <c r="AW1003" s="1577"/>
      <c r="AX1003" s="1577"/>
      <c r="AY1003" s="1577"/>
      <c r="BA1003" s="320">
        <f>IF(A1074="Yes",0.01,0)</f>
        <v>0</v>
      </c>
      <c r="CR1003" s="25"/>
    </row>
    <row r="1004" spans="1:96" ht="12.75" customHeight="1">
      <c r="A1004" s="51"/>
      <c r="B1004" s="117"/>
      <c r="C1004" s="118" t="s">
        <v>235</v>
      </c>
      <c r="D1004" s="2431" t="s">
        <v>1538</v>
      </c>
      <c r="E1004" s="2432"/>
      <c r="F1004" s="2432"/>
      <c r="G1004" s="2432"/>
      <c r="H1004" s="2432"/>
      <c r="I1004" s="2432"/>
      <c r="J1004" s="2432"/>
      <c r="K1004" s="2432"/>
      <c r="L1004" s="2432"/>
      <c r="M1004" s="2432"/>
      <c r="N1004" s="2432"/>
      <c r="O1004" s="2432"/>
      <c r="P1004" s="2432"/>
      <c r="Q1004" s="2432"/>
      <c r="R1004" s="2432"/>
      <c r="S1004" s="2432"/>
      <c r="T1004" s="2432"/>
      <c r="U1004" s="2432"/>
      <c r="V1004" s="2432"/>
      <c r="W1004" s="2432"/>
      <c r="X1004" s="2432"/>
      <c r="Y1004" s="2432"/>
      <c r="Z1004" s="2432"/>
      <c r="AA1004" s="2432"/>
      <c r="AB1004" s="2432"/>
      <c r="AC1004" s="2432"/>
      <c r="AD1004" s="2432"/>
      <c r="AE1004" s="2433"/>
      <c r="AF1004" s="117"/>
      <c r="AG1004" s="2443" t="s">
        <v>578</v>
      </c>
      <c r="AH1004" s="2444"/>
      <c r="AI1004" s="125"/>
      <c r="AJ1004" s="2500">
        <f>+'Sources and Uses Budget'!B85</f>
        <v>1439281</v>
      </c>
      <c r="AK1004" s="2501"/>
      <c r="AL1004" s="2501"/>
      <c r="AM1004" s="2501"/>
      <c r="AN1004" s="2501"/>
      <c r="AO1004" s="2501"/>
      <c r="AP1004" s="2501"/>
      <c r="AQ1004" s="2502"/>
      <c r="AR1004" s="1577"/>
      <c r="AS1004" s="1577"/>
      <c r="AT1004" s="1577"/>
      <c r="AU1004" s="1577"/>
      <c r="AV1004" s="1577"/>
      <c r="AW1004" s="1577"/>
      <c r="AX1004" s="1577"/>
      <c r="AY1004" s="1577"/>
      <c r="BA1004" s="320">
        <f>IF(A1078="Yes",0.02,0)</f>
        <v>0</v>
      </c>
    </row>
    <row r="1005" spans="1:96" ht="12.75" customHeight="1">
      <c r="A1005" s="51"/>
      <c r="B1005" s="110"/>
      <c r="C1005" s="111"/>
      <c r="D1005" s="2434" t="s">
        <v>2174</v>
      </c>
      <c r="E1005" s="2435"/>
      <c r="F1005" s="2435"/>
      <c r="G1005" s="2435"/>
      <c r="H1005" s="2435"/>
      <c r="I1005" s="2435"/>
      <c r="J1005" s="2435"/>
      <c r="K1005" s="2435"/>
      <c r="L1005" s="2435"/>
      <c r="M1005" s="2435"/>
      <c r="N1005" s="2435"/>
      <c r="O1005" s="2435"/>
      <c r="P1005" s="2435"/>
      <c r="Q1005" s="2435"/>
      <c r="R1005" s="2435"/>
      <c r="S1005" s="2435"/>
      <c r="T1005" s="2435"/>
      <c r="U1005" s="2435"/>
      <c r="V1005" s="2435"/>
      <c r="W1005" s="2435"/>
      <c r="X1005" s="2435"/>
      <c r="Y1005" s="2435"/>
      <c r="Z1005" s="2435"/>
      <c r="AA1005" s="2435"/>
      <c r="AB1005" s="2435"/>
      <c r="AC1005" s="2435"/>
      <c r="AD1005" s="2435"/>
      <c r="AE1005" s="2436"/>
      <c r="AF1005" s="2527" t="str">
        <f>IF(AG1004="yes","Please Enter Amount:",0)</f>
        <v>Please Enter Amount:</v>
      </c>
      <c r="AG1005" s="2528"/>
      <c r="AH1005" s="2528"/>
      <c r="AI1005" s="2529"/>
      <c r="AJ1005" s="2503"/>
      <c r="AK1005" s="2504"/>
      <c r="AL1005" s="2504"/>
      <c r="AM1005" s="2504"/>
      <c r="AN1005" s="2504"/>
      <c r="AO1005" s="2504"/>
      <c r="AP1005" s="2504"/>
      <c r="AQ1005" s="2505"/>
      <c r="AR1005" s="1577"/>
      <c r="AS1005" s="1577"/>
      <c r="AT1005" s="1577"/>
      <c r="AU1005" s="1577"/>
      <c r="AV1005" s="1577"/>
      <c r="AW1005" s="1577"/>
      <c r="AX1005" s="1577"/>
      <c r="AY1005" s="1577"/>
      <c r="BA1005" s="321">
        <f>IF(A1082="Yes",0.02,0)</f>
        <v>0</v>
      </c>
    </row>
    <row r="1006" spans="1:96" ht="12.75" customHeight="1">
      <c r="A1006" s="51"/>
      <c r="B1006" s="110"/>
      <c r="C1006" s="111"/>
      <c r="D1006" s="2434"/>
      <c r="E1006" s="2435"/>
      <c r="F1006" s="2435"/>
      <c r="G1006" s="2435"/>
      <c r="H1006" s="2435"/>
      <c r="I1006" s="2435"/>
      <c r="J1006" s="2435"/>
      <c r="K1006" s="2435"/>
      <c r="L1006" s="2435"/>
      <c r="M1006" s="2435"/>
      <c r="N1006" s="2435"/>
      <c r="O1006" s="2435"/>
      <c r="P1006" s="2435"/>
      <c r="Q1006" s="2435"/>
      <c r="R1006" s="2435"/>
      <c r="S1006" s="2435"/>
      <c r="T1006" s="2435"/>
      <c r="U1006" s="2435"/>
      <c r="V1006" s="2435"/>
      <c r="W1006" s="2435"/>
      <c r="X1006" s="2435"/>
      <c r="Y1006" s="2435"/>
      <c r="Z1006" s="2435"/>
      <c r="AA1006" s="2435"/>
      <c r="AB1006" s="2435"/>
      <c r="AC1006" s="2435"/>
      <c r="AD1006" s="2435"/>
      <c r="AE1006" s="2436"/>
      <c r="AF1006" s="2527"/>
      <c r="AG1006" s="2528"/>
      <c r="AH1006" s="2528"/>
      <c r="AI1006" s="2529"/>
      <c r="AJ1006" s="2503"/>
      <c r="AK1006" s="2504"/>
      <c r="AL1006" s="2504"/>
      <c r="AM1006" s="2504"/>
      <c r="AN1006" s="2504"/>
      <c r="AO1006" s="2504"/>
      <c r="AP1006" s="2504"/>
      <c r="AQ1006" s="2505"/>
      <c r="AR1006" s="1577"/>
      <c r="AS1006" s="1577"/>
      <c r="AT1006" s="1577"/>
      <c r="AU1006" s="1577"/>
      <c r="AV1006" s="1577"/>
      <c r="AW1006" s="1577"/>
      <c r="AX1006" s="1577"/>
      <c r="AY1006" s="1577"/>
    </row>
    <row r="1007" spans="1:96" ht="12.75" customHeight="1">
      <c r="A1007" s="51"/>
      <c r="B1007" s="123"/>
      <c r="C1007" s="122"/>
      <c r="D1007" s="2447"/>
      <c r="E1007" s="2448"/>
      <c r="F1007" s="2448"/>
      <c r="G1007" s="2448"/>
      <c r="H1007" s="2448"/>
      <c r="I1007" s="2448"/>
      <c r="J1007" s="2448"/>
      <c r="K1007" s="2448"/>
      <c r="L1007" s="2448"/>
      <c r="M1007" s="2448"/>
      <c r="N1007" s="2448"/>
      <c r="O1007" s="2448"/>
      <c r="P1007" s="2448"/>
      <c r="Q1007" s="2448"/>
      <c r="R1007" s="2448"/>
      <c r="S1007" s="2448"/>
      <c r="T1007" s="2448"/>
      <c r="U1007" s="2448"/>
      <c r="V1007" s="2448"/>
      <c r="W1007" s="2448"/>
      <c r="X1007" s="2448"/>
      <c r="Y1007" s="2448"/>
      <c r="Z1007" s="2448"/>
      <c r="AA1007" s="2448"/>
      <c r="AB1007" s="2448"/>
      <c r="AC1007" s="2448"/>
      <c r="AD1007" s="2448"/>
      <c r="AE1007" s="2449"/>
      <c r="AF1007" s="2530"/>
      <c r="AG1007" s="2531"/>
      <c r="AH1007" s="2531"/>
      <c r="AI1007" s="2532"/>
      <c r="AJ1007" s="2506"/>
      <c r="AK1007" s="2507"/>
      <c r="AL1007" s="2507"/>
      <c r="AM1007" s="2507"/>
      <c r="AN1007" s="2507"/>
      <c r="AO1007" s="2507"/>
      <c r="AP1007" s="2507"/>
      <c r="AQ1007" s="2508"/>
      <c r="AR1007" s="1577"/>
      <c r="AS1007" s="1577"/>
      <c r="AT1007" s="1577"/>
      <c r="AU1007" s="1577"/>
      <c r="AV1007" s="1577"/>
      <c r="AW1007" s="1577"/>
      <c r="AX1007" s="1577"/>
      <c r="AY1007" s="1577"/>
    </row>
    <row r="1008" spans="1:96" s="714" customFormat="1" ht="12.75" customHeight="1">
      <c r="A1008" s="51"/>
      <c r="B1008" s="117"/>
      <c r="C1008" s="118" t="s">
        <v>240</v>
      </c>
      <c r="D1008" s="2480" t="s">
        <v>1539</v>
      </c>
      <c r="E1008" s="2481"/>
      <c r="F1008" s="2481"/>
      <c r="G1008" s="2481"/>
      <c r="H1008" s="2481"/>
      <c r="I1008" s="2481"/>
      <c r="J1008" s="2481"/>
      <c r="K1008" s="2481"/>
      <c r="L1008" s="2481"/>
      <c r="M1008" s="2481"/>
      <c r="N1008" s="2481"/>
      <c r="O1008" s="2481"/>
      <c r="P1008" s="2481"/>
      <c r="Q1008" s="2481"/>
      <c r="R1008" s="2481"/>
      <c r="S1008" s="2481"/>
      <c r="T1008" s="2481"/>
      <c r="U1008" s="2481"/>
      <c r="V1008" s="2481"/>
      <c r="W1008" s="2481"/>
      <c r="X1008" s="2481"/>
      <c r="Y1008" s="2481"/>
      <c r="Z1008" s="2481"/>
      <c r="AA1008" s="2481"/>
      <c r="AB1008" s="2481"/>
      <c r="AC1008" s="2481"/>
      <c r="AD1008" s="2481"/>
      <c r="AE1008" s="2482"/>
      <c r="AF1008" s="117"/>
      <c r="AG1008" s="2443" t="s">
        <v>706</v>
      </c>
      <c r="AH1008" s="2444"/>
      <c r="AI1008" s="125"/>
      <c r="AJ1008" s="2468">
        <f>ROUND(IF(AG1008="yes",(AJ975*0.1),0),0)</f>
        <v>0</v>
      </c>
      <c r="AK1008" s="2469"/>
      <c r="AL1008" s="2469"/>
      <c r="AM1008" s="2469"/>
      <c r="AN1008" s="2469"/>
      <c r="AO1008" s="2469"/>
      <c r="AP1008" s="2469"/>
      <c r="AQ1008" s="2470"/>
      <c r="AR1008" s="1577"/>
      <c r="AS1008" s="1577"/>
      <c r="AT1008" s="1577"/>
      <c r="AU1008" s="1577"/>
      <c r="AV1008" s="1577"/>
      <c r="AW1008" s="1577"/>
      <c r="AX1008" s="1577"/>
      <c r="AY1008" s="1577"/>
      <c r="CR1008" s="25"/>
    </row>
    <row r="1009" spans="1:96" ht="12.75" customHeight="1">
      <c r="A1009" s="51"/>
      <c r="B1009" s="110"/>
      <c r="C1009" s="111"/>
      <c r="D1009" s="2434" t="s">
        <v>1540</v>
      </c>
      <c r="E1009" s="2435"/>
      <c r="F1009" s="2435"/>
      <c r="G1009" s="2435"/>
      <c r="H1009" s="2435"/>
      <c r="I1009" s="2435"/>
      <c r="J1009" s="2435"/>
      <c r="K1009" s="2435"/>
      <c r="L1009" s="2435"/>
      <c r="M1009" s="2435"/>
      <c r="N1009" s="2435"/>
      <c r="O1009" s="2435"/>
      <c r="P1009" s="2435"/>
      <c r="Q1009" s="2435"/>
      <c r="R1009" s="2435"/>
      <c r="S1009" s="2435"/>
      <c r="T1009" s="2435"/>
      <c r="U1009" s="2435"/>
      <c r="V1009" s="2435"/>
      <c r="W1009" s="2435"/>
      <c r="X1009" s="2435"/>
      <c r="Y1009" s="2435"/>
      <c r="Z1009" s="2435"/>
      <c r="AA1009" s="2435"/>
      <c r="AB1009" s="2435"/>
      <c r="AC1009" s="2435"/>
      <c r="AD1009" s="2435"/>
      <c r="AE1009" s="2436"/>
      <c r="AF1009" s="110"/>
      <c r="AG1009" s="112"/>
      <c r="AH1009" s="112"/>
      <c r="AI1009" s="121"/>
      <c r="AJ1009" s="2471"/>
      <c r="AK1009" s="2472"/>
      <c r="AL1009" s="2472"/>
      <c r="AM1009" s="2472"/>
      <c r="AN1009" s="2472"/>
      <c r="AO1009" s="2472"/>
      <c r="AP1009" s="2472"/>
      <c r="AQ1009" s="2473"/>
      <c r="AR1009" s="1577"/>
      <c r="AS1009" s="1577"/>
      <c r="AT1009" s="1577"/>
      <c r="AU1009" s="1577"/>
      <c r="AV1009" s="1577"/>
      <c r="AW1009" s="1577"/>
      <c r="AX1009" s="1577"/>
      <c r="AY1009" s="1577"/>
    </row>
    <row r="1010" spans="1:96" ht="12.75" customHeight="1">
      <c r="A1010" s="51"/>
      <c r="B1010" s="115"/>
      <c r="C1010" s="111"/>
      <c r="D1010" s="2447"/>
      <c r="E1010" s="2448"/>
      <c r="F1010" s="2448"/>
      <c r="G1010" s="2448"/>
      <c r="H1010" s="2448"/>
      <c r="I1010" s="2448"/>
      <c r="J1010" s="2448"/>
      <c r="K1010" s="2448"/>
      <c r="L1010" s="2448"/>
      <c r="M1010" s="2448"/>
      <c r="N1010" s="2448"/>
      <c r="O1010" s="2448"/>
      <c r="P1010" s="2448"/>
      <c r="Q1010" s="2448"/>
      <c r="R1010" s="2448"/>
      <c r="S1010" s="2448"/>
      <c r="T1010" s="2448"/>
      <c r="U1010" s="2448"/>
      <c r="V1010" s="2448"/>
      <c r="W1010" s="2448"/>
      <c r="X1010" s="2448"/>
      <c r="Y1010" s="2448"/>
      <c r="Z1010" s="2448"/>
      <c r="AA1010" s="2448"/>
      <c r="AB1010" s="2448"/>
      <c r="AC1010" s="2448"/>
      <c r="AD1010" s="2448"/>
      <c r="AE1010" s="2449"/>
      <c r="AF1010" s="110"/>
      <c r="AG1010" s="112"/>
      <c r="AH1010" s="112"/>
      <c r="AI1010" s="121"/>
      <c r="AJ1010" s="2474"/>
      <c r="AK1010" s="2475"/>
      <c r="AL1010" s="2475"/>
      <c r="AM1010" s="2475"/>
      <c r="AN1010" s="2475"/>
      <c r="AO1010" s="2475"/>
      <c r="AP1010" s="2475"/>
      <c r="AQ1010" s="2476"/>
      <c r="AR1010" s="1577"/>
      <c r="AS1010" s="1577"/>
      <c r="AT1010" s="1577"/>
      <c r="AU1010" s="1577"/>
      <c r="AV1010" s="1577"/>
      <c r="AW1010" s="1577"/>
      <c r="AX1010" s="1577"/>
      <c r="AY1010" s="1577"/>
    </row>
    <row r="1011" spans="1:96" s="714" customFormat="1" ht="12.75" customHeight="1">
      <c r="A1011" s="51"/>
      <c r="B1011" s="110"/>
      <c r="C1011" s="526" t="s">
        <v>725</v>
      </c>
      <c r="D1011" s="2431" t="s">
        <v>2170</v>
      </c>
      <c r="E1011" s="2432"/>
      <c r="F1011" s="2432"/>
      <c r="G1011" s="2432"/>
      <c r="H1011" s="2432"/>
      <c r="I1011" s="2432"/>
      <c r="J1011" s="2432"/>
      <c r="K1011" s="2432"/>
      <c r="L1011" s="2432"/>
      <c r="M1011" s="2432"/>
      <c r="N1011" s="2432"/>
      <c r="O1011" s="2432"/>
      <c r="P1011" s="2432"/>
      <c r="Q1011" s="2432"/>
      <c r="R1011" s="2432"/>
      <c r="S1011" s="2432"/>
      <c r="T1011" s="2432"/>
      <c r="U1011" s="2432"/>
      <c r="V1011" s="2432"/>
      <c r="W1011" s="2432"/>
      <c r="X1011" s="2432"/>
      <c r="Y1011" s="2432"/>
      <c r="Z1011" s="2432"/>
      <c r="AA1011" s="2432"/>
      <c r="AB1011" s="2432"/>
      <c r="AC1011" s="2432"/>
      <c r="AD1011" s="2432"/>
      <c r="AE1011" s="2433"/>
      <c r="AF1011" s="117"/>
      <c r="AG1011" s="2443" t="s">
        <v>706</v>
      </c>
      <c r="AH1011" s="2444"/>
      <c r="AI1011" s="125"/>
      <c r="AJ1011" s="2468">
        <f>ROUND(IF(AG1011="yes",(AJ975*0.15),0),0)</f>
        <v>0</v>
      </c>
      <c r="AK1011" s="2469"/>
      <c r="AL1011" s="2469"/>
      <c r="AM1011" s="2469"/>
      <c r="AN1011" s="2469"/>
      <c r="AO1011" s="2469"/>
      <c r="AP1011" s="2469"/>
      <c r="AQ1011" s="2470"/>
      <c r="AR1011" s="1577"/>
      <c r="AS1011" s="1577"/>
      <c r="AT1011" s="1577"/>
      <c r="AU1011" s="1577"/>
      <c r="AV1011" s="1577"/>
      <c r="AW1011" s="1577"/>
      <c r="AX1011" s="1577"/>
      <c r="AY1011" s="1577"/>
      <c r="CR1011" s="25"/>
    </row>
    <row r="1012" spans="1:96" s="714" customFormat="1" ht="12.75" customHeight="1">
      <c r="A1012" s="51"/>
      <c r="B1012" s="110"/>
      <c r="C1012" s="111"/>
      <c r="D1012" s="2462" t="s">
        <v>2171</v>
      </c>
      <c r="E1012" s="2463"/>
      <c r="F1012" s="2463"/>
      <c r="G1012" s="2463"/>
      <c r="H1012" s="2463"/>
      <c r="I1012" s="2463"/>
      <c r="J1012" s="2463"/>
      <c r="K1012" s="2463"/>
      <c r="L1012" s="2463"/>
      <c r="M1012" s="2463"/>
      <c r="N1012" s="2463"/>
      <c r="O1012" s="2463"/>
      <c r="P1012" s="2463"/>
      <c r="Q1012" s="2463"/>
      <c r="R1012" s="2463"/>
      <c r="S1012" s="2463"/>
      <c r="T1012" s="2463"/>
      <c r="U1012" s="2463"/>
      <c r="V1012" s="2463"/>
      <c r="W1012" s="2463"/>
      <c r="X1012" s="2463"/>
      <c r="Y1012" s="2463"/>
      <c r="Z1012" s="2463"/>
      <c r="AA1012" s="2463"/>
      <c r="AB1012" s="2463"/>
      <c r="AC1012" s="2463"/>
      <c r="AD1012" s="2463"/>
      <c r="AE1012" s="2464"/>
      <c r="AF1012" s="1607"/>
      <c r="AG1012" s="1608"/>
      <c r="AH1012" s="1608"/>
      <c r="AI1012" s="1609"/>
      <c r="AJ1012" s="2471"/>
      <c r="AK1012" s="2472"/>
      <c r="AL1012" s="2472"/>
      <c r="AM1012" s="2472"/>
      <c r="AN1012" s="2472"/>
      <c r="AO1012" s="2472"/>
      <c r="AP1012" s="2472"/>
      <c r="AQ1012" s="2473"/>
      <c r="AR1012" s="1577"/>
      <c r="AS1012" s="1577"/>
      <c r="AT1012" s="1577"/>
      <c r="AU1012" s="1577"/>
      <c r="AV1012" s="1577"/>
      <c r="AW1012" s="1577"/>
      <c r="AX1012" s="1577"/>
      <c r="AY1012" s="1577"/>
      <c r="CR1012" s="25"/>
    </row>
    <row r="1013" spans="1:96" s="714" customFormat="1" ht="12.75" customHeight="1">
      <c r="A1013" s="51"/>
      <c r="B1013" s="110"/>
      <c r="C1013" s="111"/>
      <c r="D1013" s="2462"/>
      <c r="E1013" s="2463"/>
      <c r="F1013" s="2463"/>
      <c r="G1013" s="2463"/>
      <c r="H1013" s="2463"/>
      <c r="I1013" s="2463"/>
      <c r="J1013" s="2463"/>
      <c r="K1013" s="2463"/>
      <c r="L1013" s="2463"/>
      <c r="M1013" s="2463"/>
      <c r="N1013" s="2463"/>
      <c r="O1013" s="2463"/>
      <c r="P1013" s="2463"/>
      <c r="Q1013" s="2463"/>
      <c r="R1013" s="2463"/>
      <c r="S1013" s="2463"/>
      <c r="T1013" s="2463"/>
      <c r="U1013" s="2463"/>
      <c r="V1013" s="2463"/>
      <c r="W1013" s="2463"/>
      <c r="X1013" s="2463"/>
      <c r="Y1013" s="2463"/>
      <c r="Z1013" s="2463"/>
      <c r="AA1013" s="2463"/>
      <c r="AB1013" s="2463"/>
      <c r="AC1013" s="2463"/>
      <c r="AD1013" s="2463"/>
      <c r="AE1013" s="2464"/>
      <c r="AF1013" s="1607"/>
      <c r="AG1013" s="1608"/>
      <c r="AH1013" s="1608"/>
      <c r="AI1013" s="1609"/>
      <c r="AJ1013" s="2471"/>
      <c r="AK1013" s="2472"/>
      <c r="AL1013" s="2472"/>
      <c r="AM1013" s="2472"/>
      <c r="AN1013" s="2472"/>
      <c r="AO1013" s="2472"/>
      <c r="AP1013" s="2472"/>
      <c r="AQ1013" s="2473"/>
      <c r="AR1013" s="1577"/>
      <c r="AS1013" s="1577"/>
      <c r="AT1013" s="1577"/>
      <c r="AU1013" s="1577"/>
      <c r="AV1013" s="1577"/>
      <c r="AW1013" s="1577"/>
      <c r="AX1013" s="1577"/>
      <c r="AY1013" s="1577"/>
      <c r="CR1013" s="25"/>
    </row>
    <row r="1014" spans="1:96" s="714" customFormat="1" ht="12.75" customHeight="1">
      <c r="A1014" s="51"/>
      <c r="B1014" s="110"/>
      <c r="C1014" s="111"/>
      <c r="D1014" s="2465"/>
      <c r="E1014" s="2466"/>
      <c r="F1014" s="2466"/>
      <c r="G1014" s="2466"/>
      <c r="H1014" s="2466"/>
      <c r="I1014" s="2466"/>
      <c r="J1014" s="2466"/>
      <c r="K1014" s="2466"/>
      <c r="L1014" s="2466"/>
      <c r="M1014" s="2466"/>
      <c r="N1014" s="2466"/>
      <c r="O1014" s="2466"/>
      <c r="P1014" s="2466"/>
      <c r="Q1014" s="2466"/>
      <c r="R1014" s="2466"/>
      <c r="S1014" s="2466"/>
      <c r="T1014" s="2466"/>
      <c r="U1014" s="2466"/>
      <c r="V1014" s="2466"/>
      <c r="W1014" s="2466"/>
      <c r="X1014" s="2466"/>
      <c r="Y1014" s="2466"/>
      <c r="Z1014" s="2466"/>
      <c r="AA1014" s="2466"/>
      <c r="AB1014" s="2466"/>
      <c r="AC1014" s="2466"/>
      <c r="AD1014" s="2466"/>
      <c r="AE1014" s="2467"/>
      <c r="AF1014" s="1610"/>
      <c r="AG1014" s="1611"/>
      <c r="AH1014" s="1611"/>
      <c r="AI1014" s="1612"/>
      <c r="AJ1014" s="2474"/>
      <c r="AK1014" s="2475"/>
      <c r="AL1014" s="2475"/>
      <c r="AM1014" s="2475"/>
      <c r="AN1014" s="2475"/>
      <c r="AO1014" s="2475"/>
      <c r="AP1014" s="2475"/>
      <c r="AQ1014" s="2476"/>
      <c r="AR1014" s="1577"/>
      <c r="AS1014" s="1577"/>
      <c r="AT1014" s="1577"/>
      <c r="AU1014" s="1577"/>
      <c r="AV1014" s="1577"/>
      <c r="AW1014" s="1577"/>
      <c r="AX1014" s="1577"/>
      <c r="AY1014" s="1577"/>
      <c r="CR1014" s="25"/>
    </row>
    <row r="1015" spans="1:96" s="714" customFormat="1" ht="12.75" customHeight="1">
      <c r="A1015" s="51"/>
      <c r="B1015" s="110"/>
      <c r="C1015" s="526" t="s">
        <v>725</v>
      </c>
      <c r="D1015" s="2480" t="s">
        <v>2172</v>
      </c>
      <c r="E1015" s="2481"/>
      <c r="F1015" s="2481"/>
      <c r="G1015" s="2481"/>
      <c r="H1015" s="2481"/>
      <c r="I1015" s="2481"/>
      <c r="J1015" s="2481"/>
      <c r="K1015" s="2481"/>
      <c r="L1015" s="2481"/>
      <c r="M1015" s="2481"/>
      <c r="N1015" s="2481"/>
      <c r="O1015" s="2481"/>
      <c r="P1015" s="2481"/>
      <c r="Q1015" s="2481"/>
      <c r="R1015" s="2481"/>
      <c r="S1015" s="2481"/>
      <c r="T1015" s="2481"/>
      <c r="U1015" s="2481"/>
      <c r="V1015" s="2481"/>
      <c r="W1015" s="2481"/>
      <c r="X1015" s="2481"/>
      <c r="Y1015" s="2481"/>
      <c r="Z1015" s="2481"/>
      <c r="AA1015" s="2481"/>
      <c r="AB1015" s="2481"/>
      <c r="AC1015" s="2481"/>
      <c r="AD1015" s="2481"/>
      <c r="AE1015" s="2482"/>
      <c r="AF1015" s="110"/>
      <c r="AG1015" s="2445" t="s">
        <v>706</v>
      </c>
      <c r="AH1015" s="2446"/>
      <c r="AI1015" s="121"/>
      <c r="AJ1015" s="2468">
        <f>ROUND(IF(AG1015="yes",(AJ975*0.1),0),0)</f>
        <v>0</v>
      </c>
      <c r="AK1015" s="2469"/>
      <c r="AL1015" s="2469"/>
      <c r="AM1015" s="2469"/>
      <c r="AN1015" s="2469"/>
      <c r="AO1015" s="2469"/>
      <c r="AP1015" s="2469"/>
      <c r="AQ1015" s="2470"/>
      <c r="AR1015" s="1577"/>
      <c r="AS1015" s="1577"/>
      <c r="AT1015" s="1577"/>
      <c r="AU1015" s="1577"/>
      <c r="AV1015" s="1577"/>
      <c r="AW1015" s="1577"/>
      <c r="AX1015" s="1577"/>
      <c r="AY1015" s="1577"/>
      <c r="CR1015" s="25"/>
    </row>
    <row r="1016" spans="1:96" s="714" customFormat="1" ht="12.75" customHeight="1">
      <c r="A1016" s="51"/>
      <c r="B1016" s="110"/>
      <c r="C1016" s="111"/>
      <c r="D1016" s="2462" t="s">
        <v>2173</v>
      </c>
      <c r="E1016" s="2463"/>
      <c r="F1016" s="2463"/>
      <c r="G1016" s="2463"/>
      <c r="H1016" s="2463"/>
      <c r="I1016" s="2463"/>
      <c r="J1016" s="2463"/>
      <c r="K1016" s="2463"/>
      <c r="L1016" s="2463"/>
      <c r="M1016" s="2463"/>
      <c r="N1016" s="2463"/>
      <c r="O1016" s="2463"/>
      <c r="P1016" s="2463"/>
      <c r="Q1016" s="2463"/>
      <c r="R1016" s="2463"/>
      <c r="S1016" s="2463"/>
      <c r="T1016" s="2463"/>
      <c r="U1016" s="2463"/>
      <c r="V1016" s="2463"/>
      <c r="W1016" s="2463"/>
      <c r="X1016" s="2463"/>
      <c r="Y1016" s="2463"/>
      <c r="Z1016" s="2463"/>
      <c r="AA1016" s="2463"/>
      <c r="AB1016" s="2463"/>
      <c r="AC1016" s="2463"/>
      <c r="AD1016" s="2463"/>
      <c r="AE1016" s="2464"/>
      <c r="AF1016" s="110"/>
      <c r="AG1016" s="112"/>
      <c r="AH1016" s="112"/>
      <c r="AI1016" s="121"/>
      <c r="AJ1016" s="2471"/>
      <c r="AK1016" s="2472"/>
      <c r="AL1016" s="2472"/>
      <c r="AM1016" s="2472"/>
      <c r="AN1016" s="2472"/>
      <c r="AO1016" s="2472"/>
      <c r="AP1016" s="2472"/>
      <c r="AQ1016" s="2473"/>
      <c r="AR1016" s="1577"/>
      <c r="AS1016" s="1577"/>
      <c r="AT1016" s="1577"/>
      <c r="AU1016" s="1577"/>
      <c r="AV1016" s="1577"/>
      <c r="AW1016" s="1577"/>
      <c r="AX1016" s="1577"/>
      <c r="AY1016" s="1577"/>
      <c r="CR1016" s="25"/>
    </row>
    <row r="1017" spans="1:96" s="714" customFormat="1" ht="12.75" customHeight="1">
      <c r="A1017" s="51"/>
      <c r="B1017" s="110"/>
      <c r="C1017" s="111"/>
      <c r="D1017" s="2462"/>
      <c r="E1017" s="2463"/>
      <c r="F1017" s="2463"/>
      <c r="G1017" s="2463"/>
      <c r="H1017" s="2463"/>
      <c r="I1017" s="2463"/>
      <c r="J1017" s="2463"/>
      <c r="K1017" s="2463"/>
      <c r="L1017" s="2463"/>
      <c r="M1017" s="2463"/>
      <c r="N1017" s="2463"/>
      <c r="O1017" s="2463"/>
      <c r="P1017" s="2463"/>
      <c r="Q1017" s="2463"/>
      <c r="R1017" s="2463"/>
      <c r="S1017" s="2463"/>
      <c r="T1017" s="2463"/>
      <c r="U1017" s="2463"/>
      <c r="V1017" s="2463"/>
      <c r="W1017" s="2463"/>
      <c r="X1017" s="2463"/>
      <c r="Y1017" s="2463"/>
      <c r="Z1017" s="2463"/>
      <c r="AA1017" s="2463"/>
      <c r="AB1017" s="2463"/>
      <c r="AC1017" s="2463"/>
      <c r="AD1017" s="2463"/>
      <c r="AE1017" s="2464"/>
      <c r="AF1017" s="110"/>
      <c r="AG1017" s="112"/>
      <c r="AH1017" s="112"/>
      <c r="AI1017" s="121"/>
      <c r="AJ1017" s="2471"/>
      <c r="AK1017" s="2472"/>
      <c r="AL1017" s="2472"/>
      <c r="AM1017" s="2472"/>
      <c r="AN1017" s="2472"/>
      <c r="AO1017" s="2472"/>
      <c r="AP1017" s="2472"/>
      <c r="AQ1017" s="2473"/>
      <c r="AR1017" s="1577"/>
      <c r="AS1017" s="1577"/>
      <c r="AT1017" s="1577"/>
      <c r="AU1017" s="1577"/>
      <c r="AV1017" s="1577"/>
      <c r="AW1017" s="1577"/>
      <c r="AX1017" s="1577"/>
      <c r="AY1017" s="1577"/>
      <c r="CR1017" s="25"/>
    </row>
    <row r="1018" spans="1:96" s="714" customFormat="1" ht="12.75" customHeight="1">
      <c r="A1018" s="51"/>
      <c r="B1018" s="110"/>
      <c r="C1018" s="111"/>
      <c r="D1018" s="2462"/>
      <c r="E1018" s="2463"/>
      <c r="F1018" s="2463"/>
      <c r="G1018" s="2463"/>
      <c r="H1018" s="2463"/>
      <c r="I1018" s="2463"/>
      <c r="J1018" s="2463"/>
      <c r="K1018" s="2463"/>
      <c r="L1018" s="2463"/>
      <c r="M1018" s="2463"/>
      <c r="N1018" s="2463"/>
      <c r="O1018" s="2463"/>
      <c r="P1018" s="2463"/>
      <c r="Q1018" s="2463"/>
      <c r="R1018" s="2463"/>
      <c r="S1018" s="2463"/>
      <c r="T1018" s="2463"/>
      <c r="U1018" s="2463"/>
      <c r="V1018" s="2463"/>
      <c r="W1018" s="2463"/>
      <c r="X1018" s="2463"/>
      <c r="Y1018" s="2463"/>
      <c r="Z1018" s="2463"/>
      <c r="AA1018" s="2463"/>
      <c r="AB1018" s="2463"/>
      <c r="AC1018" s="2463"/>
      <c r="AD1018" s="2463"/>
      <c r="AE1018" s="2464"/>
      <c r="AF1018" s="110"/>
      <c r="AG1018" s="112"/>
      <c r="AH1018" s="112"/>
      <c r="AI1018" s="121"/>
      <c r="AJ1018" s="2471"/>
      <c r="AK1018" s="2472"/>
      <c r="AL1018" s="2472"/>
      <c r="AM1018" s="2472"/>
      <c r="AN1018" s="2472"/>
      <c r="AO1018" s="2472"/>
      <c r="AP1018" s="2472"/>
      <c r="AQ1018" s="2473"/>
      <c r="AR1018" s="1577"/>
      <c r="AS1018" s="1577"/>
      <c r="AT1018" s="1577"/>
      <c r="AU1018" s="1577"/>
      <c r="AV1018" s="1577"/>
      <c r="AW1018" s="1577"/>
      <c r="AX1018" s="1577"/>
      <c r="AY1018" s="1577"/>
      <c r="CR1018" s="25"/>
    </row>
    <row r="1019" spans="1:96" s="714" customFormat="1" ht="12.75" customHeight="1">
      <c r="A1019" s="51"/>
      <c r="B1019" s="110"/>
      <c r="C1019" s="111"/>
      <c r="D1019" s="2465"/>
      <c r="E1019" s="2466"/>
      <c r="F1019" s="2466"/>
      <c r="G1019" s="2466"/>
      <c r="H1019" s="2466"/>
      <c r="I1019" s="2466"/>
      <c r="J1019" s="2466"/>
      <c r="K1019" s="2466"/>
      <c r="L1019" s="2466"/>
      <c r="M1019" s="2466"/>
      <c r="N1019" s="2466"/>
      <c r="O1019" s="2466"/>
      <c r="P1019" s="2466"/>
      <c r="Q1019" s="2466"/>
      <c r="R1019" s="2466"/>
      <c r="S1019" s="2466"/>
      <c r="T1019" s="2466"/>
      <c r="U1019" s="2466"/>
      <c r="V1019" s="2466"/>
      <c r="W1019" s="2466"/>
      <c r="X1019" s="2466"/>
      <c r="Y1019" s="2466"/>
      <c r="Z1019" s="2466"/>
      <c r="AA1019" s="2466"/>
      <c r="AB1019" s="2466"/>
      <c r="AC1019" s="2466"/>
      <c r="AD1019" s="2466"/>
      <c r="AE1019" s="2467"/>
      <c r="AF1019" s="110"/>
      <c r="AG1019" s="112"/>
      <c r="AH1019" s="112"/>
      <c r="AI1019" s="121"/>
      <c r="AJ1019" s="2471"/>
      <c r="AK1019" s="2472"/>
      <c r="AL1019" s="2472"/>
      <c r="AM1019" s="2472"/>
      <c r="AN1019" s="2472"/>
      <c r="AO1019" s="2472"/>
      <c r="AP1019" s="2472"/>
      <c r="AQ1019" s="2473"/>
      <c r="AR1019" s="1577"/>
      <c r="AS1019" s="1577"/>
      <c r="AT1019" s="1577"/>
      <c r="AU1019" s="1577"/>
      <c r="AV1019" s="1577"/>
      <c r="AW1019" s="1577"/>
      <c r="AX1019" s="1577"/>
      <c r="AY1019" s="1577"/>
      <c r="CR1019" s="25"/>
    </row>
    <row r="1020" spans="1:96" s="714" customFormat="1" ht="12.75" customHeight="1">
      <c r="A1020" s="51"/>
      <c r="B1020" s="117"/>
      <c r="C1020" s="198" t="s">
        <v>1115</v>
      </c>
      <c r="D1020" s="2431" t="s">
        <v>1541</v>
      </c>
      <c r="E1020" s="2432"/>
      <c r="F1020" s="2432"/>
      <c r="G1020" s="2432"/>
      <c r="H1020" s="2432"/>
      <c r="I1020" s="2432"/>
      <c r="J1020" s="2432"/>
      <c r="K1020" s="2432"/>
      <c r="L1020" s="2432"/>
      <c r="M1020" s="2432"/>
      <c r="N1020" s="2432"/>
      <c r="O1020" s="2432"/>
      <c r="P1020" s="2432"/>
      <c r="Q1020" s="2432"/>
      <c r="R1020" s="2432"/>
      <c r="S1020" s="2432"/>
      <c r="T1020" s="2432"/>
      <c r="U1020" s="2432"/>
      <c r="V1020" s="2432"/>
      <c r="W1020" s="2432"/>
      <c r="X1020" s="2432"/>
      <c r="Y1020" s="2432"/>
      <c r="Z1020" s="2432"/>
      <c r="AA1020" s="2432"/>
      <c r="AB1020" s="2432"/>
      <c r="AC1020" s="2432"/>
      <c r="AD1020" s="2432"/>
      <c r="AE1020" s="2433"/>
      <c r="AF1020" s="117"/>
      <c r="AG1020" s="2443" t="s">
        <v>706</v>
      </c>
      <c r="AH1020" s="2444"/>
      <c r="AI1020" s="125"/>
      <c r="AJ1020" s="2468">
        <f>ROUND(IF(AG1020="yes",(AJ975*0.1),0),0)</f>
        <v>0</v>
      </c>
      <c r="AK1020" s="2469"/>
      <c r="AL1020" s="2469"/>
      <c r="AM1020" s="2469"/>
      <c r="AN1020" s="2469"/>
      <c r="AO1020" s="2469"/>
      <c r="AP1020" s="2469"/>
      <c r="AQ1020" s="2470"/>
      <c r="AR1020" s="1577"/>
      <c r="AS1020" s="1577"/>
      <c r="AT1020" s="1577"/>
      <c r="AU1020" s="1577"/>
      <c r="AV1020" s="1577"/>
      <c r="AW1020" s="1577"/>
      <c r="AX1020" s="1577"/>
      <c r="AY1020" s="1577"/>
      <c r="CR1020" s="25"/>
    </row>
    <row r="1021" spans="1:96" ht="12.75" customHeight="1">
      <c r="A1021" s="51"/>
      <c r="B1021" s="110"/>
      <c r="C1021" s="111"/>
      <c r="D1021" s="2434" t="s">
        <v>1542</v>
      </c>
      <c r="E1021" s="2435"/>
      <c r="F1021" s="2435"/>
      <c r="G1021" s="2435"/>
      <c r="H1021" s="2435"/>
      <c r="I1021" s="2435"/>
      <c r="J1021" s="2435"/>
      <c r="K1021" s="2435"/>
      <c r="L1021" s="2435"/>
      <c r="M1021" s="2435"/>
      <c r="N1021" s="2435"/>
      <c r="O1021" s="2435"/>
      <c r="P1021" s="2435"/>
      <c r="Q1021" s="2435"/>
      <c r="R1021" s="2435"/>
      <c r="S1021" s="2435"/>
      <c r="T1021" s="2435"/>
      <c r="U1021" s="2435"/>
      <c r="V1021" s="2435"/>
      <c r="W1021" s="2435"/>
      <c r="X1021" s="2435"/>
      <c r="Y1021" s="2435"/>
      <c r="Z1021" s="2435"/>
      <c r="AA1021" s="2435"/>
      <c r="AB1021" s="2435"/>
      <c r="AC1021" s="2435"/>
      <c r="AD1021" s="2435"/>
      <c r="AE1021" s="2436"/>
      <c r="AF1021" s="110"/>
      <c r="AG1021" s="112"/>
      <c r="AH1021" s="112"/>
      <c r="AI1021" s="121"/>
      <c r="AJ1021" s="2471"/>
      <c r="AK1021" s="2472"/>
      <c r="AL1021" s="2472"/>
      <c r="AM1021" s="2472"/>
      <c r="AN1021" s="2472"/>
      <c r="AO1021" s="2472"/>
      <c r="AP1021" s="2472"/>
      <c r="AQ1021" s="2473"/>
      <c r="AR1021" s="1577"/>
      <c r="AS1021" s="1577"/>
      <c r="AT1021" s="1577"/>
      <c r="AU1021" s="1577"/>
      <c r="AV1021" s="1577"/>
      <c r="AW1021" s="1577"/>
      <c r="AX1021" s="1577"/>
      <c r="AY1021" s="1577"/>
    </row>
    <row r="1022" spans="1:96" ht="12.75" customHeight="1">
      <c r="A1022" s="51"/>
      <c r="B1022" s="110"/>
      <c r="C1022" s="111"/>
      <c r="D1022" s="2434"/>
      <c r="E1022" s="2435"/>
      <c r="F1022" s="2435"/>
      <c r="G1022" s="2435"/>
      <c r="H1022" s="2435"/>
      <c r="I1022" s="2435"/>
      <c r="J1022" s="2435"/>
      <c r="K1022" s="2435"/>
      <c r="L1022" s="2435"/>
      <c r="M1022" s="2435"/>
      <c r="N1022" s="2435"/>
      <c r="O1022" s="2435"/>
      <c r="P1022" s="2435"/>
      <c r="Q1022" s="2435"/>
      <c r="R1022" s="2435"/>
      <c r="S1022" s="2435"/>
      <c r="T1022" s="2435"/>
      <c r="U1022" s="2435"/>
      <c r="V1022" s="2435"/>
      <c r="W1022" s="2435"/>
      <c r="X1022" s="2435"/>
      <c r="Y1022" s="2435"/>
      <c r="Z1022" s="2435"/>
      <c r="AA1022" s="2435"/>
      <c r="AB1022" s="2435"/>
      <c r="AC1022" s="2435"/>
      <c r="AD1022" s="2435"/>
      <c r="AE1022" s="2436"/>
      <c r="AF1022" s="110"/>
      <c r="AG1022" s="112"/>
      <c r="AH1022" s="112"/>
      <c r="AI1022" s="121"/>
      <c r="AJ1022" s="2471"/>
      <c r="AK1022" s="2472"/>
      <c r="AL1022" s="2472"/>
      <c r="AM1022" s="2472"/>
      <c r="AN1022" s="2472"/>
      <c r="AO1022" s="2472"/>
      <c r="AP1022" s="2472"/>
      <c r="AQ1022" s="2473"/>
      <c r="AR1022" s="1577"/>
      <c r="AS1022" s="1577"/>
      <c r="AT1022" s="1577"/>
      <c r="AU1022" s="1577"/>
      <c r="AV1022" s="1577"/>
      <c r="AW1022" s="1577"/>
      <c r="AX1022" s="1577"/>
      <c r="AY1022" s="1577"/>
    </row>
    <row r="1023" spans="1:96" s="677" customFormat="1" ht="12.75" customHeight="1">
      <c r="A1023" s="51"/>
      <c r="B1023" s="110"/>
      <c r="C1023" s="111"/>
      <c r="D1023" s="2447"/>
      <c r="E1023" s="2448"/>
      <c r="F1023" s="2448"/>
      <c r="G1023" s="2448"/>
      <c r="H1023" s="2448"/>
      <c r="I1023" s="2448"/>
      <c r="J1023" s="2448"/>
      <c r="K1023" s="2448"/>
      <c r="L1023" s="2448"/>
      <c r="M1023" s="2448"/>
      <c r="N1023" s="2448"/>
      <c r="O1023" s="2448"/>
      <c r="P1023" s="2448"/>
      <c r="Q1023" s="2448"/>
      <c r="R1023" s="2448"/>
      <c r="S1023" s="2448"/>
      <c r="T1023" s="2448"/>
      <c r="U1023" s="2448"/>
      <c r="V1023" s="2448"/>
      <c r="W1023" s="2448"/>
      <c r="X1023" s="2448"/>
      <c r="Y1023" s="2448"/>
      <c r="Z1023" s="2448"/>
      <c r="AA1023" s="2448"/>
      <c r="AB1023" s="2448"/>
      <c r="AC1023" s="2448"/>
      <c r="AD1023" s="2448"/>
      <c r="AE1023" s="2449"/>
      <c r="AF1023" s="110"/>
      <c r="AG1023" s="112"/>
      <c r="AH1023" s="112"/>
      <c r="AI1023" s="121"/>
      <c r="AJ1023" s="2474"/>
      <c r="AK1023" s="2475"/>
      <c r="AL1023" s="2475"/>
      <c r="AM1023" s="2475"/>
      <c r="AN1023" s="2475"/>
      <c r="AO1023" s="2475"/>
      <c r="AP1023" s="2475"/>
      <c r="AQ1023" s="2476"/>
      <c r="AR1023" s="1577"/>
      <c r="AS1023" s="1577"/>
      <c r="AT1023" s="1577"/>
      <c r="AU1023" s="1577"/>
      <c r="AV1023" s="1577"/>
      <c r="AW1023" s="1577"/>
      <c r="AX1023" s="1577"/>
      <c r="AY1023" s="1577"/>
      <c r="CR1023" s="25"/>
    </row>
    <row r="1024" spans="1:96" ht="12.75" customHeight="1">
      <c r="A1024" s="51"/>
      <c r="B1024" s="117"/>
      <c r="C1024" s="198" t="s">
        <v>2168</v>
      </c>
      <c r="D1024" s="2480" t="s">
        <v>2389</v>
      </c>
      <c r="E1024" s="2481"/>
      <c r="F1024" s="2481"/>
      <c r="G1024" s="2481"/>
      <c r="H1024" s="2481"/>
      <c r="I1024" s="2481"/>
      <c r="J1024" s="2481"/>
      <c r="K1024" s="2481"/>
      <c r="L1024" s="2481"/>
      <c r="M1024" s="2481"/>
      <c r="N1024" s="2481"/>
      <c r="O1024" s="2481"/>
      <c r="P1024" s="2481"/>
      <c r="Q1024" s="2481"/>
      <c r="R1024" s="2481"/>
      <c r="S1024" s="2481"/>
      <c r="T1024" s="2481"/>
      <c r="U1024" s="2481"/>
      <c r="V1024" s="2481"/>
      <c r="W1024" s="2481"/>
      <c r="X1024" s="2481"/>
      <c r="Y1024" s="2481"/>
      <c r="Z1024" s="2481"/>
      <c r="AA1024" s="2481"/>
      <c r="AB1024" s="2481"/>
      <c r="AC1024" s="2481"/>
      <c r="AD1024" s="2481"/>
      <c r="AE1024" s="2482"/>
      <c r="AF1024" s="117"/>
      <c r="AG1024" s="2441" t="str">
        <f>IF(X1027&gt;0,"Yes","No")</f>
        <v>Yes</v>
      </c>
      <c r="AH1024" s="2442"/>
      <c r="AI1024" s="125"/>
      <c r="AJ1024" s="2450">
        <f>IF((X1027=0),0,BA989*AJ975)</f>
        <v>28215673.849999998</v>
      </c>
      <c r="AK1024" s="2451"/>
      <c r="AL1024" s="2451"/>
      <c r="AM1024" s="2451"/>
      <c r="AN1024" s="2451"/>
      <c r="AO1024" s="2451"/>
      <c r="AP1024" s="2451"/>
      <c r="AQ1024" s="2452"/>
      <c r="AR1024" s="1577"/>
      <c r="AS1024" s="1577"/>
      <c r="AT1024" s="1577"/>
      <c r="AU1024" s="1577"/>
      <c r="AV1024" s="1577"/>
      <c r="AW1024" s="1577"/>
      <c r="AX1024" s="1577"/>
      <c r="AY1024" s="1577"/>
    </row>
    <row r="1025" spans="1:96" ht="12.75" customHeight="1">
      <c r="A1025" s="51"/>
      <c r="B1025" s="110"/>
      <c r="C1025" s="697"/>
      <c r="D1025" s="2434" t="s">
        <v>1544</v>
      </c>
      <c r="E1025" s="2435"/>
      <c r="F1025" s="2435"/>
      <c r="G1025" s="2435"/>
      <c r="H1025" s="2435"/>
      <c r="I1025" s="2435"/>
      <c r="J1025" s="2435"/>
      <c r="K1025" s="2435"/>
      <c r="L1025" s="2435"/>
      <c r="M1025" s="2435"/>
      <c r="N1025" s="2435"/>
      <c r="O1025" s="2435"/>
      <c r="P1025" s="2435"/>
      <c r="Q1025" s="2435"/>
      <c r="R1025" s="2435"/>
      <c r="S1025" s="2435"/>
      <c r="T1025" s="2435"/>
      <c r="U1025" s="2435"/>
      <c r="V1025" s="2435"/>
      <c r="W1025" s="2435"/>
      <c r="X1025" s="2435"/>
      <c r="Y1025" s="2435"/>
      <c r="Z1025" s="2435"/>
      <c r="AA1025" s="2435"/>
      <c r="AB1025" s="2435"/>
      <c r="AC1025" s="2435"/>
      <c r="AD1025" s="2435"/>
      <c r="AE1025" s="2436"/>
      <c r="AF1025" s="110"/>
      <c r="AG1025" s="698"/>
      <c r="AH1025" s="698"/>
      <c r="AI1025" s="121"/>
      <c r="AJ1025" s="2453"/>
      <c r="AK1025" s="2454"/>
      <c r="AL1025" s="2454"/>
      <c r="AM1025" s="2454"/>
      <c r="AN1025" s="2454"/>
      <c r="AO1025" s="2454"/>
      <c r="AP1025" s="2454"/>
      <c r="AQ1025" s="2455"/>
      <c r="AR1025" s="1577"/>
      <c r="AS1025" s="1577"/>
      <c r="AT1025" s="1577"/>
      <c r="AU1025" s="1577"/>
      <c r="AV1025" s="1577"/>
      <c r="AW1025" s="1577"/>
      <c r="AX1025" s="1577"/>
      <c r="AY1025" s="1577"/>
    </row>
    <row r="1026" spans="1:96" ht="12.75" customHeight="1">
      <c r="A1026" s="51"/>
      <c r="B1026" s="110"/>
      <c r="C1026" s="697"/>
      <c r="D1026" s="2434"/>
      <c r="E1026" s="2435"/>
      <c r="F1026" s="2435"/>
      <c r="G1026" s="2435"/>
      <c r="H1026" s="2435"/>
      <c r="I1026" s="2435"/>
      <c r="J1026" s="2435"/>
      <c r="K1026" s="2435"/>
      <c r="L1026" s="2435"/>
      <c r="M1026" s="2435"/>
      <c r="N1026" s="2435"/>
      <c r="O1026" s="2435"/>
      <c r="P1026" s="2435"/>
      <c r="Q1026" s="2435"/>
      <c r="R1026" s="2435"/>
      <c r="S1026" s="2435"/>
      <c r="T1026" s="2435"/>
      <c r="U1026" s="2435"/>
      <c r="V1026" s="2435"/>
      <c r="W1026" s="2435"/>
      <c r="X1026" s="2435"/>
      <c r="Y1026" s="2435"/>
      <c r="Z1026" s="2435"/>
      <c r="AA1026" s="2435"/>
      <c r="AB1026" s="2435"/>
      <c r="AC1026" s="2435"/>
      <c r="AD1026" s="2435"/>
      <c r="AE1026" s="2436"/>
      <c r="AF1026" s="110"/>
      <c r="AG1026" s="698"/>
      <c r="AH1026" s="698"/>
      <c r="AI1026" s="121"/>
      <c r="AJ1026" s="2453"/>
      <c r="AK1026" s="2454"/>
      <c r="AL1026" s="2454"/>
      <c r="AM1026" s="2454"/>
      <c r="AN1026" s="2454"/>
      <c r="AO1026" s="2454"/>
      <c r="AP1026" s="2454"/>
      <c r="AQ1026" s="2455"/>
      <c r="AR1026" s="1577"/>
      <c r="AS1026" s="1577"/>
      <c r="AT1026" s="1577"/>
      <c r="AU1026" s="1577"/>
      <c r="AV1026" s="1577"/>
      <c r="AW1026" s="1577"/>
      <c r="AX1026" s="1577"/>
      <c r="AY1026" s="1577"/>
    </row>
    <row r="1027" spans="1:96" s="714" customFormat="1" ht="12.75" customHeight="1">
      <c r="A1027" s="51"/>
      <c r="B1027" s="115"/>
      <c r="C1027" s="116"/>
      <c r="D1027" s="199" t="s">
        <v>1049</v>
      </c>
      <c r="E1027" s="200"/>
      <c r="F1027" s="200"/>
      <c r="G1027" s="200"/>
      <c r="H1027" s="200"/>
      <c r="I1027" s="2439">
        <f>BA987</f>
        <v>198</v>
      </c>
      <c r="J1027" s="2440"/>
      <c r="K1027" s="11"/>
      <c r="L1027" s="200"/>
      <c r="M1027" s="200"/>
      <c r="N1027" s="200"/>
      <c r="O1027" s="200"/>
      <c r="P1027" s="200"/>
      <c r="Q1027" s="200"/>
      <c r="R1027" s="200"/>
      <c r="S1027" s="200"/>
      <c r="T1027" s="200"/>
      <c r="U1027" s="200"/>
      <c r="V1027" s="201" t="s">
        <v>1050</v>
      </c>
      <c r="W1027" s="80"/>
      <c r="X1027" s="2437">
        <f>BG635</f>
        <v>71</v>
      </c>
      <c r="Y1027" s="2438"/>
      <c r="Z1027" s="80"/>
      <c r="AA1027" s="80"/>
      <c r="AB1027" s="80"/>
      <c r="AC1027" s="80"/>
      <c r="AD1027" s="80"/>
      <c r="AE1027" s="81"/>
      <c r="AF1027" s="1616"/>
      <c r="AG1027" s="1617"/>
      <c r="AH1027" s="1617"/>
      <c r="AI1027" s="1618"/>
      <c r="AJ1027" s="2456"/>
      <c r="AK1027" s="2457"/>
      <c r="AL1027" s="2457"/>
      <c r="AM1027" s="2457"/>
      <c r="AN1027" s="2457"/>
      <c r="AO1027" s="2457"/>
      <c r="AP1027" s="2457"/>
      <c r="AQ1027" s="2458"/>
      <c r="AR1027" s="1577"/>
      <c r="AS1027" s="1577"/>
      <c r="AT1027" s="1577"/>
      <c r="AU1027" s="1577"/>
      <c r="AV1027" s="1577"/>
      <c r="AW1027" s="1577"/>
      <c r="AX1027" s="1577"/>
      <c r="AY1027" s="1577"/>
      <c r="CR1027" s="25"/>
    </row>
    <row r="1028" spans="1:96" ht="12.75" customHeight="1">
      <c r="A1028" s="51"/>
      <c r="B1028" s="117"/>
      <c r="C1028" s="198" t="s">
        <v>2169</v>
      </c>
      <c r="D1028" s="2431" t="s">
        <v>2390</v>
      </c>
      <c r="E1028" s="2432"/>
      <c r="F1028" s="2432"/>
      <c r="G1028" s="2432"/>
      <c r="H1028" s="2432"/>
      <c r="I1028" s="2432"/>
      <c r="J1028" s="2432"/>
      <c r="K1028" s="2432"/>
      <c r="L1028" s="2432"/>
      <c r="M1028" s="2432"/>
      <c r="N1028" s="2432"/>
      <c r="O1028" s="2432"/>
      <c r="P1028" s="2432"/>
      <c r="Q1028" s="2432"/>
      <c r="R1028" s="2432"/>
      <c r="S1028" s="2432"/>
      <c r="T1028" s="2432"/>
      <c r="U1028" s="2432"/>
      <c r="V1028" s="2432"/>
      <c r="W1028" s="2432"/>
      <c r="X1028" s="2432"/>
      <c r="Y1028" s="2432"/>
      <c r="Z1028" s="2432"/>
      <c r="AA1028" s="2432"/>
      <c r="AB1028" s="2432"/>
      <c r="AC1028" s="2432"/>
      <c r="AD1028" s="2432"/>
      <c r="AE1028" s="2433"/>
      <c r="AF1028" s="110"/>
      <c r="AG1028" s="2441" t="str">
        <f>IF(X1031&gt;0,"Yes","No")</f>
        <v>Yes</v>
      </c>
      <c r="AH1028" s="2442"/>
      <c r="AI1028" s="121"/>
      <c r="AJ1028" s="2450">
        <f>IF((X1031=0),0,(2*BA990)*AJ975)</f>
        <v>20960214.859999999</v>
      </c>
      <c r="AK1028" s="2451"/>
      <c r="AL1028" s="2451"/>
      <c r="AM1028" s="2451"/>
      <c r="AN1028" s="2451"/>
      <c r="AO1028" s="2451"/>
      <c r="AP1028" s="2451"/>
      <c r="AQ1028" s="2452"/>
      <c r="AR1028" s="1577"/>
      <c r="AS1028" s="1577"/>
      <c r="AT1028" s="1577"/>
      <c r="AU1028" s="1577"/>
      <c r="AV1028" s="1577"/>
      <c r="AW1028" s="1577"/>
      <c r="AX1028" s="1577"/>
      <c r="AY1028" s="1577"/>
    </row>
    <row r="1029" spans="1:96" ht="12.75" customHeight="1">
      <c r="A1029" s="51"/>
      <c r="B1029" s="110"/>
      <c r="C1029" s="697"/>
      <c r="D1029" s="2434" t="s">
        <v>1543</v>
      </c>
      <c r="E1029" s="2435"/>
      <c r="F1029" s="2435"/>
      <c r="G1029" s="2435"/>
      <c r="H1029" s="2435"/>
      <c r="I1029" s="2435"/>
      <c r="J1029" s="2435"/>
      <c r="K1029" s="2435"/>
      <c r="L1029" s="2435"/>
      <c r="M1029" s="2435"/>
      <c r="N1029" s="2435"/>
      <c r="O1029" s="2435"/>
      <c r="P1029" s="2435"/>
      <c r="Q1029" s="2435"/>
      <c r="R1029" s="2435"/>
      <c r="S1029" s="2435"/>
      <c r="T1029" s="2435"/>
      <c r="U1029" s="2435"/>
      <c r="V1029" s="2435"/>
      <c r="W1029" s="2435"/>
      <c r="X1029" s="2435"/>
      <c r="Y1029" s="2435"/>
      <c r="Z1029" s="2435"/>
      <c r="AA1029" s="2435"/>
      <c r="AB1029" s="2435"/>
      <c r="AC1029" s="2435"/>
      <c r="AD1029" s="2435"/>
      <c r="AE1029" s="2436"/>
      <c r="AF1029" s="110"/>
      <c r="AG1029" s="698"/>
      <c r="AH1029" s="698"/>
      <c r="AI1029" s="121"/>
      <c r="AJ1029" s="2453"/>
      <c r="AK1029" s="2454"/>
      <c r="AL1029" s="2454"/>
      <c r="AM1029" s="2454"/>
      <c r="AN1029" s="2454"/>
      <c r="AO1029" s="2454"/>
      <c r="AP1029" s="2454"/>
      <c r="AQ1029" s="2455"/>
      <c r="AR1029" s="1577"/>
      <c r="AS1029" s="1577"/>
      <c r="AT1029" s="1577"/>
      <c r="AU1029" s="1577"/>
      <c r="AV1029" s="1577"/>
      <c r="AW1029" s="1577"/>
      <c r="AX1029" s="1577"/>
      <c r="AY1029" s="1577"/>
    </row>
    <row r="1030" spans="1:96" ht="12.75" customHeight="1">
      <c r="A1030" s="51"/>
      <c r="B1030" s="110"/>
      <c r="C1030" s="121"/>
      <c r="D1030" s="2434"/>
      <c r="E1030" s="2435"/>
      <c r="F1030" s="2435"/>
      <c r="G1030" s="2435"/>
      <c r="H1030" s="2435"/>
      <c r="I1030" s="2435"/>
      <c r="J1030" s="2435"/>
      <c r="K1030" s="2435"/>
      <c r="L1030" s="2435"/>
      <c r="M1030" s="2435"/>
      <c r="N1030" s="2435"/>
      <c r="O1030" s="2435"/>
      <c r="P1030" s="2435"/>
      <c r="Q1030" s="2435"/>
      <c r="R1030" s="2435"/>
      <c r="S1030" s="2435"/>
      <c r="T1030" s="2435"/>
      <c r="U1030" s="2435"/>
      <c r="V1030" s="2435"/>
      <c r="W1030" s="2435"/>
      <c r="X1030" s="2435"/>
      <c r="Y1030" s="2435"/>
      <c r="Z1030" s="2435"/>
      <c r="AA1030" s="2435"/>
      <c r="AB1030" s="2435"/>
      <c r="AC1030" s="2435"/>
      <c r="AD1030" s="2435"/>
      <c r="AE1030" s="2436"/>
      <c r="AF1030" s="1613"/>
      <c r="AG1030" s="1614"/>
      <c r="AH1030" s="1614"/>
      <c r="AI1030" s="1615"/>
      <c r="AJ1030" s="2453"/>
      <c r="AK1030" s="2454"/>
      <c r="AL1030" s="2454"/>
      <c r="AM1030" s="2454"/>
      <c r="AN1030" s="2454"/>
      <c r="AO1030" s="2454"/>
      <c r="AP1030" s="2454"/>
      <c r="AQ1030" s="2455"/>
      <c r="AR1030" s="1577"/>
      <c r="AS1030" s="1577"/>
      <c r="AT1030" s="1577"/>
      <c r="AU1030" s="1577"/>
      <c r="AV1030" s="1577"/>
      <c r="AW1030" s="1577"/>
      <c r="AX1030" s="1577"/>
      <c r="AY1030" s="1577"/>
    </row>
    <row r="1031" spans="1:96" s="714" customFormat="1" ht="12.75" customHeight="1">
      <c r="A1031" s="51"/>
      <c r="B1031" s="115"/>
      <c r="C1031" s="116"/>
      <c r="D1031" s="199" t="s">
        <v>1049</v>
      </c>
      <c r="E1031" s="200"/>
      <c r="F1031" s="200"/>
      <c r="G1031" s="200"/>
      <c r="H1031" s="200"/>
      <c r="I1031" s="2439">
        <f>BA987</f>
        <v>198</v>
      </c>
      <c r="J1031" s="2440"/>
      <c r="K1031" s="51"/>
      <c r="L1031" s="200"/>
      <c r="M1031" s="200"/>
      <c r="N1031" s="200"/>
      <c r="O1031" s="200"/>
      <c r="P1031" s="200"/>
      <c r="Q1031" s="200"/>
      <c r="R1031" s="200"/>
      <c r="S1031" s="200"/>
      <c r="T1031" s="200"/>
      <c r="U1031" s="200"/>
      <c r="V1031" s="201" t="s">
        <v>1051</v>
      </c>
      <c r="X1031" s="2437">
        <f>BK635</f>
        <v>27</v>
      </c>
      <c r="Y1031" s="2438"/>
      <c r="AF1031" s="1616"/>
      <c r="AG1031" s="1617"/>
      <c r="AH1031" s="1617"/>
      <c r="AI1031" s="1618"/>
      <c r="AJ1031" s="2456"/>
      <c r="AK1031" s="2457"/>
      <c r="AL1031" s="2457"/>
      <c r="AM1031" s="2457"/>
      <c r="AN1031" s="2457"/>
      <c r="AO1031" s="2457"/>
      <c r="AP1031" s="2457"/>
      <c r="AQ1031" s="2458"/>
      <c r="AR1031" s="1577"/>
      <c r="AS1031" s="1577"/>
      <c r="AT1031" s="1577"/>
      <c r="AU1031" s="1577"/>
      <c r="AV1031" s="1577"/>
      <c r="AW1031" s="1577"/>
      <c r="AX1031" s="1577"/>
      <c r="AY1031" s="1577"/>
      <c r="CR1031" s="25"/>
    </row>
    <row r="1032" spans="1:96" ht="12.75" customHeight="1">
      <c r="A1032" s="51"/>
      <c r="B1032" s="158"/>
      <c r="C1032" s="159"/>
      <c r="D1032" s="2429" t="s">
        <v>546</v>
      </c>
      <c r="E1032" s="2429"/>
      <c r="F1032" s="2429"/>
      <c r="G1032" s="2429"/>
      <c r="H1032" s="2429"/>
      <c r="I1032" s="2429"/>
      <c r="J1032" s="2429"/>
      <c r="K1032" s="2429"/>
      <c r="L1032" s="2429"/>
      <c r="M1032" s="2429"/>
      <c r="N1032" s="2429"/>
      <c r="O1032" s="2429"/>
      <c r="P1032" s="2429"/>
      <c r="Q1032" s="2429"/>
      <c r="R1032" s="2429"/>
      <c r="S1032" s="2429"/>
      <c r="T1032" s="2429"/>
      <c r="U1032" s="2429"/>
      <c r="V1032" s="2429"/>
      <c r="W1032" s="2429"/>
      <c r="X1032" s="2429"/>
      <c r="Y1032" s="2429"/>
      <c r="Z1032" s="2429"/>
      <c r="AA1032" s="2429"/>
      <c r="AB1032" s="2429"/>
      <c r="AC1032" s="2429"/>
      <c r="AD1032" s="2429"/>
      <c r="AE1032" s="2429"/>
      <c r="AF1032" s="2429"/>
      <c r="AG1032" s="2429"/>
      <c r="AH1032" s="2429"/>
      <c r="AI1032" s="2430"/>
      <c r="AJ1032" s="2459">
        <f>SUM(AJ975:AQ1031)</f>
        <v>131231380.70999999</v>
      </c>
      <c r="AK1032" s="2460"/>
      <c r="AL1032" s="2460"/>
      <c r="AM1032" s="2460"/>
      <c r="AN1032" s="2460"/>
      <c r="AO1032" s="2460"/>
      <c r="AP1032" s="2460"/>
      <c r="AQ1032" s="2461"/>
      <c r="AR1032" s="1577"/>
      <c r="AS1032" s="1577"/>
      <c r="AT1032" s="1577"/>
      <c r="AU1032" s="1577"/>
      <c r="AV1032" s="1577"/>
      <c r="AW1032" s="1577"/>
      <c r="AX1032" s="1577"/>
      <c r="AY1032" s="1577"/>
    </row>
    <row r="1033" spans="1:96" ht="12.75" customHeight="1">
      <c r="A1033" s="51"/>
      <c r="B1033" s="112"/>
      <c r="C1033" s="336"/>
      <c r="D1033" s="341"/>
      <c r="E1033" s="341"/>
      <c r="F1033" s="341"/>
      <c r="G1033" s="341"/>
      <c r="H1033" s="341"/>
      <c r="I1033" s="341"/>
      <c r="J1033" s="341"/>
      <c r="K1033" s="341"/>
      <c r="L1033" s="341"/>
      <c r="M1033" s="341"/>
      <c r="N1033" s="341"/>
      <c r="O1033" s="341"/>
      <c r="P1033" s="341"/>
      <c r="Q1033" s="341"/>
      <c r="R1033" s="341"/>
      <c r="S1033" s="341"/>
      <c r="T1033" s="337"/>
      <c r="U1033" s="337"/>
      <c r="V1033" s="337"/>
      <c r="W1033" s="337"/>
      <c r="X1033" s="337"/>
      <c r="Y1033" s="337"/>
      <c r="Z1033" s="337"/>
      <c r="AA1033" s="337"/>
      <c r="AB1033" s="337"/>
      <c r="AC1033" s="337"/>
      <c r="AD1033" s="334"/>
      <c r="AE1033" s="334"/>
      <c r="AF1033" s="334"/>
      <c r="AG1033" s="334"/>
      <c r="AH1033" s="334"/>
      <c r="AI1033" s="334"/>
      <c r="AJ1033" s="334"/>
      <c r="AK1033" s="334"/>
      <c r="AL1033" s="105"/>
      <c r="AM1033" s="1577"/>
      <c r="AN1033" s="1577"/>
      <c r="AO1033" s="1577"/>
      <c r="AP1033" s="1577"/>
      <c r="AQ1033" s="1577"/>
      <c r="AR1033" s="1577"/>
      <c r="AS1033" s="1577"/>
      <c r="AT1033" s="1577"/>
      <c r="AU1033" s="1577"/>
      <c r="AV1033" s="1577"/>
      <c r="AW1033" s="1577"/>
      <c r="AX1033" s="1577"/>
      <c r="AY1033" s="1577"/>
    </row>
    <row r="1034" spans="1:96" ht="12.75" customHeight="1">
      <c r="A1034" s="51"/>
      <c r="B1034" s="2103" t="s">
        <v>1930</v>
      </c>
      <c r="C1034" s="2103"/>
      <c r="D1034" s="2103"/>
      <c r="E1034" s="2103"/>
      <c r="F1034" s="2103"/>
      <c r="G1034" s="2103"/>
      <c r="H1034" s="2103"/>
      <c r="I1034" s="2103"/>
      <c r="J1034" s="2103"/>
      <c r="K1034" s="2103"/>
      <c r="L1034" s="2103"/>
      <c r="M1034" s="2103"/>
      <c r="N1034" s="2103"/>
      <c r="O1034" s="2103"/>
      <c r="P1034" s="2103"/>
      <c r="Q1034" s="2103"/>
      <c r="R1034" s="2103"/>
      <c r="S1034" s="2103"/>
      <c r="T1034" s="2103"/>
      <c r="U1034" s="2103"/>
      <c r="V1034" s="2103"/>
      <c r="W1034" s="2103"/>
      <c r="X1034" s="2103"/>
      <c r="Y1034" s="2103"/>
      <c r="Z1034" s="342"/>
      <c r="AA1034" s="342"/>
      <c r="AB1034" s="342"/>
      <c r="AC1034" s="342"/>
      <c r="AL1034" s="105"/>
      <c r="AM1034" s="1577"/>
      <c r="AN1034" s="1577"/>
      <c r="AO1034" s="1577"/>
      <c r="AP1034" s="1577"/>
      <c r="AQ1034" s="1577"/>
      <c r="AR1034" s="1577"/>
      <c r="AS1034" s="1577"/>
      <c r="AT1034" s="1577"/>
      <c r="AU1034" s="1577"/>
      <c r="AV1034" s="1577"/>
      <c r="AW1034" s="1577"/>
      <c r="AX1034" s="1577"/>
      <c r="AY1034" s="1577"/>
    </row>
    <row r="1035" spans="1:96" ht="12.75" customHeight="1">
      <c r="A1035" s="51"/>
      <c r="B1035" s="112" t="s">
        <v>1931</v>
      </c>
      <c r="C1035" s="336"/>
      <c r="D1035" s="343"/>
      <c r="E1035" s="344"/>
      <c r="F1035" s="344"/>
      <c r="G1035" s="344"/>
      <c r="H1035" s="344"/>
      <c r="I1035" s="344"/>
      <c r="J1035" s="344"/>
      <c r="K1035" s="344"/>
      <c r="L1035" s="344"/>
      <c r="M1035" s="344"/>
      <c r="N1035" s="344"/>
      <c r="O1035" s="344"/>
      <c r="P1035" s="344"/>
      <c r="Q1035" s="344"/>
      <c r="R1035" s="344"/>
      <c r="S1035" s="344"/>
      <c r="T1035" s="344"/>
      <c r="U1035" s="344"/>
      <c r="V1035" s="344"/>
      <c r="W1035" s="344"/>
      <c r="X1035" s="2391"/>
      <c r="Y1035" s="2391"/>
      <c r="Z1035" s="2391"/>
      <c r="AA1035" s="2391"/>
      <c r="AB1035" s="2391"/>
      <c r="AC1035" s="2391"/>
      <c r="AD1035" s="2122">
        <f>R971</f>
        <v>387200</v>
      </c>
      <c r="AE1035" s="2123"/>
      <c r="AF1035" s="2123"/>
      <c r="AG1035" s="2123"/>
      <c r="AH1035" s="2123"/>
      <c r="AI1035" s="2123"/>
      <c r="AJ1035" s="2123"/>
      <c r="AK1035" s="2123"/>
      <c r="AL1035" s="105"/>
      <c r="AM1035" s="1577"/>
      <c r="AN1035" s="1577"/>
      <c r="AO1035" s="1577"/>
      <c r="AP1035" s="1577"/>
      <c r="AQ1035" s="1577"/>
      <c r="AR1035" s="1577"/>
      <c r="AS1035" s="1577"/>
      <c r="AT1035" s="1577"/>
      <c r="AU1035" s="1577"/>
      <c r="AV1035" s="1577"/>
      <c r="AW1035" s="1577"/>
      <c r="AX1035" s="1577"/>
      <c r="AY1035" s="1577"/>
    </row>
    <row r="1036" spans="1:96" ht="12.75" customHeight="1">
      <c r="A1036" s="51"/>
      <c r="B1036" s="112" t="s">
        <v>2487</v>
      </c>
      <c r="C1036" s="336"/>
      <c r="D1036" s="343"/>
      <c r="E1036" s="343"/>
      <c r="F1036" s="344"/>
      <c r="G1036" s="344"/>
      <c r="H1036" s="344"/>
      <c r="I1036" s="344"/>
      <c r="J1036" s="344"/>
      <c r="K1036" s="344"/>
      <c r="L1036" s="344"/>
      <c r="M1036" s="344"/>
      <c r="N1036" s="344"/>
      <c r="O1036" s="344"/>
      <c r="P1036" s="344"/>
      <c r="Q1036" s="344"/>
      <c r="R1036" s="344"/>
      <c r="S1036" s="344"/>
      <c r="T1036" s="344"/>
      <c r="U1036" s="344"/>
      <c r="V1036" s="344"/>
      <c r="W1036" s="344"/>
      <c r="X1036" s="2392"/>
      <c r="Y1036" s="2392"/>
      <c r="Z1036" s="2392"/>
      <c r="AA1036" s="2392"/>
      <c r="AB1036" s="2392"/>
      <c r="AC1036" s="2392"/>
      <c r="AD1036" s="2142">
        <v>364800</v>
      </c>
      <c r="AE1036" s="2142"/>
      <c r="AF1036" s="2142"/>
      <c r="AG1036" s="2142"/>
      <c r="AH1036" s="2142"/>
      <c r="AI1036" s="2142"/>
      <c r="AJ1036" s="2142"/>
      <c r="AK1036" s="2142"/>
      <c r="AL1036" s="105"/>
      <c r="AM1036" s="1577"/>
      <c r="AN1036" s="1577"/>
      <c r="AO1036" s="1577"/>
      <c r="AP1036" s="1577"/>
      <c r="AQ1036" s="1577"/>
      <c r="AR1036" s="1577"/>
      <c r="AS1036" s="1577"/>
      <c r="AT1036" s="1577"/>
      <c r="AU1036" s="1577"/>
      <c r="AV1036" s="1577"/>
      <c r="AW1036" s="1577"/>
      <c r="AX1036" s="1577"/>
      <c r="AY1036" s="1577"/>
    </row>
    <row r="1037" spans="1:96" ht="12.75" customHeight="1">
      <c r="A1037" s="51"/>
      <c r="B1037" s="2124" t="s">
        <v>1932</v>
      </c>
      <c r="C1037" s="2124"/>
      <c r="D1037" s="2124"/>
      <c r="E1037" s="2124"/>
      <c r="F1037" s="2124"/>
      <c r="G1037" s="2124"/>
      <c r="H1037" s="2124"/>
      <c r="I1037" s="2124"/>
      <c r="J1037" s="2124"/>
      <c r="K1037" s="2124"/>
      <c r="L1037" s="2124"/>
      <c r="M1037" s="2124"/>
      <c r="N1037" s="2124"/>
      <c r="O1037" s="2124"/>
      <c r="P1037" s="2124"/>
      <c r="Q1037" s="2124"/>
      <c r="R1037" s="2124"/>
      <c r="S1037" s="2124"/>
      <c r="T1037" s="2124"/>
      <c r="U1037" s="2124"/>
      <c r="V1037" s="2124"/>
      <c r="W1037" s="2124"/>
      <c r="X1037" s="2124"/>
      <c r="Y1037" s="2124"/>
      <c r="Z1037" s="1410"/>
      <c r="AA1037" s="1410"/>
      <c r="AB1037" s="1410"/>
      <c r="AC1037" s="1410"/>
      <c r="AD1037" s="2119">
        <f>IF(((AD1035-AD1036)/AD1036)&gt;0.3,0.3,((AD1035-AD1036)/AD1036))</f>
        <v>6.1403508771929821E-2</v>
      </c>
      <c r="AE1037" s="2120"/>
      <c r="AF1037" s="2120"/>
      <c r="AG1037" s="2120"/>
      <c r="AH1037" s="2120"/>
      <c r="AI1037" s="2120"/>
      <c r="AJ1037" s="2120"/>
      <c r="AK1037" s="2121"/>
      <c r="AL1037" s="105"/>
      <c r="AM1037" s="1577"/>
      <c r="AN1037" s="1577"/>
      <c r="AO1037" s="1577"/>
      <c r="AP1037" s="1577"/>
      <c r="AQ1037" s="1577"/>
      <c r="AR1037" s="1577"/>
      <c r="AS1037" s="1577"/>
      <c r="AT1037" s="1577"/>
      <c r="AU1037" s="1577"/>
      <c r="AV1037" s="1577"/>
      <c r="AW1037" s="1577"/>
      <c r="AX1037" s="1577"/>
      <c r="AY1037" s="1577"/>
    </row>
    <row r="1038" spans="1:96" ht="12.75" customHeight="1">
      <c r="A1038" s="51"/>
      <c r="B1038" s="112"/>
      <c r="C1038" s="336"/>
      <c r="D1038" s="1410"/>
      <c r="E1038" s="1410"/>
      <c r="F1038" s="1410"/>
      <c r="G1038" s="1410"/>
      <c r="H1038" s="1410"/>
      <c r="I1038" s="1410"/>
      <c r="J1038" s="1410"/>
      <c r="K1038" s="1410"/>
      <c r="L1038" s="1410"/>
      <c r="M1038" s="1410"/>
      <c r="N1038" s="1410"/>
      <c r="O1038" s="1410"/>
      <c r="P1038" s="1410"/>
      <c r="Q1038" s="1410"/>
      <c r="R1038" s="1410"/>
      <c r="S1038" s="1410"/>
      <c r="T1038" s="1410"/>
      <c r="U1038" s="1410"/>
      <c r="V1038" s="1410"/>
      <c r="W1038" s="1410"/>
      <c r="X1038" s="1410"/>
      <c r="Y1038" s="1410"/>
      <c r="Z1038" s="1410"/>
      <c r="AA1038" s="1410"/>
      <c r="AB1038" s="1410"/>
      <c r="AC1038" s="1410"/>
      <c r="AD1038" s="1410"/>
      <c r="AE1038" s="1410"/>
      <c r="AF1038" s="1410"/>
      <c r="AG1038" s="1410"/>
      <c r="AH1038" s="1410"/>
      <c r="AI1038" s="1410"/>
      <c r="AJ1038" s="1410"/>
      <c r="AK1038" s="1410"/>
      <c r="AL1038" s="105"/>
      <c r="AM1038" s="1577"/>
      <c r="AN1038" s="1577"/>
      <c r="AO1038" s="1577"/>
      <c r="AP1038" s="1577"/>
      <c r="AQ1038" s="1577"/>
      <c r="AR1038" s="1577"/>
      <c r="AS1038" s="1577"/>
      <c r="AT1038" s="1577"/>
      <c r="AU1038" s="1577"/>
      <c r="AV1038" s="1577"/>
      <c r="AW1038" s="1577"/>
      <c r="AX1038" s="1577"/>
      <c r="AY1038" s="1577"/>
    </row>
    <row r="1039" spans="1:96" ht="12.75" customHeight="1">
      <c r="A1039" s="128"/>
      <c r="B1039" s="2389">
        <f>IF(ISNA(IF((AJ999&gt;(AJ975*0.15)),"(f) cannot be greater than 15% of unadjusted eligible basis.",0)),"",(IF((AJ999&gt;(AJ975*0.15)),"(f) cannot be greater than 15% of unadjusted eligible basis.",0)))</f>
        <v>0</v>
      </c>
      <c r="C1039" s="2389"/>
      <c r="D1039" s="2389"/>
      <c r="E1039" s="2389"/>
      <c r="F1039" s="2389"/>
      <c r="G1039" s="2389"/>
      <c r="H1039" s="2389"/>
      <c r="I1039" s="2389"/>
      <c r="J1039" s="2389"/>
      <c r="K1039" s="2389"/>
      <c r="L1039" s="2389"/>
      <c r="M1039" s="2389"/>
      <c r="N1039" s="2389"/>
      <c r="O1039" s="2389"/>
      <c r="P1039" s="2389"/>
      <c r="Q1039" s="2389"/>
      <c r="R1039" s="2389"/>
      <c r="S1039" s="2389"/>
      <c r="T1039" s="2389"/>
      <c r="U1039" s="2389"/>
      <c r="V1039" s="2389"/>
      <c r="W1039" s="2389"/>
      <c r="X1039" s="2389"/>
      <c r="Y1039" s="2389"/>
      <c r="Z1039" s="2389"/>
      <c r="AA1039" s="2389"/>
      <c r="AB1039" s="2389"/>
      <c r="AC1039" s="2389"/>
      <c r="AD1039" s="2389"/>
      <c r="AE1039" s="2389"/>
      <c r="AF1039" s="2389"/>
      <c r="AG1039" s="2389"/>
      <c r="AH1039" s="2389"/>
      <c r="AI1039" s="2389"/>
      <c r="AJ1039" s="2389"/>
      <c r="AK1039" s="2389"/>
      <c r="AL1039" s="105"/>
      <c r="AM1039" s="1577"/>
      <c r="AN1039" s="1577"/>
      <c r="AO1039" s="1577"/>
      <c r="AP1039" s="1577"/>
      <c r="AQ1039" s="1577"/>
      <c r="AR1039" s="1577"/>
      <c r="AS1039" s="1577"/>
      <c r="AT1039" s="1577"/>
      <c r="AU1039" s="1577"/>
      <c r="AV1039" s="1577"/>
      <c r="AW1039" s="1577"/>
      <c r="AX1039" s="1577"/>
      <c r="AY1039" s="1577"/>
    </row>
    <row r="1040" spans="1:96" ht="12.75" customHeight="1" thickBot="1">
      <c r="A1040" s="2350" t="s">
        <v>852</v>
      </c>
      <c r="B1040" s="2350"/>
      <c r="C1040" s="2350"/>
      <c r="D1040" s="2350"/>
      <c r="E1040" s="2350"/>
      <c r="F1040" s="2350"/>
      <c r="G1040" s="2350"/>
      <c r="H1040" s="2350"/>
      <c r="I1040" s="2350"/>
      <c r="J1040" s="2350"/>
      <c r="K1040" s="2350"/>
      <c r="L1040" s="2350"/>
      <c r="M1040" s="2350"/>
      <c r="N1040" s="2350"/>
      <c r="O1040" s="2350"/>
      <c r="P1040" s="2350"/>
      <c r="Q1040" s="2350"/>
      <c r="R1040" s="2350"/>
      <c r="S1040" s="2350"/>
      <c r="T1040" s="2350"/>
      <c r="U1040" s="2350"/>
      <c r="V1040" s="2350"/>
      <c r="W1040" s="2350"/>
      <c r="X1040" s="2350"/>
      <c r="Y1040" s="2350"/>
      <c r="Z1040" s="2350"/>
      <c r="AA1040" s="2350"/>
      <c r="AB1040" s="2350"/>
      <c r="AC1040" s="2350"/>
      <c r="AD1040" s="2350"/>
      <c r="AE1040" s="2350"/>
      <c r="AF1040" s="2350"/>
      <c r="AG1040" s="2350"/>
      <c r="AH1040" s="2350"/>
      <c r="AI1040" s="2350"/>
      <c r="AJ1040" s="2350"/>
      <c r="AK1040" s="2350"/>
      <c r="AL1040" s="2350"/>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2035" t="s">
        <v>626</v>
      </c>
      <c r="B1044" s="2035"/>
      <c r="C1044" s="13">
        <v>1</v>
      </c>
      <c r="D1044" s="1879" t="s">
        <v>1221</v>
      </c>
      <c r="E1044" s="1879"/>
      <c r="F1044" s="1879"/>
      <c r="G1044" s="1879"/>
      <c r="H1044" s="1879"/>
      <c r="I1044" s="1879"/>
      <c r="J1044" s="1879"/>
      <c r="K1044" s="1879"/>
      <c r="L1044" s="1879"/>
      <c r="M1044" s="1879"/>
      <c r="N1044" s="1879"/>
      <c r="O1044" s="1879"/>
      <c r="P1044" s="1879"/>
      <c r="Q1044" s="1879"/>
      <c r="R1044" s="1879"/>
      <c r="S1044" s="1879"/>
      <c r="T1044" s="1879"/>
      <c r="U1044" s="1879"/>
      <c r="V1044" s="1879"/>
      <c r="W1044" s="1879"/>
      <c r="X1044" s="1879"/>
      <c r="Y1044" s="1879"/>
      <c r="Z1044" s="1879"/>
      <c r="AA1044" s="1879"/>
      <c r="AB1044" s="1879"/>
      <c r="AC1044" s="1879"/>
      <c r="AD1044" s="1879"/>
      <c r="AE1044" s="1879"/>
      <c r="AF1044" s="1879"/>
      <c r="AG1044" s="1879"/>
      <c r="AH1044" s="1879"/>
      <c r="AI1044" s="1879"/>
      <c r="AJ1044" s="1879"/>
      <c r="AK1044" s="1879"/>
      <c r="AL1044" s="131"/>
      <c r="AM1044" s="1578"/>
      <c r="AN1044" s="1578"/>
      <c r="AO1044" s="1578"/>
      <c r="AP1044" s="1578"/>
      <c r="AQ1044" s="1578"/>
      <c r="AR1044" s="1578"/>
      <c r="AS1044" s="1578"/>
      <c r="AT1044" s="1578"/>
      <c r="AU1044" s="1578"/>
      <c r="AV1044" s="1578"/>
      <c r="AW1044" s="1578"/>
      <c r="AX1044" s="1578"/>
      <c r="AY1044" s="1578"/>
    </row>
    <row r="1045" spans="1:51" ht="12.75" customHeight="1">
      <c r="A1045" s="235"/>
      <c r="B1045" s="235"/>
      <c r="C1045" s="13"/>
      <c r="D1045" s="1879"/>
      <c r="E1045" s="1879"/>
      <c r="F1045" s="1879"/>
      <c r="G1045" s="1879"/>
      <c r="H1045" s="1879"/>
      <c r="I1045" s="1879"/>
      <c r="J1045" s="1879"/>
      <c r="K1045" s="1879"/>
      <c r="L1045" s="1879"/>
      <c r="M1045" s="1879"/>
      <c r="N1045" s="1879"/>
      <c r="O1045" s="1879"/>
      <c r="P1045" s="1879"/>
      <c r="Q1045" s="1879"/>
      <c r="R1045" s="1879"/>
      <c r="S1045" s="1879"/>
      <c r="T1045" s="1879"/>
      <c r="U1045" s="1879"/>
      <c r="V1045" s="1879"/>
      <c r="W1045" s="1879"/>
      <c r="X1045" s="1879"/>
      <c r="Y1045" s="1879"/>
      <c r="Z1045" s="1879"/>
      <c r="AA1045" s="1879"/>
      <c r="AB1045" s="1879"/>
      <c r="AC1045" s="1879"/>
      <c r="AD1045" s="1879"/>
      <c r="AE1045" s="1879"/>
      <c r="AF1045" s="1879"/>
      <c r="AG1045" s="1879"/>
      <c r="AH1045" s="1879"/>
      <c r="AI1045" s="1879"/>
      <c r="AJ1045" s="1879"/>
      <c r="AK1045" s="1879"/>
      <c r="AL1045" s="131"/>
      <c r="AM1045" s="1578"/>
      <c r="AN1045" s="1578"/>
      <c r="AO1045" s="1578"/>
      <c r="AP1045" s="1578"/>
      <c r="AQ1045" s="1578"/>
      <c r="AR1045" s="1578"/>
      <c r="AS1045" s="1578"/>
      <c r="AT1045" s="1578"/>
      <c r="AU1045" s="1578"/>
      <c r="AV1045" s="1578"/>
      <c r="AW1045" s="1578"/>
      <c r="AX1045" s="1578"/>
      <c r="AY1045" s="1578"/>
    </row>
    <row r="1046" spans="1:51" ht="12.75" customHeight="1">
      <c r="A1046" s="235"/>
      <c r="B1046" s="235"/>
      <c r="C1046" s="13"/>
      <c r="D1046" s="1879"/>
      <c r="E1046" s="1879"/>
      <c r="F1046" s="1879"/>
      <c r="G1046" s="1879"/>
      <c r="H1046" s="1879"/>
      <c r="I1046" s="1879"/>
      <c r="J1046" s="1879"/>
      <c r="K1046" s="1879"/>
      <c r="L1046" s="1879"/>
      <c r="M1046" s="1879"/>
      <c r="N1046" s="1879"/>
      <c r="O1046" s="1879"/>
      <c r="P1046" s="1879"/>
      <c r="Q1046" s="1879"/>
      <c r="R1046" s="1879"/>
      <c r="S1046" s="1879"/>
      <c r="T1046" s="1879"/>
      <c r="U1046" s="1879"/>
      <c r="V1046" s="1879"/>
      <c r="W1046" s="1879"/>
      <c r="X1046" s="1879"/>
      <c r="Y1046" s="1879"/>
      <c r="Z1046" s="1879"/>
      <c r="AA1046" s="1879"/>
      <c r="AB1046" s="1879"/>
      <c r="AC1046" s="1879"/>
      <c r="AD1046" s="1879"/>
      <c r="AE1046" s="1879"/>
      <c r="AF1046" s="1879"/>
      <c r="AG1046" s="1879"/>
      <c r="AH1046" s="1879"/>
      <c r="AI1046" s="1879"/>
      <c r="AJ1046" s="1879"/>
      <c r="AK1046" s="1879"/>
      <c r="AL1046" s="105"/>
      <c r="AM1046" s="1577"/>
      <c r="AN1046" s="1577"/>
      <c r="AO1046" s="1577"/>
      <c r="AP1046" s="1577"/>
      <c r="AQ1046" s="1577"/>
      <c r="AR1046" s="1577"/>
      <c r="AS1046" s="1577"/>
      <c r="AT1046" s="1577"/>
      <c r="AU1046" s="1577"/>
      <c r="AV1046" s="1577"/>
      <c r="AW1046" s="1577"/>
      <c r="AX1046" s="1577"/>
      <c r="AY1046" s="1577"/>
    </row>
    <row r="1047" spans="1:51" ht="12.75" customHeight="1">
      <c r="A1047" s="235"/>
      <c r="B1047" s="235"/>
      <c r="C1047" s="13"/>
      <c r="D1047" s="1879"/>
      <c r="E1047" s="1879"/>
      <c r="F1047" s="1879"/>
      <c r="G1047" s="1879"/>
      <c r="H1047" s="1879"/>
      <c r="I1047" s="1879"/>
      <c r="J1047" s="1879"/>
      <c r="K1047" s="1879"/>
      <c r="L1047" s="1879"/>
      <c r="M1047" s="1879"/>
      <c r="N1047" s="1879"/>
      <c r="O1047" s="1879"/>
      <c r="P1047" s="1879"/>
      <c r="Q1047" s="1879"/>
      <c r="R1047" s="1879"/>
      <c r="S1047" s="1879"/>
      <c r="T1047" s="1879"/>
      <c r="U1047" s="1879"/>
      <c r="V1047" s="1879"/>
      <c r="W1047" s="1879"/>
      <c r="X1047" s="1879"/>
      <c r="Y1047" s="1879"/>
      <c r="Z1047" s="1879"/>
      <c r="AA1047" s="1879"/>
      <c r="AB1047" s="1879"/>
      <c r="AC1047" s="1879"/>
      <c r="AD1047" s="1879"/>
      <c r="AE1047" s="1879"/>
      <c r="AF1047" s="1879"/>
      <c r="AG1047" s="1879"/>
      <c r="AH1047" s="1879"/>
      <c r="AI1047" s="1879"/>
      <c r="AJ1047" s="1879"/>
      <c r="AK1047" s="1879"/>
      <c r="AL1047" s="105"/>
      <c r="AM1047" s="1577"/>
      <c r="AN1047" s="1577"/>
      <c r="AO1047" s="1577"/>
      <c r="AP1047" s="1577"/>
      <c r="AQ1047" s="1577"/>
      <c r="AR1047" s="1577"/>
      <c r="AS1047" s="1577"/>
      <c r="AT1047" s="1577"/>
      <c r="AU1047" s="1577"/>
      <c r="AV1047" s="1577"/>
      <c r="AW1047" s="1577"/>
      <c r="AX1047" s="1577"/>
      <c r="AY1047" s="1577"/>
    </row>
    <row r="1048" spans="1:51" ht="12.75" customHeight="1">
      <c r="A1048" s="235"/>
      <c r="B1048" s="235"/>
      <c r="C1048" s="13"/>
      <c r="D1048" s="1879"/>
      <c r="E1048" s="1879"/>
      <c r="F1048" s="1879"/>
      <c r="G1048" s="1879"/>
      <c r="H1048" s="1879"/>
      <c r="I1048" s="1879"/>
      <c r="J1048" s="1879"/>
      <c r="K1048" s="1879"/>
      <c r="L1048" s="1879"/>
      <c r="M1048" s="1879"/>
      <c r="N1048" s="1879"/>
      <c r="O1048" s="1879"/>
      <c r="P1048" s="1879"/>
      <c r="Q1048" s="1879"/>
      <c r="R1048" s="1879"/>
      <c r="S1048" s="1879"/>
      <c r="T1048" s="1879"/>
      <c r="U1048" s="1879"/>
      <c r="V1048" s="1879"/>
      <c r="W1048" s="1879"/>
      <c r="X1048" s="1879"/>
      <c r="Y1048" s="1879"/>
      <c r="Z1048" s="1879"/>
      <c r="AA1048" s="1879"/>
      <c r="AB1048" s="1879"/>
      <c r="AC1048" s="1879"/>
      <c r="AD1048" s="1879"/>
      <c r="AE1048" s="1879"/>
      <c r="AF1048" s="1879"/>
      <c r="AG1048" s="1879"/>
      <c r="AH1048" s="1879"/>
      <c r="AI1048" s="1879"/>
      <c r="AJ1048" s="1879"/>
      <c r="AK1048" s="1879"/>
      <c r="AL1048" s="105"/>
      <c r="AM1048" s="1577"/>
      <c r="AN1048" s="1577"/>
      <c r="AO1048" s="1577"/>
      <c r="AP1048" s="1577"/>
      <c r="AQ1048" s="1577"/>
      <c r="AR1048" s="1577"/>
      <c r="AS1048" s="1577"/>
      <c r="AT1048" s="1577"/>
      <c r="AU1048" s="1577"/>
      <c r="AV1048" s="1577"/>
      <c r="AW1048" s="1577"/>
      <c r="AX1048" s="1577"/>
      <c r="AY1048" s="1577"/>
    </row>
    <row r="1049" spans="1:51" ht="12.75" customHeight="1">
      <c r="A1049" s="37"/>
      <c r="B1049" s="66"/>
      <c r="C1049" s="13"/>
      <c r="D1049" s="1879"/>
      <c r="E1049" s="1879"/>
      <c r="F1049" s="1879"/>
      <c r="G1049" s="1879"/>
      <c r="H1049" s="1879"/>
      <c r="I1049" s="1879"/>
      <c r="J1049" s="1879"/>
      <c r="K1049" s="1879"/>
      <c r="L1049" s="1879"/>
      <c r="M1049" s="1879"/>
      <c r="N1049" s="1879"/>
      <c r="O1049" s="1879"/>
      <c r="P1049" s="1879"/>
      <c r="Q1049" s="1879"/>
      <c r="R1049" s="1879"/>
      <c r="S1049" s="1879"/>
      <c r="T1049" s="1879"/>
      <c r="U1049" s="1879"/>
      <c r="V1049" s="1879"/>
      <c r="W1049" s="1879"/>
      <c r="X1049" s="1879"/>
      <c r="Y1049" s="1879"/>
      <c r="Z1049" s="1879"/>
      <c r="AA1049" s="1879"/>
      <c r="AB1049" s="1879"/>
      <c r="AC1049" s="1879"/>
      <c r="AD1049" s="1879"/>
      <c r="AE1049" s="1879"/>
      <c r="AF1049" s="1879"/>
      <c r="AG1049" s="1879"/>
      <c r="AH1049" s="1879"/>
      <c r="AI1049" s="1879"/>
      <c r="AJ1049" s="1879"/>
      <c r="AK1049" s="1879"/>
      <c r="AL1049" s="105"/>
      <c r="AM1049" s="1577"/>
      <c r="AN1049" s="1577"/>
      <c r="AO1049" s="1577"/>
      <c r="AP1049" s="1577"/>
      <c r="AQ1049" s="1577"/>
      <c r="AR1049" s="1577"/>
      <c r="AS1049" s="1577"/>
      <c r="AT1049" s="1577"/>
      <c r="AU1049" s="1577"/>
      <c r="AV1049" s="1577"/>
      <c r="AW1049" s="1577"/>
      <c r="AX1049" s="1577"/>
      <c r="AY1049" s="1577"/>
    </row>
    <row r="1050" spans="1:51" ht="12.75" customHeight="1">
      <c r="A1050" s="2035" t="s">
        <v>626</v>
      </c>
      <c r="B1050" s="2035"/>
      <c r="C1050" s="13">
        <v>2</v>
      </c>
      <c r="D1050" s="1879" t="s">
        <v>1220</v>
      </c>
      <c r="E1050" s="1879"/>
      <c r="F1050" s="1879"/>
      <c r="G1050" s="1879"/>
      <c r="H1050" s="1879"/>
      <c r="I1050" s="1879"/>
      <c r="J1050" s="1879"/>
      <c r="K1050" s="1879"/>
      <c r="L1050" s="1879"/>
      <c r="M1050" s="1879"/>
      <c r="N1050" s="1879"/>
      <c r="O1050" s="1879"/>
      <c r="P1050" s="1879"/>
      <c r="Q1050" s="1879"/>
      <c r="R1050" s="1879"/>
      <c r="S1050" s="1879"/>
      <c r="T1050" s="1879"/>
      <c r="U1050" s="1879"/>
      <c r="V1050" s="1879"/>
      <c r="W1050" s="1879"/>
      <c r="X1050" s="1879"/>
      <c r="Y1050" s="1879"/>
      <c r="Z1050" s="1879"/>
      <c r="AA1050" s="1879"/>
      <c r="AB1050" s="1879"/>
      <c r="AC1050" s="1879"/>
      <c r="AD1050" s="1879"/>
      <c r="AE1050" s="1879"/>
      <c r="AF1050" s="1879"/>
      <c r="AG1050" s="1879"/>
      <c r="AH1050" s="1879"/>
      <c r="AI1050" s="1879"/>
      <c r="AJ1050" s="1879"/>
      <c r="AK1050" s="1879"/>
      <c r="AL1050" s="105"/>
      <c r="AM1050" s="1577"/>
      <c r="AN1050" s="1577"/>
      <c r="AO1050" s="1577"/>
      <c r="AP1050" s="1577"/>
      <c r="AQ1050" s="1577"/>
      <c r="AR1050" s="1577"/>
      <c r="AS1050" s="1577"/>
      <c r="AT1050" s="1577"/>
      <c r="AU1050" s="1577"/>
      <c r="AV1050" s="1577"/>
      <c r="AW1050" s="1577"/>
      <c r="AX1050" s="1577"/>
      <c r="AY1050" s="1577"/>
    </row>
    <row r="1051" spans="1:51" ht="12.75" customHeight="1">
      <c r="A1051" s="235"/>
      <c r="B1051" s="235"/>
      <c r="C1051" s="13"/>
      <c r="D1051" s="1879"/>
      <c r="E1051" s="1879"/>
      <c r="F1051" s="1879"/>
      <c r="G1051" s="1879"/>
      <c r="H1051" s="1879"/>
      <c r="I1051" s="1879"/>
      <c r="J1051" s="1879"/>
      <c r="K1051" s="1879"/>
      <c r="L1051" s="1879"/>
      <c r="M1051" s="1879"/>
      <c r="N1051" s="1879"/>
      <c r="O1051" s="1879"/>
      <c r="P1051" s="1879"/>
      <c r="Q1051" s="1879"/>
      <c r="R1051" s="1879"/>
      <c r="S1051" s="1879"/>
      <c r="T1051" s="1879"/>
      <c r="U1051" s="1879"/>
      <c r="V1051" s="1879"/>
      <c r="W1051" s="1879"/>
      <c r="X1051" s="1879"/>
      <c r="Y1051" s="1879"/>
      <c r="Z1051" s="1879"/>
      <c r="AA1051" s="1879"/>
      <c r="AB1051" s="1879"/>
      <c r="AC1051" s="1879"/>
      <c r="AD1051" s="1879"/>
      <c r="AE1051" s="1879"/>
      <c r="AF1051" s="1879"/>
      <c r="AG1051" s="1879"/>
      <c r="AH1051" s="1879"/>
      <c r="AI1051" s="1879"/>
      <c r="AJ1051" s="1879"/>
      <c r="AK1051" s="1879"/>
      <c r="AL1051" s="105"/>
      <c r="AM1051" s="1577"/>
      <c r="AN1051" s="1577"/>
      <c r="AO1051" s="1577"/>
      <c r="AP1051" s="1577"/>
      <c r="AQ1051" s="1577"/>
      <c r="AR1051" s="1577"/>
      <c r="AS1051" s="1577"/>
      <c r="AT1051" s="1577"/>
      <c r="AU1051" s="1577"/>
      <c r="AV1051" s="1577"/>
      <c r="AW1051" s="1577"/>
      <c r="AX1051" s="1577"/>
      <c r="AY1051" s="1577"/>
    </row>
    <row r="1052" spans="1:51" ht="12.75" customHeight="1">
      <c r="A1052" s="235"/>
      <c r="B1052" s="235"/>
      <c r="C1052" s="13"/>
      <c r="D1052" s="1879"/>
      <c r="E1052" s="1879"/>
      <c r="F1052" s="1879"/>
      <c r="G1052" s="1879"/>
      <c r="H1052" s="1879"/>
      <c r="I1052" s="1879"/>
      <c r="J1052" s="1879"/>
      <c r="K1052" s="1879"/>
      <c r="L1052" s="1879"/>
      <c r="M1052" s="1879"/>
      <c r="N1052" s="1879"/>
      <c r="O1052" s="1879"/>
      <c r="P1052" s="1879"/>
      <c r="Q1052" s="1879"/>
      <c r="R1052" s="1879"/>
      <c r="S1052" s="1879"/>
      <c r="T1052" s="1879"/>
      <c r="U1052" s="1879"/>
      <c r="V1052" s="1879"/>
      <c r="W1052" s="1879"/>
      <c r="X1052" s="1879"/>
      <c r="Y1052" s="1879"/>
      <c r="Z1052" s="1879"/>
      <c r="AA1052" s="1879"/>
      <c r="AB1052" s="1879"/>
      <c r="AC1052" s="1879"/>
      <c r="AD1052" s="1879"/>
      <c r="AE1052" s="1879"/>
      <c r="AF1052" s="1879"/>
      <c r="AG1052" s="1879"/>
      <c r="AH1052" s="1879"/>
      <c r="AI1052" s="1879"/>
      <c r="AJ1052" s="1879"/>
      <c r="AK1052" s="1879"/>
      <c r="AL1052" s="105"/>
      <c r="AM1052" s="1577"/>
      <c r="AN1052" s="1577"/>
      <c r="AO1052" s="1577"/>
      <c r="AP1052" s="1577"/>
      <c r="AQ1052" s="1577"/>
      <c r="AR1052" s="1577"/>
      <c r="AS1052" s="1577"/>
      <c r="AT1052" s="1577"/>
      <c r="AU1052" s="1577"/>
      <c r="AV1052" s="1577"/>
      <c r="AW1052" s="1577"/>
      <c r="AX1052" s="1577"/>
      <c r="AY1052" s="1577"/>
    </row>
    <row r="1053" spans="1:51" ht="12.75" customHeight="1">
      <c r="A1053" s="235"/>
      <c r="B1053" s="235"/>
      <c r="C1053" s="13"/>
      <c r="D1053" s="1879"/>
      <c r="E1053" s="1879"/>
      <c r="F1053" s="1879"/>
      <c r="G1053" s="1879"/>
      <c r="H1053" s="1879"/>
      <c r="I1053" s="1879"/>
      <c r="J1053" s="1879"/>
      <c r="K1053" s="1879"/>
      <c r="L1053" s="1879"/>
      <c r="M1053" s="1879"/>
      <c r="N1053" s="1879"/>
      <c r="O1053" s="1879"/>
      <c r="P1053" s="1879"/>
      <c r="Q1053" s="1879"/>
      <c r="R1053" s="1879"/>
      <c r="S1053" s="1879"/>
      <c r="T1053" s="1879"/>
      <c r="U1053" s="1879"/>
      <c r="V1053" s="1879"/>
      <c r="W1053" s="1879"/>
      <c r="X1053" s="1879"/>
      <c r="Y1053" s="1879"/>
      <c r="Z1053" s="1879"/>
      <c r="AA1053" s="1879"/>
      <c r="AB1053" s="1879"/>
      <c r="AC1053" s="1879"/>
      <c r="AD1053" s="1879"/>
      <c r="AE1053" s="1879"/>
      <c r="AF1053" s="1879"/>
      <c r="AG1053" s="1879"/>
      <c r="AH1053" s="1879"/>
      <c r="AI1053" s="1879"/>
      <c r="AJ1053" s="1879"/>
      <c r="AK1053" s="1879"/>
      <c r="AL1053" s="105"/>
      <c r="AM1053" s="1577"/>
      <c r="AN1053" s="1577"/>
      <c r="AO1053" s="1577"/>
      <c r="AP1053" s="1577"/>
      <c r="AQ1053" s="1577"/>
      <c r="AR1053" s="1577"/>
      <c r="AS1053" s="1577"/>
      <c r="AT1053" s="1577"/>
      <c r="AU1053" s="1577"/>
      <c r="AV1053" s="1577"/>
      <c r="AW1053" s="1577"/>
      <c r="AX1053" s="1577"/>
      <c r="AY1053" s="1577"/>
    </row>
    <row r="1054" spans="1:51" ht="12.75" customHeight="1">
      <c r="A1054" s="235"/>
      <c r="B1054" s="235"/>
      <c r="C1054" s="13"/>
      <c r="D1054" s="1879"/>
      <c r="E1054" s="1879"/>
      <c r="F1054" s="1879"/>
      <c r="G1054" s="1879"/>
      <c r="H1054" s="1879"/>
      <c r="I1054" s="1879"/>
      <c r="J1054" s="1879"/>
      <c r="K1054" s="1879"/>
      <c r="L1054" s="1879"/>
      <c r="M1054" s="1879"/>
      <c r="N1054" s="1879"/>
      <c r="O1054" s="1879"/>
      <c r="P1054" s="1879"/>
      <c r="Q1054" s="1879"/>
      <c r="R1054" s="1879"/>
      <c r="S1054" s="1879"/>
      <c r="T1054" s="1879"/>
      <c r="U1054" s="1879"/>
      <c r="V1054" s="1879"/>
      <c r="W1054" s="1879"/>
      <c r="X1054" s="1879"/>
      <c r="Y1054" s="1879"/>
      <c r="Z1054" s="1879"/>
      <c r="AA1054" s="1879"/>
      <c r="AB1054" s="1879"/>
      <c r="AC1054" s="1879"/>
      <c r="AD1054" s="1879"/>
      <c r="AE1054" s="1879"/>
      <c r="AF1054" s="1879"/>
      <c r="AG1054" s="1879"/>
      <c r="AH1054" s="1879"/>
      <c r="AI1054" s="1879"/>
      <c r="AJ1054" s="1879"/>
      <c r="AK1054" s="1879"/>
      <c r="AL1054" s="105"/>
      <c r="AM1054" s="1577"/>
      <c r="AN1054" s="1577"/>
      <c r="AO1054" s="1577"/>
      <c r="AP1054" s="1577"/>
      <c r="AQ1054" s="1577"/>
      <c r="AR1054" s="1577"/>
      <c r="AS1054" s="1577"/>
      <c r="AT1054" s="1577"/>
      <c r="AU1054" s="1577"/>
      <c r="AV1054" s="1577"/>
      <c r="AW1054" s="1577"/>
      <c r="AX1054" s="1577"/>
      <c r="AY1054" s="1577"/>
    </row>
    <row r="1055" spans="1:51" ht="12.75" customHeight="1">
      <c r="A1055" s="235"/>
      <c r="B1055" s="235"/>
      <c r="C1055" s="13"/>
      <c r="D1055" s="1879"/>
      <c r="E1055" s="1879"/>
      <c r="F1055" s="1879"/>
      <c r="G1055" s="1879"/>
      <c r="H1055" s="1879"/>
      <c r="I1055" s="1879"/>
      <c r="J1055" s="1879"/>
      <c r="K1055" s="1879"/>
      <c r="L1055" s="1879"/>
      <c r="M1055" s="1879"/>
      <c r="N1055" s="1879"/>
      <c r="O1055" s="1879"/>
      <c r="P1055" s="1879"/>
      <c r="Q1055" s="1879"/>
      <c r="R1055" s="1879"/>
      <c r="S1055" s="1879"/>
      <c r="T1055" s="1879"/>
      <c r="U1055" s="1879"/>
      <c r="V1055" s="1879"/>
      <c r="W1055" s="1879"/>
      <c r="X1055" s="1879"/>
      <c r="Y1055" s="1879"/>
      <c r="Z1055" s="1879"/>
      <c r="AA1055" s="1879"/>
      <c r="AB1055" s="1879"/>
      <c r="AC1055" s="1879"/>
      <c r="AD1055" s="1879"/>
      <c r="AE1055" s="1879"/>
      <c r="AF1055" s="1879"/>
      <c r="AG1055" s="1879"/>
      <c r="AH1055" s="1879"/>
      <c r="AI1055" s="1879"/>
      <c r="AJ1055" s="1879"/>
      <c r="AK1055" s="1879"/>
    </row>
    <row r="1056" spans="1:51" ht="12.75" customHeight="1">
      <c r="A1056" s="2035" t="s">
        <v>626</v>
      </c>
      <c r="B1056" s="2035"/>
      <c r="C1056" s="13">
        <v>3</v>
      </c>
      <c r="D1056" s="1879" t="s">
        <v>1526</v>
      </c>
      <c r="E1056" s="1879"/>
      <c r="F1056" s="1879"/>
      <c r="G1056" s="1879"/>
      <c r="H1056" s="1879"/>
      <c r="I1056" s="1879"/>
      <c r="J1056" s="1879"/>
      <c r="K1056" s="1879"/>
      <c r="L1056" s="1879"/>
      <c r="M1056" s="1879"/>
      <c r="N1056" s="1879"/>
      <c r="O1056" s="1879"/>
      <c r="P1056" s="1879"/>
      <c r="Q1056" s="1879"/>
      <c r="R1056" s="1879"/>
      <c r="S1056" s="1879"/>
      <c r="T1056" s="1879"/>
      <c r="U1056" s="1879"/>
      <c r="V1056" s="1879"/>
      <c r="W1056" s="1879"/>
      <c r="X1056" s="1879"/>
      <c r="Y1056" s="1879"/>
      <c r="Z1056" s="1879"/>
      <c r="AA1056" s="1879"/>
      <c r="AB1056" s="1879"/>
      <c r="AC1056" s="1879"/>
      <c r="AD1056" s="1879"/>
      <c r="AE1056" s="1879"/>
      <c r="AF1056" s="1879"/>
      <c r="AG1056" s="1879"/>
      <c r="AH1056" s="1879"/>
      <c r="AI1056" s="1879"/>
      <c r="AJ1056" s="1879"/>
      <c r="AK1056" s="1879"/>
    </row>
    <row r="1057" spans="1:96" ht="12.75" customHeight="1">
      <c r="A1057" s="130"/>
      <c r="B1057" s="130"/>
      <c r="C1057" s="13"/>
      <c r="D1057" s="1879"/>
      <c r="E1057" s="1879"/>
      <c r="F1057" s="1879"/>
      <c r="G1057" s="1879"/>
      <c r="H1057" s="1879"/>
      <c r="I1057" s="1879"/>
      <c r="J1057" s="1879"/>
      <c r="K1057" s="1879"/>
      <c r="L1057" s="1879"/>
      <c r="M1057" s="1879"/>
      <c r="N1057" s="1879"/>
      <c r="O1057" s="1879"/>
      <c r="P1057" s="1879"/>
      <c r="Q1057" s="1879"/>
      <c r="R1057" s="1879"/>
      <c r="S1057" s="1879"/>
      <c r="T1057" s="1879"/>
      <c r="U1057" s="1879"/>
      <c r="V1057" s="1879"/>
      <c r="W1057" s="1879"/>
      <c r="X1057" s="1879"/>
      <c r="Y1057" s="1879"/>
      <c r="Z1057" s="1879"/>
      <c r="AA1057" s="1879"/>
      <c r="AB1057" s="1879"/>
      <c r="AC1057" s="1879"/>
      <c r="AD1057" s="1879"/>
      <c r="AE1057" s="1879"/>
      <c r="AF1057" s="1879"/>
      <c r="AG1057" s="1879"/>
      <c r="AH1057" s="1879"/>
      <c r="AI1057" s="1879"/>
      <c r="AJ1057" s="1879"/>
      <c r="AK1057" s="1879"/>
      <c r="AL1057" s="714"/>
    </row>
    <row r="1058" spans="1:96" ht="12.75" customHeight="1">
      <c r="A1058" s="130"/>
      <c r="B1058" s="130"/>
      <c r="C1058" s="13"/>
      <c r="D1058" s="1879"/>
      <c r="E1058" s="1879"/>
      <c r="F1058" s="1879"/>
      <c r="G1058" s="1879"/>
      <c r="H1058" s="1879"/>
      <c r="I1058" s="1879"/>
      <c r="J1058" s="1879"/>
      <c r="K1058" s="1879"/>
      <c r="L1058" s="1879"/>
      <c r="M1058" s="1879"/>
      <c r="N1058" s="1879"/>
      <c r="O1058" s="1879"/>
      <c r="P1058" s="1879"/>
      <c r="Q1058" s="1879"/>
      <c r="R1058" s="1879"/>
      <c r="S1058" s="1879"/>
      <c r="T1058" s="1879"/>
      <c r="U1058" s="1879"/>
      <c r="V1058" s="1879"/>
      <c r="W1058" s="1879"/>
      <c r="X1058" s="1879"/>
      <c r="Y1058" s="1879"/>
      <c r="Z1058" s="1879"/>
      <c r="AA1058" s="1879"/>
      <c r="AB1058" s="1879"/>
      <c r="AC1058" s="1879"/>
      <c r="AD1058" s="1879"/>
      <c r="AE1058" s="1879"/>
      <c r="AF1058" s="1879"/>
      <c r="AG1058" s="1879"/>
      <c r="AH1058" s="1879"/>
      <c r="AI1058" s="1879"/>
      <c r="AJ1058" s="1879"/>
      <c r="AK1058" s="1879"/>
    </row>
    <row r="1059" spans="1:96" s="714" customFormat="1" ht="12.75" customHeight="1">
      <c r="A1059" s="62"/>
      <c r="B1059" s="66"/>
      <c r="C1059" s="13"/>
      <c r="D1059" s="1879"/>
      <c r="E1059" s="1879"/>
      <c r="F1059" s="1879"/>
      <c r="G1059" s="1879"/>
      <c r="H1059" s="1879"/>
      <c r="I1059" s="1879"/>
      <c r="J1059" s="1879"/>
      <c r="K1059" s="1879"/>
      <c r="L1059" s="1879"/>
      <c r="M1059" s="1879"/>
      <c r="N1059" s="1879"/>
      <c r="O1059" s="1879"/>
      <c r="P1059" s="1879"/>
      <c r="Q1059" s="1879"/>
      <c r="R1059" s="1879"/>
      <c r="S1059" s="1879"/>
      <c r="T1059" s="1879"/>
      <c r="U1059" s="1879"/>
      <c r="V1059" s="1879"/>
      <c r="W1059" s="1879"/>
      <c r="X1059" s="1879"/>
      <c r="Y1059" s="1879"/>
      <c r="Z1059" s="1879"/>
      <c r="AA1059" s="1879"/>
      <c r="AB1059" s="1879"/>
      <c r="AC1059" s="1879"/>
      <c r="AD1059" s="1879"/>
      <c r="AE1059" s="1879"/>
      <c r="AF1059" s="1879"/>
      <c r="AG1059" s="1879"/>
      <c r="AH1059" s="1879"/>
      <c r="AI1059" s="1879"/>
      <c r="AJ1059" s="1879"/>
      <c r="AK1059" s="1879"/>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879"/>
      <c r="E1060" s="1879"/>
      <c r="F1060" s="1879"/>
      <c r="G1060" s="1879"/>
      <c r="H1060" s="1879"/>
      <c r="I1060" s="1879"/>
      <c r="J1060" s="1879"/>
      <c r="K1060" s="1879"/>
      <c r="L1060" s="1879"/>
      <c r="M1060" s="1879"/>
      <c r="N1060" s="1879"/>
      <c r="O1060" s="1879"/>
      <c r="P1060" s="1879"/>
      <c r="Q1060" s="1879"/>
      <c r="R1060" s="1879"/>
      <c r="S1060" s="1879"/>
      <c r="T1060" s="1879"/>
      <c r="U1060" s="1879"/>
      <c r="V1060" s="1879"/>
      <c r="W1060" s="1879"/>
      <c r="X1060" s="1879"/>
      <c r="Y1060" s="1879"/>
      <c r="Z1060" s="1879"/>
      <c r="AA1060" s="1879"/>
      <c r="AB1060" s="1879"/>
      <c r="AC1060" s="1879"/>
      <c r="AD1060" s="1879"/>
      <c r="AE1060" s="1879"/>
      <c r="AF1060" s="1879"/>
      <c r="AG1060" s="1879"/>
      <c r="AH1060" s="1879"/>
      <c r="AI1060" s="1879"/>
      <c r="AJ1060" s="1879"/>
      <c r="AK1060" s="1879"/>
    </row>
    <row r="1061" spans="1:96" ht="12.75" customHeight="1">
      <c r="A1061" s="62"/>
      <c r="B1061" s="66"/>
      <c r="C1061" s="13"/>
      <c r="D1061" s="1879"/>
      <c r="E1061" s="1879"/>
      <c r="F1061" s="1879"/>
      <c r="G1061" s="1879"/>
      <c r="H1061" s="1879"/>
      <c r="I1061" s="1879"/>
      <c r="J1061" s="1879"/>
      <c r="K1061" s="1879"/>
      <c r="L1061" s="1879"/>
      <c r="M1061" s="1879"/>
      <c r="N1061" s="1879"/>
      <c r="O1061" s="1879"/>
      <c r="P1061" s="1879"/>
      <c r="Q1061" s="1879"/>
      <c r="R1061" s="1879"/>
      <c r="S1061" s="1879"/>
      <c r="T1061" s="1879"/>
      <c r="U1061" s="1879"/>
      <c r="V1061" s="1879"/>
      <c r="W1061" s="1879"/>
      <c r="X1061" s="1879"/>
      <c r="Y1061" s="1879"/>
      <c r="Z1061" s="1879"/>
      <c r="AA1061" s="1879"/>
      <c r="AB1061" s="1879"/>
      <c r="AC1061" s="1879"/>
      <c r="AD1061" s="1879"/>
      <c r="AE1061" s="1879"/>
      <c r="AF1061" s="1879"/>
      <c r="AG1061" s="1879"/>
      <c r="AH1061" s="1879"/>
      <c r="AI1061" s="1879"/>
      <c r="AJ1061" s="1879"/>
      <c r="AK1061" s="1879"/>
    </row>
    <row r="1062" spans="1:96" ht="12.75" customHeight="1">
      <c r="A1062" s="62"/>
      <c r="B1062" s="66"/>
      <c r="C1062" s="13"/>
      <c r="D1062" s="1879"/>
      <c r="E1062" s="1879"/>
      <c r="F1062" s="1879"/>
      <c r="G1062" s="1879"/>
      <c r="H1062" s="1879"/>
      <c r="I1062" s="1879"/>
      <c r="J1062" s="1879"/>
      <c r="K1062" s="1879"/>
      <c r="L1062" s="1879"/>
      <c r="M1062" s="1879"/>
      <c r="N1062" s="1879"/>
      <c r="O1062" s="1879"/>
      <c r="P1062" s="1879"/>
      <c r="Q1062" s="1879"/>
      <c r="R1062" s="1879"/>
      <c r="S1062" s="1879"/>
      <c r="T1062" s="1879"/>
      <c r="U1062" s="1879"/>
      <c r="V1062" s="1879"/>
      <c r="W1062" s="1879"/>
      <c r="X1062" s="1879"/>
      <c r="Y1062" s="1879"/>
      <c r="Z1062" s="1879"/>
      <c r="AA1062" s="1879"/>
      <c r="AB1062" s="1879"/>
      <c r="AC1062" s="1879"/>
      <c r="AD1062" s="1879"/>
      <c r="AE1062" s="1879"/>
      <c r="AF1062" s="1879"/>
      <c r="AG1062" s="1879"/>
      <c r="AH1062" s="1879"/>
      <c r="AI1062" s="1879"/>
      <c r="AJ1062" s="1879"/>
      <c r="AK1062" s="1879"/>
    </row>
    <row r="1063" spans="1:96" ht="12.75" customHeight="1">
      <c r="A1063" s="2035" t="s">
        <v>626</v>
      </c>
      <c r="B1063" s="2035"/>
      <c r="C1063" s="13">
        <v>4</v>
      </c>
      <c r="D1063" s="1879" t="s">
        <v>1206</v>
      </c>
      <c r="E1063" s="1879"/>
      <c r="F1063" s="1879"/>
      <c r="G1063" s="1879"/>
      <c r="H1063" s="1879"/>
      <c r="I1063" s="1879"/>
      <c r="J1063" s="1879"/>
      <c r="K1063" s="1879"/>
      <c r="L1063" s="1879"/>
      <c r="M1063" s="1879"/>
      <c r="N1063" s="1879"/>
      <c r="O1063" s="1879"/>
      <c r="P1063" s="1879"/>
      <c r="Q1063" s="1879"/>
      <c r="R1063" s="1879"/>
      <c r="S1063" s="1879"/>
      <c r="T1063" s="1879"/>
      <c r="U1063" s="1879"/>
      <c r="V1063" s="1879"/>
      <c r="W1063" s="1879"/>
      <c r="X1063" s="1879"/>
      <c r="Y1063" s="1879"/>
      <c r="Z1063" s="1879"/>
      <c r="AA1063" s="1879"/>
      <c r="AB1063" s="1879"/>
      <c r="AC1063" s="1879"/>
      <c r="AD1063" s="1879"/>
      <c r="AE1063" s="1879"/>
      <c r="AF1063" s="1879"/>
      <c r="AG1063" s="1879"/>
      <c r="AH1063" s="1879"/>
      <c r="AI1063" s="1879"/>
      <c r="AJ1063" s="1879"/>
      <c r="AK1063" s="1879"/>
    </row>
    <row r="1064" spans="1:96" ht="12.75" customHeight="1">
      <c r="A1064" s="235"/>
      <c r="B1064" s="235"/>
      <c r="C1064" s="13"/>
      <c r="D1064" s="1879"/>
      <c r="E1064" s="1879"/>
      <c r="F1064" s="1879"/>
      <c r="G1064" s="1879"/>
      <c r="H1064" s="1879"/>
      <c r="I1064" s="1879"/>
      <c r="J1064" s="1879"/>
      <c r="K1064" s="1879"/>
      <c r="L1064" s="1879"/>
      <c r="M1064" s="1879"/>
      <c r="N1064" s="1879"/>
      <c r="O1064" s="1879"/>
      <c r="P1064" s="1879"/>
      <c r="Q1064" s="1879"/>
      <c r="R1064" s="1879"/>
      <c r="S1064" s="1879"/>
      <c r="T1064" s="1879"/>
      <c r="U1064" s="1879"/>
      <c r="V1064" s="1879"/>
      <c r="W1064" s="1879"/>
      <c r="X1064" s="1879"/>
      <c r="Y1064" s="1879"/>
      <c r="Z1064" s="1879"/>
      <c r="AA1064" s="1879"/>
      <c r="AB1064" s="1879"/>
      <c r="AC1064" s="1879"/>
      <c r="AD1064" s="1879"/>
      <c r="AE1064" s="1879"/>
      <c r="AF1064" s="1879"/>
      <c r="AG1064" s="1879"/>
      <c r="AH1064" s="1879"/>
      <c r="AI1064" s="1879"/>
      <c r="AJ1064" s="1879"/>
      <c r="AK1064" s="1879"/>
    </row>
    <row r="1065" spans="1:96" ht="12.75" customHeight="1">
      <c r="A1065" s="62"/>
      <c r="B1065" s="66"/>
      <c r="C1065" s="13"/>
      <c r="D1065" s="1879"/>
      <c r="E1065" s="1879"/>
      <c r="F1065" s="1879"/>
      <c r="G1065" s="1879"/>
      <c r="H1065" s="1879"/>
      <c r="I1065" s="1879"/>
      <c r="J1065" s="1879"/>
      <c r="K1065" s="1879"/>
      <c r="L1065" s="1879"/>
      <c r="M1065" s="1879"/>
      <c r="N1065" s="1879"/>
      <c r="O1065" s="1879"/>
      <c r="P1065" s="1879"/>
      <c r="Q1065" s="1879"/>
      <c r="R1065" s="1879"/>
      <c r="S1065" s="1879"/>
      <c r="T1065" s="1879"/>
      <c r="U1065" s="1879"/>
      <c r="V1065" s="1879"/>
      <c r="W1065" s="1879"/>
      <c r="X1065" s="1879"/>
      <c r="Y1065" s="1879"/>
      <c r="Z1065" s="1879"/>
      <c r="AA1065" s="1879"/>
      <c r="AB1065" s="1879"/>
      <c r="AC1065" s="1879"/>
      <c r="AD1065" s="1879"/>
      <c r="AE1065" s="1879"/>
      <c r="AF1065" s="1879"/>
      <c r="AG1065" s="1879"/>
      <c r="AH1065" s="1879"/>
      <c r="AI1065" s="1879"/>
      <c r="AJ1065" s="1879"/>
      <c r="AK1065" s="1879"/>
    </row>
    <row r="1066" spans="1:96" s="677" customFormat="1" ht="12.75" customHeight="1">
      <c r="A1066" s="2035" t="s">
        <v>626</v>
      </c>
      <c r="B1066" s="2035"/>
      <c r="C1066" s="13">
        <v>5</v>
      </c>
      <c r="D1066" s="1879" t="s">
        <v>1415</v>
      </c>
      <c r="E1066" s="1879"/>
      <c r="F1066" s="1879"/>
      <c r="G1066" s="1879"/>
      <c r="H1066" s="1879"/>
      <c r="I1066" s="1879"/>
      <c r="J1066" s="1879"/>
      <c r="K1066" s="1879"/>
      <c r="L1066" s="1879"/>
      <c r="M1066" s="1879"/>
      <c r="N1066" s="1879"/>
      <c r="O1066" s="1879"/>
      <c r="P1066" s="1879"/>
      <c r="Q1066" s="1879"/>
      <c r="R1066" s="1879"/>
      <c r="S1066" s="1879"/>
      <c r="T1066" s="1879"/>
      <c r="U1066" s="1879"/>
      <c r="V1066" s="1879"/>
      <c r="W1066" s="1879"/>
      <c r="X1066" s="1879"/>
      <c r="Y1066" s="1879"/>
      <c r="Z1066" s="1879"/>
      <c r="AA1066" s="1879"/>
      <c r="AB1066" s="1879"/>
      <c r="AC1066" s="1879"/>
      <c r="AD1066" s="1879"/>
      <c r="AE1066" s="1879"/>
      <c r="AF1066" s="1879"/>
      <c r="AG1066" s="1879"/>
      <c r="AH1066" s="1879"/>
      <c r="AI1066" s="1879"/>
      <c r="AJ1066" s="1879"/>
      <c r="AK1066" s="1879"/>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879"/>
      <c r="E1067" s="1879"/>
      <c r="F1067" s="1879"/>
      <c r="G1067" s="1879"/>
      <c r="H1067" s="1879"/>
      <c r="I1067" s="1879"/>
      <c r="J1067" s="1879"/>
      <c r="K1067" s="1879"/>
      <c r="L1067" s="1879"/>
      <c r="M1067" s="1879"/>
      <c r="N1067" s="1879"/>
      <c r="O1067" s="1879"/>
      <c r="P1067" s="1879"/>
      <c r="Q1067" s="1879"/>
      <c r="R1067" s="1879"/>
      <c r="S1067" s="1879"/>
      <c r="T1067" s="1879"/>
      <c r="U1067" s="1879"/>
      <c r="V1067" s="1879"/>
      <c r="W1067" s="1879"/>
      <c r="X1067" s="1879"/>
      <c r="Y1067" s="1879"/>
      <c r="Z1067" s="1879"/>
      <c r="AA1067" s="1879"/>
      <c r="AB1067" s="1879"/>
      <c r="AC1067" s="1879"/>
      <c r="AD1067" s="1879"/>
      <c r="AE1067" s="1879"/>
      <c r="AF1067" s="1879"/>
      <c r="AG1067" s="1879"/>
      <c r="AH1067" s="1879"/>
      <c r="AI1067" s="1879"/>
      <c r="AJ1067" s="1879"/>
      <c r="AK1067" s="1879"/>
    </row>
    <row r="1068" spans="1:96" ht="12.75" customHeight="1">
      <c r="A1068" s="235"/>
      <c r="B1068" s="235"/>
      <c r="C1068" s="13"/>
      <c r="D1068" s="1879"/>
      <c r="E1068" s="1879"/>
      <c r="F1068" s="1879"/>
      <c r="G1068" s="1879"/>
      <c r="H1068" s="1879"/>
      <c r="I1068" s="1879"/>
      <c r="J1068" s="1879"/>
      <c r="K1068" s="1879"/>
      <c r="L1068" s="1879"/>
      <c r="M1068" s="1879"/>
      <c r="N1068" s="1879"/>
      <c r="O1068" s="1879"/>
      <c r="P1068" s="1879"/>
      <c r="Q1068" s="1879"/>
      <c r="R1068" s="1879"/>
      <c r="S1068" s="1879"/>
      <c r="T1068" s="1879"/>
      <c r="U1068" s="1879"/>
      <c r="V1068" s="1879"/>
      <c r="W1068" s="1879"/>
      <c r="X1068" s="1879"/>
      <c r="Y1068" s="1879"/>
      <c r="Z1068" s="1879"/>
      <c r="AA1068" s="1879"/>
      <c r="AB1068" s="1879"/>
      <c r="AC1068" s="1879"/>
      <c r="AD1068" s="1879"/>
      <c r="AE1068" s="1879"/>
      <c r="AF1068" s="1879"/>
      <c r="AG1068" s="1879"/>
      <c r="AH1068" s="1879"/>
      <c r="AI1068" s="1879"/>
      <c r="AJ1068" s="1879"/>
      <c r="AK1068" s="1879"/>
    </row>
    <row r="1069" spans="1:96" ht="12.75" customHeight="1">
      <c r="A1069" s="235"/>
      <c r="B1069" s="235"/>
      <c r="C1069" s="13"/>
      <c r="D1069" s="1879"/>
      <c r="E1069" s="1879"/>
      <c r="F1069" s="1879"/>
      <c r="G1069" s="1879"/>
      <c r="H1069" s="1879"/>
      <c r="I1069" s="1879"/>
      <c r="J1069" s="1879"/>
      <c r="K1069" s="1879"/>
      <c r="L1069" s="1879"/>
      <c r="M1069" s="1879"/>
      <c r="N1069" s="1879"/>
      <c r="O1069" s="1879"/>
      <c r="P1069" s="1879"/>
      <c r="Q1069" s="1879"/>
      <c r="R1069" s="1879"/>
      <c r="S1069" s="1879"/>
      <c r="T1069" s="1879"/>
      <c r="U1069" s="1879"/>
      <c r="V1069" s="1879"/>
      <c r="W1069" s="1879"/>
      <c r="X1069" s="1879"/>
      <c r="Y1069" s="1879"/>
      <c r="Z1069" s="1879"/>
      <c r="AA1069" s="1879"/>
      <c r="AB1069" s="1879"/>
      <c r="AC1069" s="1879"/>
      <c r="AD1069" s="1879"/>
      <c r="AE1069" s="1879"/>
      <c r="AF1069" s="1879"/>
      <c r="AG1069" s="1879"/>
      <c r="AH1069" s="1879"/>
      <c r="AI1069" s="1879"/>
      <c r="AJ1069" s="1879"/>
      <c r="AK1069" s="1879"/>
      <c r="AL1069" s="677"/>
    </row>
    <row r="1070" spans="1:96" ht="12.75" customHeight="1">
      <c r="A1070" s="62"/>
      <c r="B1070" s="66"/>
      <c r="C1070" s="13"/>
      <c r="D1070" s="1879"/>
      <c r="E1070" s="1879"/>
      <c r="F1070" s="1879"/>
      <c r="G1070" s="1879"/>
      <c r="H1070" s="1879"/>
      <c r="I1070" s="1879"/>
      <c r="J1070" s="1879"/>
      <c r="K1070" s="1879"/>
      <c r="L1070" s="1879"/>
      <c r="M1070" s="1879"/>
      <c r="N1070" s="1879"/>
      <c r="O1070" s="1879"/>
      <c r="P1070" s="1879"/>
      <c r="Q1070" s="1879"/>
      <c r="R1070" s="1879"/>
      <c r="S1070" s="1879"/>
      <c r="T1070" s="1879"/>
      <c r="U1070" s="1879"/>
      <c r="V1070" s="1879"/>
      <c r="W1070" s="1879"/>
      <c r="X1070" s="1879"/>
      <c r="Y1070" s="1879"/>
      <c r="Z1070" s="1879"/>
      <c r="AA1070" s="1879"/>
      <c r="AB1070" s="1879"/>
      <c r="AC1070" s="1879"/>
      <c r="AD1070" s="1879"/>
      <c r="AE1070" s="1879"/>
      <c r="AF1070" s="1879"/>
      <c r="AG1070" s="1879"/>
      <c r="AH1070" s="1879"/>
      <c r="AI1070" s="1879"/>
      <c r="AJ1070" s="1879"/>
      <c r="AK1070" s="1879"/>
    </row>
    <row r="1071" spans="1:96" ht="12.75" customHeight="1">
      <c r="A1071" s="2035" t="s">
        <v>626</v>
      </c>
      <c r="B1071" s="2035"/>
      <c r="C1071" s="13">
        <v>6</v>
      </c>
      <c r="D1071" s="1879" t="s">
        <v>1207</v>
      </c>
      <c r="E1071" s="1879"/>
      <c r="F1071" s="1879"/>
      <c r="G1071" s="1879"/>
      <c r="H1071" s="1879"/>
      <c r="I1071" s="1879"/>
      <c r="J1071" s="1879"/>
      <c r="K1071" s="1879"/>
      <c r="L1071" s="1879"/>
      <c r="M1071" s="1879"/>
      <c r="N1071" s="1879"/>
      <c r="O1071" s="1879"/>
      <c r="P1071" s="1879"/>
      <c r="Q1071" s="1879"/>
      <c r="R1071" s="1879"/>
      <c r="S1071" s="1879"/>
      <c r="T1071" s="1879"/>
      <c r="U1071" s="1879"/>
      <c r="V1071" s="1879"/>
      <c r="W1071" s="1879"/>
      <c r="X1071" s="1879"/>
      <c r="Y1071" s="1879"/>
      <c r="Z1071" s="1879"/>
      <c r="AA1071" s="1879"/>
      <c r="AB1071" s="1879"/>
      <c r="AC1071" s="1879"/>
      <c r="AD1071" s="1879"/>
      <c r="AE1071" s="1879"/>
      <c r="AF1071" s="1879"/>
      <c r="AG1071" s="1879"/>
      <c r="AH1071" s="1879"/>
      <c r="AI1071" s="1879"/>
      <c r="AJ1071" s="1879"/>
      <c r="AK1071" s="1879"/>
    </row>
    <row r="1072" spans="1:96" ht="12.75" customHeight="1">
      <c r="A1072" s="62"/>
      <c r="B1072" s="317"/>
      <c r="C1072" s="13"/>
      <c r="D1072" s="1879"/>
      <c r="E1072" s="1879"/>
      <c r="F1072" s="1879"/>
      <c r="G1072" s="1879"/>
      <c r="H1072" s="1879"/>
      <c r="I1072" s="1879"/>
      <c r="J1072" s="1879"/>
      <c r="K1072" s="1879"/>
      <c r="L1072" s="1879"/>
      <c r="M1072" s="1879"/>
      <c r="N1072" s="1879"/>
      <c r="O1072" s="1879"/>
      <c r="P1072" s="1879"/>
      <c r="Q1072" s="1879"/>
      <c r="R1072" s="1879"/>
      <c r="S1072" s="1879"/>
      <c r="T1072" s="1879"/>
      <c r="U1072" s="1879"/>
      <c r="V1072" s="1879"/>
      <c r="W1072" s="1879"/>
      <c r="X1072" s="1879"/>
      <c r="Y1072" s="1879"/>
      <c r="Z1072" s="1879"/>
      <c r="AA1072" s="1879"/>
      <c r="AB1072" s="1879"/>
      <c r="AC1072" s="1879"/>
      <c r="AD1072" s="1879"/>
      <c r="AE1072" s="1879"/>
      <c r="AF1072" s="1879"/>
      <c r="AG1072" s="1879"/>
      <c r="AH1072" s="1879"/>
      <c r="AI1072" s="1879"/>
      <c r="AJ1072" s="1879"/>
      <c r="AK1072" s="1879"/>
    </row>
    <row r="1073" spans="1:96" ht="12.75" customHeight="1">
      <c r="A1073" s="62"/>
      <c r="B1073" s="66"/>
      <c r="C1073" s="13"/>
      <c r="D1073" s="1879"/>
      <c r="E1073" s="1879"/>
      <c r="F1073" s="1879"/>
      <c r="G1073" s="1879"/>
      <c r="H1073" s="1879"/>
      <c r="I1073" s="1879"/>
      <c r="J1073" s="1879"/>
      <c r="K1073" s="1879"/>
      <c r="L1073" s="1879"/>
      <c r="M1073" s="1879"/>
      <c r="N1073" s="1879"/>
      <c r="O1073" s="1879"/>
      <c r="P1073" s="1879"/>
      <c r="Q1073" s="1879"/>
      <c r="R1073" s="1879"/>
      <c r="S1073" s="1879"/>
      <c r="T1073" s="1879"/>
      <c r="U1073" s="1879"/>
      <c r="V1073" s="1879"/>
      <c r="W1073" s="1879"/>
      <c r="X1073" s="1879"/>
      <c r="Y1073" s="1879"/>
      <c r="Z1073" s="1879"/>
      <c r="AA1073" s="1879"/>
      <c r="AB1073" s="1879"/>
      <c r="AC1073" s="1879"/>
      <c r="AD1073" s="1879"/>
      <c r="AE1073" s="1879"/>
      <c r="AF1073" s="1879"/>
      <c r="AG1073" s="1879"/>
      <c r="AH1073" s="1879"/>
      <c r="AI1073" s="1879"/>
      <c r="AJ1073" s="1879"/>
      <c r="AK1073" s="1879"/>
    </row>
    <row r="1074" spans="1:96" ht="12.75" customHeight="1">
      <c r="A1074" s="2035" t="s">
        <v>626</v>
      </c>
      <c r="B1074" s="2035"/>
      <c r="C1074" s="318">
        <v>7</v>
      </c>
      <c r="D1074" s="1879" t="s">
        <v>1209</v>
      </c>
      <c r="E1074" s="1879"/>
      <c r="F1074" s="1879"/>
      <c r="G1074" s="1879"/>
      <c r="H1074" s="1879"/>
      <c r="I1074" s="1879"/>
      <c r="J1074" s="1879"/>
      <c r="K1074" s="1879"/>
      <c r="L1074" s="1879"/>
      <c r="M1074" s="1879"/>
      <c r="N1074" s="1879"/>
      <c r="O1074" s="1879"/>
      <c r="P1074" s="1879"/>
      <c r="Q1074" s="1879"/>
      <c r="R1074" s="1879"/>
      <c r="S1074" s="1879"/>
      <c r="T1074" s="1879"/>
      <c r="U1074" s="1879"/>
      <c r="V1074" s="1879"/>
      <c r="W1074" s="1879"/>
      <c r="X1074" s="1879"/>
      <c r="Y1074" s="1879"/>
      <c r="Z1074" s="1879"/>
      <c r="AA1074" s="1879"/>
      <c r="AB1074" s="1879"/>
      <c r="AC1074" s="1879"/>
      <c r="AD1074" s="1879"/>
      <c r="AE1074" s="1879"/>
      <c r="AF1074" s="1879"/>
      <c r="AG1074" s="1879"/>
      <c r="AH1074" s="1879"/>
      <c r="AI1074" s="1879"/>
      <c r="AJ1074" s="1879"/>
      <c r="AK1074" s="1879"/>
      <c r="AL1074" s="32"/>
      <c r="AM1074" s="1505"/>
      <c r="AN1074" s="1505"/>
      <c r="AO1074" s="1505"/>
      <c r="AP1074" s="1505"/>
      <c r="AQ1074" s="1505"/>
      <c r="AR1074" s="1505"/>
      <c r="AS1074" s="1505"/>
      <c r="AT1074" s="1505"/>
      <c r="AU1074" s="1505"/>
      <c r="AV1074" s="1505"/>
      <c r="AW1074" s="1505"/>
      <c r="AX1074" s="1505"/>
      <c r="AY1074" s="1505"/>
    </row>
    <row r="1075" spans="1:96" ht="12.75" customHeight="1">
      <c r="A1075" s="235"/>
      <c r="B1075" s="235"/>
      <c r="C1075" s="319"/>
      <c r="D1075" s="1879"/>
      <c r="E1075" s="1879"/>
      <c r="F1075" s="1879"/>
      <c r="G1075" s="1879"/>
      <c r="H1075" s="1879"/>
      <c r="I1075" s="1879"/>
      <c r="J1075" s="1879"/>
      <c r="K1075" s="1879"/>
      <c r="L1075" s="1879"/>
      <c r="M1075" s="1879"/>
      <c r="N1075" s="1879"/>
      <c r="O1075" s="1879"/>
      <c r="P1075" s="1879"/>
      <c r="Q1075" s="1879"/>
      <c r="R1075" s="1879"/>
      <c r="S1075" s="1879"/>
      <c r="T1075" s="1879"/>
      <c r="U1075" s="1879"/>
      <c r="V1075" s="1879"/>
      <c r="W1075" s="1879"/>
      <c r="X1075" s="1879"/>
      <c r="Y1075" s="1879"/>
      <c r="Z1075" s="1879"/>
      <c r="AA1075" s="1879"/>
      <c r="AB1075" s="1879"/>
      <c r="AC1075" s="1879"/>
      <c r="AD1075" s="1879"/>
      <c r="AE1075" s="1879"/>
      <c r="AF1075" s="1879"/>
      <c r="AG1075" s="1879"/>
      <c r="AH1075" s="1879"/>
      <c r="AI1075" s="1879"/>
      <c r="AJ1075" s="1879"/>
      <c r="AK1075" s="1879"/>
    </row>
    <row r="1076" spans="1:96" ht="12.75" customHeight="1">
      <c r="A1076" s="235"/>
      <c r="B1076" s="235"/>
      <c r="C1076" s="319"/>
      <c r="D1076" s="1879"/>
      <c r="E1076" s="1879"/>
      <c r="F1076" s="1879"/>
      <c r="G1076" s="1879"/>
      <c r="H1076" s="1879"/>
      <c r="I1076" s="1879"/>
      <c r="J1076" s="1879"/>
      <c r="K1076" s="1879"/>
      <c r="L1076" s="1879"/>
      <c r="M1076" s="1879"/>
      <c r="N1076" s="1879"/>
      <c r="O1076" s="1879"/>
      <c r="P1076" s="1879"/>
      <c r="Q1076" s="1879"/>
      <c r="R1076" s="1879"/>
      <c r="S1076" s="1879"/>
      <c r="T1076" s="1879"/>
      <c r="U1076" s="1879"/>
      <c r="V1076" s="1879"/>
      <c r="W1076" s="1879"/>
      <c r="X1076" s="1879"/>
      <c r="Y1076" s="1879"/>
      <c r="Z1076" s="1879"/>
      <c r="AA1076" s="1879"/>
      <c r="AB1076" s="1879"/>
      <c r="AC1076" s="1879"/>
      <c r="AD1076" s="1879"/>
      <c r="AE1076" s="1879"/>
      <c r="AF1076" s="1879"/>
      <c r="AG1076" s="1879"/>
      <c r="AH1076" s="1879"/>
      <c r="AI1076" s="1879"/>
      <c r="AJ1076" s="1879"/>
      <c r="AK1076" s="1879"/>
    </row>
    <row r="1077" spans="1:96" s="677" customFormat="1" ht="12.75" customHeight="1">
      <c r="A1077" s="62"/>
      <c r="B1077" s="66"/>
      <c r="C1077" s="318"/>
      <c r="D1077" s="1879"/>
      <c r="E1077" s="1879"/>
      <c r="F1077" s="1879"/>
      <c r="G1077" s="1879"/>
      <c r="H1077" s="1879"/>
      <c r="I1077" s="1879"/>
      <c r="J1077" s="1879"/>
      <c r="K1077" s="1879"/>
      <c r="L1077" s="1879"/>
      <c r="M1077" s="1879"/>
      <c r="N1077" s="1879"/>
      <c r="O1077" s="1879"/>
      <c r="P1077" s="1879"/>
      <c r="Q1077" s="1879"/>
      <c r="R1077" s="1879"/>
      <c r="S1077" s="1879"/>
      <c r="T1077" s="1879"/>
      <c r="U1077" s="1879"/>
      <c r="V1077" s="1879"/>
      <c r="W1077" s="1879"/>
      <c r="X1077" s="1879"/>
      <c r="Y1077" s="1879"/>
      <c r="Z1077" s="1879"/>
      <c r="AA1077" s="1879"/>
      <c r="AB1077" s="1879"/>
      <c r="AC1077" s="1879"/>
      <c r="AD1077" s="1879"/>
      <c r="AE1077" s="1879"/>
      <c r="AF1077" s="1879"/>
      <c r="AG1077" s="1879"/>
      <c r="AH1077" s="1879"/>
      <c r="AI1077" s="1879"/>
      <c r="AJ1077" s="1879"/>
      <c r="AK1077" s="1879"/>
      <c r="AL1077" s="12"/>
      <c r="AM1077" s="39"/>
      <c r="AN1077" s="39"/>
      <c r="AO1077" s="39"/>
      <c r="AP1077" s="39"/>
      <c r="AQ1077" s="39"/>
      <c r="AR1077" s="39"/>
      <c r="AS1077" s="39"/>
      <c r="AT1077" s="39"/>
      <c r="AU1077" s="39"/>
      <c r="AV1077" s="39"/>
      <c r="AW1077" s="39"/>
      <c r="AX1077" s="39"/>
      <c r="AY1077" s="39"/>
      <c r="CR1077" s="25"/>
    </row>
    <row r="1078" spans="1:96" ht="12.75" customHeight="1">
      <c r="A1078" s="2035" t="s">
        <v>626</v>
      </c>
      <c r="B1078" s="2035"/>
      <c r="C1078" s="318">
        <v>8</v>
      </c>
      <c r="D1078" s="2390" t="s">
        <v>2164</v>
      </c>
      <c r="E1078" s="2390"/>
      <c r="F1078" s="2390"/>
      <c r="G1078" s="2390"/>
      <c r="H1078" s="2390"/>
      <c r="I1078" s="2390"/>
      <c r="J1078" s="2390"/>
      <c r="K1078" s="2390"/>
      <c r="L1078" s="2390"/>
      <c r="M1078" s="2390"/>
      <c r="N1078" s="2390"/>
      <c r="O1078" s="2390"/>
      <c r="P1078" s="2390"/>
      <c r="Q1078" s="2390"/>
      <c r="R1078" s="2390"/>
      <c r="S1078" s="2390"/>
      <c r="T1078" s="2390"/>
      <c r="U1078" s="2390"/>
      <c r="V1078" s="2390"/>
      <c r="W1078" s="2390"/>
      <c r="X1078" s="2390"/>
      <c r="Y1078" s="2390"/>
      <c r="Z1078" s="2390"/>
      <c r="AA1078" s="2390"/>
      <c r="AB1078" s="2390"/>
      <c r="AC1078" s="2390"/>
      <c r="AD1078" s="2390"/>
      <c r="AE1078" s="2390"/>
      <c r="AF1078" s="2390"/>
      <c r="AG1078" s="2390"/>
      <c r="AH1078" s="2390"/>
      <c r="AI1078" s="2390"/>
      <c r="AJ1078" s="2390"/>
      <c r="AK1078" s="2390"/>
    </row>
    <row r="1079" spans="1:96" ht="12.75" customHeight="1">
      <c r="A1079" s="235"/>
      <c r="B1079" s="235"/>
      <c r="C1079" s="318"/>
      <c r="D1079" s="2390"/>
      <c r="E1079" s="2390"/>
      <c r="F1079" s="2390"/>
      <c r="G1079" s="2390"/>
      <c r="H1079" s="2390"/>
      <c r="I1079" s="2390"/>
      <c r="J1079" s="2390"/>
      <c r="K1079" s="2390"/>
      <c r="L1079" s="2390"/>
      <c r="M1079" s="2390"/>
      <c r="N1079" s="2390"/>
      <c r="O1079" s="2390"/>
      <c r="P1079" s="2390"/>
      <c r="Q1079" s="2390"/>
      <c r="R1079" s="2390"/>
      <c r="S1079" s="2390"/>
      <c r="T1079" s="2390"/>
      <c r="U1079" s="2390"/>
      <c r="V1079" s="2390"/>
      <c r="W1079" s="2390"/>
      <c r="X1079" s="2390"/>
      <c r="Y1079" s="2390"/>
      <c r="Z1079" s="2390"/>
      <c r="AA1079" s="2390"/>
      <c r="AB1079" s="2390"/>
      <c r="AC1079" s="2390"/>
      <c r="AD1079" s="2390"/>
      <c r="AE1079" s="2390"/>
      <c r="AF1079" s="2390"/>
      <c r="AG1079" s="2390"/>
      <c r="AH1079" s="2390"/>
      <c r="AI1079" s="2390"/>
      <c r="AJ1079" s="2390"/>
      <c r="AK1079" s="2390"/>
    </row>
    <row r="1080" spans="1:96" ht="12.75" customHeight="1">
      <c r="A1080" s="235"/>
      <c r="B1080" s="235"/>
      <c r="C1080" s="318"/>
      <c r="D1080" s="2390"/>
      <c r="E1080" s="2390"/>
      <c r="F1080" s="2390"/>
      <c r="G1080" s="2390"/>
      <c r="H1080" s="2390"/>
      <c r="I1080" s="2390"/>
      <c r="J1080" s="2390"/>
      <c r="K1080" s="2390"/>
      <c r="L1080" s="2390"/>
      <c r="M1080" s="2390"/>
      <c r="N1080" s="2390"/>
      <c r="O1080" s="2390"/>
      <c r="P1080" s="2390"/>
      <c r="Q1080" s="2390"/>
      <c r="R1080" s="2390"/>
      <c r="S1080" s="2390"/>
      <c r="T1080" s="2390"/>
      <c r="U1080" s="2390"/>
      <c r="V1080" s="2390"/>
      <c r="W1080" s="2390"/>
      <c r="X1080" s="2390"/>
      <c r="Y1080" s="2390"/>
      <c r="Z1080" s="2390"/>
      <c r="AA1080" s="2390"/>
      <c r="AB1080" s="2390"/>
      <c r="AC1080" s="2390"/>
      <c r="AD1080" s="2390"/>
      <c r="AE1080" s="2390"/>
      <c r="AF1080" s="2390"/>
      <c r="AG1080" s="2390"/>
      <c r="AH1080" s="2390"/>
      <c r="AI1080" s="2390"/>
      <c r="AJ1080" s="2390"/>
      <c r="AK1080" s="2390"/>
      <c r="AL1080" s="677"/>
    </row>
    <row r="1081" spans="1:96" ht="12" customHeight="1">
      <c r="A1081" s="62"/>
      <c r="B1081" s="66"/>
      <c r="C1081" s="318"/>
      <c r="D1081" s="2390"/>
      <c r="E1081" s="2390"/>
      <c r="F1081" s="2390"/>
      <c r="G1081" s="2390"/>
      <c r="H1081" s="2390"/>
      <c r="I1081" s="2390"/>
      <c r="J1081" s="2390"/>
      <c r="K1081" s="2390"/>
      <c r="L1081" s="2390"/>
      <c r="M1081" s="2390"/>
      <c r="N1081" s="2390"/>
      <c r="O1081" s="2390"/>
      <c r="P1081" s="2390"/>
      <c r="Q1081" s="2390"/>
      <c r="R1081" s="2390"/>
      <c r="S1081" s="2390"/>
      <c r="T1081" s="2390"/>
      <c r="U1081" s="2390"/>
      <c r="V1081" s="2390"/>
      <c r="W1081" s="2390"/>
      <c r="X1081" s="2390"/>
      <c r="Y1081" s="2390"/>
      <c r="Z1081" s="2390"/>
      <c r="AA1081" s="2390"/>
      <c r="AB1081" s="2390"/>
      <c r="AC1081" s="2390"/>
      <c r="AD1081" s="2390"/>
      <c r="AE1081" s="2390"/>
      <c r="AF1081" s="2390"/>
      <c r="AG1081" s="2390"/>
      <c r="AH1081" s="2390"/>
      <c r="AI1081" s="2390"/>
      <c r="AJ1081" s="2390"/>
      <c r="AK1081" s="2390"/>
    </row>
    <row r="1082" spans="1:96" ht="12.75" customHeight="1">
      <c r="A1082" s="2035" t="s">
        <v>626</v>
      </c>
      <c r="B1082" s="2035"/>
      <c r="C1082" s="318">
        <v>9</v>
      </c>
      <c r="D1082" s="1879" t="s">
        <v>1208</v>
      </c>
      <c r="E1082" s="1879"/>
      <c r="F1082" s="1879"/>
      <c r="G1082" s="1879"/>
      <c r="H1082" s="1879"/>
      <c r="I1082" s="1879"/>
      <c r="J1082" s="1879"/>
      <c r="K1082" s="1879"/>
      <c r="L1082" s="1879"/>
      <c r="M1082" s="1879"/>
      <c r="N1082" s="1879"/>
      <c r="O1082" s="1879"/>
      <c r="P1082" s="1879"/>
      <c r="Q1082" s="1879"/>
      <c r="R1082" s="1879"/>
      <c r="S1082" s="1879"/>
      <c r="T1082" s="1879"/>
      <c r="U1082" s="1879"/>
      <c r="V1082" s="1879"/>
      <c r="W1082" s="1879"/>
      <c r="X1082" s="1879"/>
      <c r="Y1082" s="1879"/>
      <c r="Z1082" s="1879"/>
      <c r="AA1082" s="1879"/>
      <c r="AB1082" s="1879"/>
      <c r="AC1082" s="1879"/>
      <c r="AD1082" s="1879"/>
      <c r="AE1082" s="1879"/>
      <c r="AF1082" s="1879"/>
      <c r="AG1082" s="1879"/>
      <c r="AH1082" s="1879"/>
      <c r="AI1082" s="1879"/>
      <c r="AJ1082" s="1879"/>
      <c r="AK1082" s="1879"/>
    </row>
    <row r="1083" spans="1:96" ht="15" customHeight="1">
      <c r="A1083" s="62"/>
      <c r="B1083" s="66"/>
      <c r="C1083" s="318"/>
      <c r="D1083" s="1879"/>
      <c r="E1083" s="1879"/>
      <c r="F1083" s="1879"/>
      <c r="G1083" s="1879"/>
      <c r="H1083" s="1879"/>
      <c r="I1083" s="1879"/>
      <c r="J1083" s="1879"/>
      <c r="K1083" s="1879"/>
      <c r="L1083" s="1879"/>
      <c r="M1083" s="1879"/>
      <c r="N1083" s="1879"/>
      <c r="O1083" s="1879"/>
      <c r="P1083" s="1879"/>
      <c r="Q1083" s="1879"/>
      <c r="R1083" s="1879"/>
      <c r="S1083" s="1879"/>
      <c r="T1083" s="1879"/>
      <c r="U1083" s="1879"/>
      <c r="V1083" s="1879"/>
      <c r="W1083" s="1879"/>
      <c r="X1083" s="1879"/>
      <c r="Y1083" s="1879"/>
      <c r="Z1083" s="1879"/>
      <c r="AA1083" s="1879"/>
      <c r="AB1083" s="1879"/>
      <c r="AC1083" s="1879"/>
      <c r="AD1083" s="1879"/>
      <c r="AE1083" s="1879"/>
      <c r="AF1083" s="1879"/>
      <c r="AG1083" s="1879"/>
      <c r="AH1083" s="1879"/>
      <c r="AI1083" s="1879"/>
      <c r="AJ1083" s="1879"/>
      <c r="AK1083" s="1879"/>
    </row>
    <row r="1084" spans="1:96" ht="15" customHeight="1">
      <c r="D1084" s="1879"/>
      <c r="E1084" s="1879"/>
      <c r="F1084" s="1879"/>
      <c r="G1084" s="1879"/>
      <c r="H1084" s="1879"/>
      <c r="I1084" s="1879"/>
      <c r="J1084" s="1879"/>
      <c r="K1084" s="1879"/>
      <c r="L1084" s="1879"/>
      <c r="M1084" s="1879"/>
      <c r="N1084" s="1879"/>
      <c r="O1084" s="1879"/>
      <c r="P1084" s="1879"/>
      <c r="Q1084" s="1879"/>
      <c r="R1084" s="1879"/>
      <c r="S1084" s="1879"/>
      <c r="T1084" s="1879"/>
      <c r="U1084" s="1879"/>
      <c r="V1084" s="1879"/>
      <c r="W1084" s="1879"/>
      <c r="X1084" s="1879"/>
      <c r="Y1084" s="1879"/>
      <c r="Z1084" s="1879"/>
      <c r="AA1084" s="1879"/>
      <c r="AB1084" s="1879"/>
      <c r="AC1084" s="1879"/>
      <c r="AD1084" s="1879"/>
      <c r="AE1084" s="1879"/>
      <c r="AF1084" s="1879"/>
      <c r="AG1084" s="1879"/>
      <c r="AH1084" s="1879"/>
      <c r="AI1084" s="1879"/>
      <c r="AJ1084" s="1879"/>
      <c r="AK1084" s="1879"/>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W852:AC852"/>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M940:S940"/>
    <mergeCell ref="AA933:AF933"/>
    <mergeCell ref="AA919:AF919"/>
    <mergeCell ref="O744:S744"/>
    <mergeCell ref="Y828:AB828"/>
    <mergeCell ref="W847:AC847"/>
    <mergeCell ref="U827:X827"/>
    <mergeCell ref="AC884:AH884"/>
    <mergeCell ref="C828:H828"/>
    <mergeCell ref="M844:V844"/>
    <mergeCell ref="W841:AC8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Q827:T827"/>
    <mergeCell ref="Y825:AB825"/>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I626:BJ626"/>
    <mergeCell ref="BK626:BL626"/>
    <mergeCell ref="BS624:BW624"/>
    <mergeCell ref="BX624:CB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s>
  <phoneticPr fontId="0" type="noConversion"/>
  <conditionalFormatting sqref="AF1000">
    <cfRule type="cellIs" dxfId="122" priority="4" stopIfTrue="1" operator="equal">
      <formula>"Please Enter Amount:"</formula>
    </cfRule>
  </conditionalFormatting>
  <conditionalFormatting sqref="AJ1024">
    <cfRule type="cellIs" dxfId="121" priority="7" stopIfTrue="1" operator="equal">
      <formula>"#DIV/0!"</formula>
    </cfRule>
  </conditionalFormatting>
  <conditionalFormatting sqref="AG440:AJ440">
    <cfRule type="expression" dxfId="120" priority="8" stopIfTrue="1">
      <formula>"iserror(d31)"</formula>
    </cfRule>
  </conditionalFormatting>
  <conditionalFormatting sqref="AF1012">
    <cfRule type="cellIs" dxfId="119" priority="2" stopIfTrue="1" operator="equal">
      <formula>"Please Enter Amount:"</formula>
    </cfRule>
  </conditionalFormatting>
  <conditionalFormatting sqref="AF1005">
    <cfRule type="cellIs" dxfId="11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25" zoomScaleNormal="125" zoomScaleSheetLayoutView="90" workbookViewId="0"/>
  </sheetViews>
  <sheetFormatPr defaultColWidth="0" defaultRowHeight="11.4" zeroHeight="1"/>
  <cols>
    <col min="1" max="1" width="35.77734375" style="298" customWidth="1"/>
    <col min="2" max="12" width="12.109375" style="229" customWidth="1"/>
    <col min="13" max="17" width="11.109375" style="229" customWidth="1"/>
    <col min="18" max="18" width="12.77734375" style="229" customWidth="1"/>
    <col min="19" max="20" width="12.109375" style="229" customWidth="1"/>
    <col min="21" max="21" width="0.109375" style="232" customWidth="1"/>
    <col min="22" max="16383" width="8.77734375" style="229" hidden="1"/>
    <col min="16384" max="16384" width="0.109375" style="229" customWidth="1"/>
  </cols>
  <sheetData>
    <row r="1" spans="1:21" s="166" customFormat="1" ht="13.8">
      <c r="A1" s="246" t="s">
        <v>582</v>
      </c>
      <c r="B1" s="189"/>
      <c r="C1" s="189"/>
      <c r="D1" s="189"/>
      <c r="E1" s="190"/>
      <c r="F1" s="2571" t="s">
        <v>656</v>
      </c>
      <c r="G1" s="2572"/>
      <c r="H1" s="2572"/>
      <c r="I1" s="2572"/>
      <c r="J1" s="2572"/>
      <c r="K1" s="2572"/>
      <c r="L1" s="2572"/>
      <c r="M1" s="2572"/>
      <c r="N1" s="2572"/>
      <c r="O1" s="2572"/>
      <c r="P1" s="2572"/>
      <c r="Q1" s="2572"/>
      <c r="R1" s="2573"/>
      <c r="S1" s="168"/>
      <c r="T1" s="167"/>
      <c r="U1" s="169"/>
    </row>
    <row r="2" spans="1:21" s="208" customFormat="1" ht="71.25" customHeight="1">
      <c r="A2" s="207"/>
      <c r="B2" s="208" t="s">
        <v>24</v>
      </c>
      <c r="C2" s="208" t="s">
        <v>392</v>
      </c>
      <c r="D2" s="208" t="s">
        <v>391</v>
      </c>
      <c r="E2" s="208" t="s">
        <v>25</v>
      </c>
      <c r="F2" s="209" t="str">
        <f>Application!B637&amp;Application!C637</f>
        <v xml:space="preserve">1)CCRC Tax Exempt Perm Loan </v>
      </c>
      <c r="G2" s="209" t="str">
        <f>Application!B638&amp;Application!C638</f>
        <v>2)SHRA - Housing Trust Fund + MIHF</v>
      </c>
      <c r="H2" s="209" t="str">
        <f>Application!B639&amp;Application!C639</f>
        <v xml:space="preserve">3)SHRA/City of Sacramento Loan </v>
      </c>
      <c r="I2" s="209" t="str">
        <f>Application!B640&amp;Application!C640</f>
        <v>4)Defered Developer Fee</v>
      </c>
      <c r="J2" s="209" t="str">
        <f>Application!B641&amp;Application!C641</f>
        <v xml:space="preserve">5)Accrued/Deferred Interest </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4500000</v>
      </c>
      <c r="C4" s="217">
        <v>4500000</v>
      </c>
      <c r="D4" s="217"/>
      <c r="E4" s="217">
        <f>+B4-SUM(F4:Q4)</f>
        <v>4500000</v>
      </c>
      <c r="F4" s="217"/>
      <c r="G4" s="217"/>
      <c r="H4" s="217"/>
      <c r="I4" s="217"/>
      <c r="J4" s="217"/>
      <c r="K4" s="217"/>
      <c r="L4" s="217"/>
      <c r="M4" s="217"/>
      <c r="N4" s="217"/>
      <c r="O4" s="217"/>
      <c r="P4" s="217"/>
      <c r="Q4" s="217"/>
      <c r="R4" s="874">
        <f>SUM(E4:Q4)</f>
        <v>4500000</v>
      </c>
      <c r="S4" s="218"/>
      <c r="T4" s="218"/>
      <c r="U4" s="213"/>
    </row>
    <row r="5" spans="1:21" s="214" customFormat="1">
      <c r="A5" s="215" t="s">
        <v>29</v>
      </c>
      <c r="B5" s="216">
        <f>SUM(C5+D5)</f>
        <v>120000</v>
      </c>
      <c r="C5" s="217">
        <v>120000</v>
      </c>
      <c r="D5" s="217"/>
      <c r="E5" s="217">
        <f t="shared" ref="E5:E7" si="0">+B5-SUM(F5:Q5)</f>
        <v>120000</v>
      </c>
      <c r="F5" s="217"/>
      <c r="G5" s="217"/>
      <c r="H5" s="217"/>
      <c r="I5" s="217"/>
      <c r="J5" s="217"/>
      <c r="K5" s="217"/>
      <c r="L5" s="217"/>
      <c r="M5" s="217"/>
      <c r="N5" s="217"/>
      <c r="O5" s="217"/>
      <c r="P5" s="217"/>
      <c r="Q5" s="217"/>
      <c r="R5" s="874">
        <f>SUM(E5:Q5)</f>
        <v>120000</v>
      </c>
      <c r="S5" s="218"/>
      <c r="T5" s="218"/>
      <c r="U5" s="213"/>
    </row>
    <row r="6" spans="1:21" s="214" customFormat="1">
      <c r="A6" s="215" t="s">
        <v>30</v>
      </c>
      <c r="B6" s="216">
        <f>SUM(C6+D6)</f>
        <v>47275</v>
      </c>
      <c r="C6" s="217">
        <v>47275</v>
      </c>
      <c r="D6" s="217"/>
      <c r="E6" s="217">
        <f t="shared" si="0"/>
        <v>47275</v>
      </c>
      <c r="F6" s="217"/>
      <c r="G6" s="217"/>
      <c r="H6" s="217"/>
      <c r="I6" s="217"/>
      <c r="J6" s="217"/>
      <c r="K6" s="217"/>
      <c r="L6" s="217"/>
      <c r="M6" s="217"/>
      <c r="N6" s="217"/>
      <c r="O6" s="217"/>
      <c r="P6" s="217"/>
      <c r="Q6" s="217"/>
      <c r="R6" s="874">
        <f>SUM(E6:Q6)</f>
        <v>47275</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4">
        <f>SUM(E7:Q7)</f>
        <v>0</v>
      </c>
      <c r="S7" s="218"/>
      <c r="T7" s="218"/>
      <c r="U7" s="213"/>
    </row>
    <row r="8" spans="1:21" s="214" customFormat="1" ht="12">
      <c r="A8" s="219" t="s">
        <v>628</v>
      </c>
      <c r="B8" s="216">
        <f>SUM(C8:D8)</f>
        <v>4667275</v>
      </c>
      <c r="C8" s="216">
        <f t="shared" ref="C8:Q8" si="1">SUM(C4:C7)</f>
        <v>4667275</v>
      </c>
      <c r="D8" s="216">
        <f t="shared" si="1"/>
        <v>0</v>
      </c>
      <c r="E8" s="216">
        <f t="shared" si="1"/>
        <v>4667275</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29">
        <f>SUM(R4:R7)</f>
        <v>4667275</v>
      </c>
      <c r="S8" s="218"/>
      <c r="T8" s="218"/>
      <c r="U8" s="213"/>
    </row>
    <row r="9" spans="1:21" s="214" customFormat="1">
      <c r="A9" s="215" t="s">
        <v>629</v>
      </c>
      <c r="B9" s="216">
        <f>SUM(C9+D9)</f>
        <v>0</v>
      </c>
      <c r="C9" s="217"/>
      <c r="D9" s="217"/>
      <c r="E9" s="217">
        <f t="shared" ref="E9:E10" si="2">+B9-SUM(F9:Q9)</f>
        <v>0</v>
      </c>
      <c r="F9" s="217"/>
      <c r="G9" s="217"/>
      <c r="H9" s="217"/>
      <c r="I9" s="217"/>
      <c r="J9" s="217"/>
      <c r="K9" s="217"/>
      <c r="L9" s="217"/>
      <c r="M9" s="217"/>
      <c r="N9" s="217"/>
      <c r="O9" s="217"/>
      <c r="P9" s="217"/>
      <c r="Q9" s="217"/>
      <c r="R9" s="874">
        <f>SUM(E9:Q9)</f>
        <v>0</v>
      </c>
      <c r="S9" s="218"/>
      <c r="T9" s="217"/>
      <c r="U9" s="213"/>
    </row>
    <row r="10" spans="1:21" s="214" customFormat="1">
      <c r="A10" s="215" t="s">
        <v>630</v>
      </c>
      <c r="B10" s="216">
        <f>SUM(C10+D10)</f>
        <v>50000</v>
      </c>
      <c r="C10" s="217">
        <v>50000</v>
      </c>
      <c r="D10" s="217"/>
      <c r="E10" s="217">
        <f t="shared" si="2"/>
        <v>50000</v>
      </c>
      <c r="F10" s="217"/>
      <c r="G10" s="217"/>
      <c r="H10" s="217"/>
      <c r="I10" s="217"/>
      <c r="J10" s="217"/>
      <c r="K10" s="217"/>
      <c r="L10" s="217"/>
      <c r="M10" s="217"/>
      <c r="N10" s="217"/>
      <c r="O10" s="217"/>
      <c r="P10" s="217"/>
      <c r="Q10" s="217"/>
      <c r="R10" s="874">
        <f>SUM(E10:Q10)</f>
        <v>50000</v>
      </c>
      <c r="S10" s="217">
        <f>+B10</f>
        <v>50000</v>
      </c>
      <c r="T10" s="217"/>
      <c r="U10" s="213"/>
    </row>
    <row r="11" spans="1:21" s="214" customFormat="1" ht="12">
      <c r="A11" s="219" t="s">
        <v>631</v>
      </c>
      <c r="B11" s="216">
        <f>SUM(C11:D11)</f>
        <v>50000</v>
      </c>
      <c r="C11" s="216">
        <f t="shared" ref="C11:Q11" si="3">SUM(C9:C10)</f>
        <v>50000</v>
      </c>
      <c r="D11" s="216">
        <f t="shared" si="3"/>
        <v>0</v>
      </c>
      <c r="E11" s="216">
        <f t="shared" si="3"/>
        <v>50000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29">
        <f>SUM(R9:R10)</f>
        <v>50000</v>
      </c>
      <c r="S11" s="218"/>
      <c r="T11" s="220">
        <f>SUM(T9:T10)</f>
        <v>0</v>
      </c>
      <c r="U11" s="213"/>
    </row>
    <row r="12" spans="1:21" s="214" customFormat="1" ht="12">
      <c r="A12" s="219" t="s">
        <v>89</v>
      </c>
      <c r="B12" s="216">
        <f t="shared" ref="B12:Q12" si="4">SUM(B8+B11)</f>
        <v>4717275</v>
      </c>
      <c r="C12" s="216">
        <f t="shared" si="4"/>
        <v>4717275</v>
      </c>
      <c r="D12" s="216">
        <f t="shared" si="4"/>
        <v>0</v>
      </c>
      <c r="E12" s="216">
        <f t="shared" si="4"/>
        <v>4717275</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29">
        <f>SUM(R8+R11)</f>
        <v>4717275</v>
      </c>
      <c r="S12" s="218"/>
      <c r="T12" s="218"/>
      <c r="U12" s="213"/>
    </row>
    <row r="13" spans="1:21" s="214" customFormat="1">
      <c r="A13" s="444" t="s">
        <v>969</v>
      </c>
      <c r="B13" s="216">
        <f>SUM(C13+D13)</f>
        <v>0</v>
      </c>
      <c r="C13" s="217"/>
      <c r="D13" s="217"/>
      <c r="E13" s="217">
        <f t="shared" ref="E13:E15" si="5">+B13-SUM(F13:Q13)</f>
        <v>0</v>
      </c>
      <c r="F13" s="217"/>
      <c r="G13" s="217"/>
      <c r="H13" s="217"/>
      <c r="I13" s="217"/>
      <c r="J13" s="217"/>
      <c r="K13" s="217"/>
      <c r="L13" s="217"/>
      <c r="M13" s="217"/>
      <c r="N13" s="217"/>
      <c r="O13" s="217"/>
      <c r="P13" s="217"/>
      <c r="Q13" s="217"/>
      <c r="R13" s="874">
        <f>SUM(E13:Q13)</f>
        <v>0</v>
      </c>
      <c r="S13" s="217"/>
      <c r="T13" s="217"/>
      <c r="U13" s="213"/>
    </row>
    <row r="14" spans="1:21" s="214" customFormat="1" ht="22.8">
      <c r="A14" s="445" t="s">
        <v>1995</v>
      </c>
      <c r="B14" s="216">
        <f>SUM(C14+D14)</f>
        <v>0</v>
      </c>
      <c r="C14" s="217"/>
      <c r="D14" s="217"/>
      <c r="E14" s="217">
        <f t="shared" si="5"/>
        <v>0</v>
      </c>
      <c r="F14" s="217"/>
      <c r="G14" s="217"/>
      <c r="H14" s="217"/>
      <c r="I14" s="217"/>
      <c r="J14" s="217"/>
      <c r="K14" s="217"/>
      <c r="L14" s="217"/>
      <c r="M14" s="217"/>
      <c r="N14" s="217"/>
      <c r="O14" s="217"/>
      <c r="P14" s="217"/>
      <c r="Q14" s="217"/>
      <c r="R14" s="874">
        <f>SUM(E14:Q14)</f>
        <v>0</v>
      </c>
      <c r="S14" s="217"/>
      <c r="T14" s="217"/>
      <c r="U14" s="213"/>
    </row>
    <row r="15" spans="1:21" s="214" customFormat="1">
      <c r="A15" s="445" t="s">
        <v>1354</v>
      </c>
      <c r="B15" s="216">
        <f>SUM(C15+D15)</f>
        <v>0</v>
      </c>
      <c r="C15" s="217"/>
      <c r="D15" s="217"/>
      <c r="E15" s="217">
        <f t="shared" si="5"/>
        <v>0</v>
      </c>
      <c r="F15" s="217"/>
      <c r="G15" s="217"/>
      <c r="H15" s="217"/>
      <c r="I15" s="217"/>
      <c r="J15" s="217"/>
      <c r="K15" s="217"/>
      <c r="L15" s="217"/>
      <c r="M15" s="217"/>
      <c r="N15" s="217"/>
      <c r="O15" s="217"/>
      <c r="P15" s="217"/>
      <c r="Q15" s="217"/>
      <c r="R15" s="874">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6">SUM(C17+D17)</f>
        <v>0</v>
      </c>
      <c r="C17" s="217"/>
      <c r="D17" s="217"/>
      <c r="E17" s="217"/>
      <c r="F17" s="217"/>
      <c r="G17" s="217"/>
      <c r="H17" s="217"/>
      <c r="I17" s="217"/>
      <c r="J17" s="217"/>
      <c r="K17" s="217"/>
      <c r="L17" s="217"/>
      <c r="M17" s="217"/>
      <c r="N17" s="217"/>
      <c r="O17" s="217"/>
      <c r="P17" s="217"/>
      <c r="Q17" s="217"/>
      <c r="R17" s="874">
        <f>SUM(E17:Q17)</f>
        <v>0</v>
      </c>
      <c r="S17" s="217"/>
      <c r="T17" s="217"/>
      <c r="U17" s="213"/>
    </row>
    <row r="18" spans="1:21" s="214" customFormat="1">
      <c r="A18" s="215" t="s">
        <v>634</v>
      </c>
      <c r="B18" s="216">
        <f t="shared" si="6"/>
        <v>0</v>
      </c>
      <c r="C18" s="217"/>
      <c r="D18" s="217"/>
      <c r="E18" s="217"/>
      <c r="F18" s="217"/>
      <c r="G18" s="217"/>
      <c r="H18" s="217"/>
      <c r="I18" s="217"/>
      <c r="J18" s="217"/>
      <c r="K18" s="217"/>
      <c r="L18" s="217"/>
      <c r="M18" s="217"/>
      <c r="N18" s="217"/>
      <c r="O18" s="217"/>
      <c r="P18" s="217"/>
      <c r="Q18" s="217"/>
      <c r="R18" s="874">
        <f>SUM(E18:Q18)</f>
        <v>0</v>
      </c>
      <c r="S18" s="217"/>
      <c r="T18" s="217"/>
      <c r="U18" s="213"/>
    </row>
    <row r="19" spans="1:21" s="214" customFormat="1">
      <c r="A19" s="215" t="s">
        <v>635</v>
      </c>
      <c r="B19" s="216">
        <f t="shared" si="6"/>
        <v>0</v>
      </c>
      <c r="C19" s="217"/>
      <c r="D19" s="217"/>
      <c r="E19" s="217"/>
      <c r="F19" s="217"/>
      <c r="G19" s="217"/>
      <c r="H19" s="217"/>
      <c r="I19" s="217"/>
      <c r="J19" s="217"/>
      <c r="K19" s="217"/>
      <c r="L19" s="217"/>
      <c r="M19" s="217"/>
      <c r="N19" s="217"/>
      <c r="O19" s="217"/>
      <c r="P19" s="217"/>
      <c r="Q19" s="217"/>
      <c r="R19" s="874">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74">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74">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74">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74">
        <f t="shared" si="7"/>
        <v>0</v>
      </c>
      <c r="S23" s="217"/>
      <c r="T23" s="217"/>
      <c r="U23" s="213"/>
    </row>
    <row r="24" spans="1:21" s="214" customFormat="1">
      <c r="A24" s="853" t="s">
        <v>1992</v>
      </c>
      <c r="B24" s="216">
        <f t="shared" si="6"/>
        <v>0</v>
      </c>
      <c r="C24" s="217"/>
      <c r="D24" s="217"/>
      <c r="E24" s="217"/>
      <c r="F24" s="217"/>
      <c r="G24" s="217"/>
      <c r="H24" s="217"/>
      <c r="I24" s="217"/>
      <c r="J24" s="217"/>
      <c r="K24" s="217"/>
      <c r="L24" s="217"/>
      <c r="M24" s="217"/>
      <c r="N24" s="217"/>
      <c r="O24" s="217"/>
      <c r="P24" s="217"/>
      <c r="Q24" s="217"/>
      <c r="R24" s="874"/>
      <c r="S24" s="217"/>
      <c r="T24" s="217"/>
      <c r="U24" s="213"/>
    </row>
    <row r="25" spans="1:21" s="214" customFormat="1">
      <c r="A25" s="222" t="s">
        <v>35</v>
      </c>
      <c r="B25" s="216">
        <f t="shared" si="6"/>
        <v>0</v>
      </c>
      <c r="C25" s="217"/>
      <c r="D25" s="217"/>
      <c r="E25" s="217"/>
      <c r="F25" s="217"/>
      <c r="G25" s="217"/>
      <c r="H25" s="217"/>
      <c r="I25" s="217"/>
      <c r="J25" s="217"/>
      <c r="K25" s="217"/>
      <c r="L25" s="217"/>
      <c r="M25" s="217"/>
      <c r="N25" s="217"/>
      <c r="O25" s="217"/>
      <c r="P25" s="217"/>
      <c r="Q25" s="217"/>
      <c r="R25" s="874">
        <f t="shared" si="7"/>
        <v>0</v>
      </c>
      <c r="S25" s="217"/>
      <c r="T25" s="217"/>
      <c r="U25" s="213"/>
    </row>
    <row r="26" spans="1:21" s="214" customFormat="1" ht="12">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29">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4">
        <f t="shared" si="7"/>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9">SUM(C29+D29)</f>
        <v>8602752</v>
      </c>
      <c r="C29" s="217">
        <v>8602752</v>
      </c>
      <c r="D29" s="217"/>
      <c r="E29" s="217">
        <f t="shared" ref="E29:E37" si="10">+B29-SUM(F29:Q29)</f>
        <v>8602752</v>
      </c>
      <c r="F29" s="217"/>
      <c r="G29" s="217"/>
      <c r="H29" s="217"/>
      <c r="I29" s="217"/>
      <c r="J29" s="217"/>
      <c r="K29" s="217"/>
      <c r="L29" s="217"/>
      <c r="M29" s="217"/>
      <c r="N29" s="217"/>
      <c r="O29" s="217"/>
      <c r="P29" s="217"/>
      <c r="Q29" s="217"/>
      <c r="R29" s="874">
        <f t="shared" ref="R29:R37" si="11">SUM(E29:Q29)</f>
        <v>8602752</v>
      </c>
      <c r="S29" s="217">
        <f t="shared" ref="S29:S37" si="12">+B29</f>
        <v>8602752</v>
      </c>
      <c r="T29" s="217"/>
      <c r="U29" s="213"/>
    </row>
    <row r="30" spans="1:21" s="214" customFormat="1">
      <c r="A30" s="215" t="s">
        <v>634</v>
      </c>
      <c r="B30" s="216">
        <f t="shared" si="9"/>
        <v>51195566</v>
      </c>
      <c r="C30" s="217">
        <v>51195566</v>
      </c>
      <c r="D30" s="217"/>
      <c r="E30" s="217">
        <f t="shared" si="10"/>
        <v>25521566</v>
      </c>
      <c r="F30" s="217">
        <f>+F108</f>
        <v>10674000</v>
      </c>
      <c r="G30" s="217">
        <f t="shared" ref="G30:H30" si="13">+G108</f>
        <v>5000000</v>
      </c>
      <c r="H30" s="217">
        <f t="shared" si="13"/>
        <v>10000000</v>
      </c>
      <c r="I30" s="217"/>
      <c r="J30" s="217"/>
      <c r="K30" s="217"/>
      <c r="L30" s="217"/>
      <c r="M30" s="217"/>
      <c r="N30" s="217"/>
      <c r="O30" s="217"/>
      <c r="P30" s="217"/>
      <c r="Q30" s="217"/>
      <c r="R30" s="874">
        <f t="shared" si="11"/>
        <v>51195566</v>
      </c>
      <c r="S30" s="217">
        <f t="shared" si="12"/>
        <v>51195566</v>
      </c>
      <c r="T30" s="217"/>
      <c r="U30" s="213"/>
    </row>
    <row r="31" spans="1:21" s="214" customFormat="1">
      <c r="A31" s="215" t="s">
        <v>635</v>
      </c>
      <c r="B31" s="216">
        <f t="shared" si="9"/>
        <v>1710160</v>
      </c>
      <c r="C31" s="217">
        <v>1710160</v>
      </c>
      <c r="D31" s="217"/>
      <c r="E31" s="217">
        <f t="shared" si="10"/>
        <v>1710160</v>
      </c>
      <c r="F31" s="217"/>
      <c r="G31" s="217"/>
      <c r="H31" s="217"/>
      <c r="I31" s="217"/>
      <c r="J31" s="217"/>
      <c r="K31" s="217"/>
      <c r="L31" s="217"/>
      <c r="M31" s="217"/>
      <c r="N31" s="217"/>
      <c r="O31" s="217"/>
      <c r="P31" s="217"/>
      <c r="Q31" s="217"/>
      <c r="R31" s="874">
        <f t="shared" si="11"/>
        <v>1710160</v>
      </c>
      <c r="S31" s="217">
        <f t="shared" si="12"/>
        <v>1710160</v>
      </c>
      <c r="T31" s="217"/>
      <c r="U31" s="213"/>
    </row>
    <row r="32" spans="1:21" s="214" customFormat="1">
      <c r="A32" s="215" t="s">
        <v>142</v>
      </c>
      <c r="B32" s="216">
        <f t="shared" si="9"/>
        <v>3416720</v>
      </c>
      <c r="C32" s="217">
        <v>3416720</v>
      </c>
      <c r="D32" s="217"/>
      <c r="E32" s="217">
        <f t="shared" si="10"/>
        <v>3416720</v>
      </c>
      <c r="F32" s="217"/>
      <c r="G32" s="217"/>
      <c r="H32" s="217"/>
      <c r="I32" s="217"/>
      <c r="J32" s="217"/>
      <c r="K32" s="217"/>
      <c r="L32" s="217"/>
      <c r="M32" s="217"/>
      <c r="N32" s="217"/>
      <c r="O32" s="217"/>
      <c r="P32" s="217"/>
      <c r="Q32" s="217"/>
      <c r="R32" s="874">
        <f t="shared" si="11"/>
        <v>3416720</v>
      </c>
      <c r="S32" s="217">
        <f t="shared" si="12"/>
        <v>3416720</v>
      </c>
      <c r="T32" s="217"/>
      <c r="U32" s="213"/>
    </row>
    <row r="33" spans="1:21" s="214" customFormat="1">
      <c r="A33" s="215" t="s">
        <v>143</v>
      </c>
      <c r="B33" s="216">
        <f t="shared" si="9"/>
        <v>0</v>
      </c>
      <c r="C33" s="217"/>
      <c r="D33" s="217"/>
      <c r="E33" s="217">
        <f t="shared" si="10"/>
        <v>0</v>
      </c>
      <c r="F33" s="217"/>
      <c r="G33" s="217"/>
      <c r="H33" s="217"/>
      <c r="I33" s="217"/>
      <c r="J33" s="217"/>
      <c r="K33" s="217"/>
      <c r="L33" s="217"/>
      <c r="M33" s="217"/>
      <c r="N33" s="217"/>
      <c r="O33" s="217"/>
      <c r="P33" s="217"/>
      <c r="Q33" s="217"/>
      <c r="R33" s="874">
        <f t="shared" si="11"/>
        <v>0</v>
      </c>
      <c r="S33" s="217">
        <f t="shared" si="12"/>
        <v>0</v>
      </c>
      <c r="T33" s="217"/>
      <c r="U33" s="213"/>
    </row>
    <row r="34" spans="1:21" s="214" customFormat="1">
      <c r="A34" s="215" t="s">
        <v>144</v>
      </c>
      <c r="B34" s="216">
        <f t="shared" si="9"/>
        <v>0</v>
      </c>
      <c r="C34" s="217"/>
      <c r="D34" s="217"/>
      <c r="E34" s="217">
        <f t="shared" si="10"/>
        <v>0</v>
      </c>
      <c r="F34" s="217"/>
      <c r="G34" s="217"/>
      <c r="H34" s="217"/>
      <c r="I34" s="217"/>
      <c r="J34" s="217"/>
      <c r="K34" s="217"/>
      <c r="L34" s="217"/>
      <c r="M34" s="217"/>
      <c r="N34" s="217"/>
      <c r="O34" s="217"/>
      <c r="P34" s="217"/>
      <c r="Q34" s="217"/>
      <c r="R34" s="874">
        <f t="shared" si="11"/>
        <v>0</v>
      </c>
      <c r="S34" s="217">
        <f t="shared" si="12"/>
        <v>0</v>
      </c>
      <c r="T34" s="217"/>
      <c r="U34" s="213"/>
    </row>
    <row r="35" spans="1:21" s="214" customFormat="1">
      <c r="A35" s="215" t="s">
        <v>145</v>
      </c>
      <c r="B35" s="216">
        <f t="shared" si="9"/>
        <v>1088188</v>
      </c>
      <c r="C35" s="217">
        <v>1088188</v>
      </c>
      <c r="D35" s="217"/>
      <c r="E35" s="217">
        <f t="shared" si="10"/>
        <v>1088188</v>
      </c>
      <c r="F35" s="217"/>
      <c r="G35" s="217"/>
      <c r="H35" s="217"/>
      <c r="I35" s="217"/>
      <c r="J35" s="217"/>
      <c r="K35" s="217"/>
      <c r="L35" s="217"/>
      <c r="M35" s="217"/>
      <c r="N35" s="217"/>
      <c r="O35" s="217"/>
      <c r="P35" s="217"/>
      <c r="Q35" s="217"/>
      <c r="R35" s="874">
        <f t="shared" si="11"/>
        <v>1088188</v>
      </c>
      <c r="S35" s="217">
        <f t="shared" si="12"/>
        <v>1088188</v>
      </c>
      <c r="T35" s="217"/>
      <c r="U35" s="213"/>
    </row>
    <row r="36" spans="1:21" s="214" customFormat="1">
      <c r="A36" s="1793" t="s">
        <v>1992</v>
      </c>
      <c r="B36" s="216">
        <f t="shared" si="9"/>
        <v>0</v>
      </c>
      <c r="C36" s="217"/>
      <c r="D36" s="217"/>
      <c r="E36" s="217">
        <f t="shared" si="10"/>
        <v>0</v>
      </c>
      <c r="F36" s="217"/>
      <c r="G36" s="217"/>
      <c r="H36" s="217"/>
      <c r="I36" s="217"/>
      <c r="J36" s="217"/>
      <c r="K36" s="217"/>
      <c r="L36" s="217"/>
      <c r="M36" s="217"/>
      <c r="N36" s="217"/>
      <c r="O36" s="217"/>
      <c r="P36" s="217"/>
      <c r="Q36" s="217"/>
      <c r="R36" s="874">
        <f t="shared" si="11"/>
        <v>0</v>
      </c>
      <c r="S36" s="217">
        <f t="shared" si="12"/>
        <v>0</v>
      </c>
      <c r="T36" s="217"/>
      <c r="U36" s="213"/>
    </row>
    <row r="37" spans="1:21" s="214" customFormat="1">
      <c r="A37" s="222" t="s">
        <v>35</v>
      </c>
      <c r="B37" s="216">
        <f t="shared" si="9"/>
        <v>0</v>
      </c>
      <c r="C37" s="217"/>
      <c r="D37" s="217"/>
      <c r="E37" s="217">
        <f t="shared" si="10"/>
        <v>0</v>
      </c>
      <c r="F37" s="217"/>
      <c r="G37" s="217"/>
      <c r="H37" s="217"/>
      <c r="I37" s="217"/>
      <c r="J37" s="217"/>
      <c r="K37" s="217"/>
      <c r="L37" s="217"/>
      <c r="M37" s="217"/>
      <c r="N37" s="217"/>
      <c r="O37" s="217"/>
      <c r="P37" s="217"/>
      <c r="Q37" s="217"/>
      <c r="R37" s="874">
        <f t="shared" si="11"/>
        <v>0</v>
      </c>
      <c r="S37" s="217">
        <f t="shared" si="12"/>
        <v>0</v>
      </c>
      <c r="T37" s="217"/>
      <c r="U37" s="213"/>
    </row>
    <row r="38" spans="1:21" s="214" customFormat="1" ht="12">
      <c r="A38" s="219" t="s">
        <v>148</v>
      </c>
      <c r="B38" s="216">
        <f t="shared" si="9"/>
        <v>66013386</v>
      </c>
      <c r="C38" s="216">
        <f>SUM(C29:C37)</f>
        <v>66013386</v>
      </c>
      <c r="D38" s="216">
        <f t="shared" ref="D38:Q38" si="14">SUM(D29:D37)</f>
        <v>0</v>
      </c>
      <c r="E38" s="216">
        <f t="shared" si="14"/>
        <v>40339386</v>
      </c>
      <c r="F38" s="216">
        <f t="shared" si="14"/>
        <v>10674000</v>
      </c>
      <c r="G38" s="216">
        <f t="shared" si="14"/>
        <v>5000000</v>
      </c>
      <c r="H38" s="216">
        <f t="shared" si="14"/>
        <v>10000000</v>
      </c>
      <c r="I38" s="216">
        <f t="shared" si="14"/>
        <v>0</v>
      </c>
      <c r="J38" s="216">
        <f t="shared" si="14"/>
        <v>0</v>
      </c>
      <c r="K38" s="216">
        <f t="shared" si="14"/>
        <v>0</v>
      </c>
      <c r="L38" s="216">
        <f t="shared" si="14"/>
        <v>0</v>
      </c>
      <c r="M38" s="216">
        <f t="shared" si="14"/>
        <v>0</v>
      </c>
      <c r="N38" s="216">
        <f t="shared" si="14"/>
        <v>0</v>
      </c>
      <c r="O38" s="216">
        <f t="shared" si="14"/>
        <v>0</v>
      </c>
      <c r="P38" s="216">
        <f t="shared" si="14"/>
        <v>0</v>
      </c>
      <c r="Q38" s="216">
        <f t="shared" si="14"/>
        <v>0</v>
      </c>
      <c r="R38" s="529">
        <f>SUM(R29:R37)</f>
        <v>66013386</v>
      </c>
      <c r="S38" s="220">
        <f>SUM(S29:S37)</f>
        <v>66013386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2189964</v>
      </c>
      <c r="C40" s="217">
        <v>2189964</v>
      </c>
      <c r="D40" s="217"/>
      <c r="E40" s="217">
        <f t="shared" ref="E40:E41" si="15">+B40-SUM(F40:Q40)</f>
        <v>2189964</v>
      </c>
      <c r="F40" s="217"/>
      <c r="G40" s="217"/>
      <c r="H40" s="217"/>
      <c r="I40" s="217"/>
      <c r="J40" s="217"/>
      <c r="K40" s="217"/>
      <c r="L40" s="217"/>
      <c r="M40" s="217"/>
      <c r="N40" s="217"/>
      <c r="O40" s="217"/>
      <c r="P40" s="217"/>
      <c r="Q40" s="217"/>
      <c r="R40" s="874">
        <f>SUM(E40:Q40)</f>
        <v>2189964</v>
      </c>
      <c r="S40" s="217">
        <f t="shared" ref="S40:S41" si="16">+B40</f>
        <v>2189964</v>
      </c>
      <c r="T40" s="217"/>
      <c r="U40" s="213"/>
    </row>
    <row r="41" spans="1:21" s="214" customFormat="1">
      <c r="A41" s="215" t="s">
        <v>151</v>
      </c>
      <c r="B41" s="216">
        <f>SUM(C41+D41)</f>
        <v>0</v>
      </c>
      <c r="C41" s="217"/>
      <c r="D41" s="217"/>
      <c r="E41" s="217">
        <f t="shared" si="15"/>
        <v>0</v>
      </c>
      <c r="F41" s="217"/>
      <c r="G41" s="217"/>
      <c r="H41" s="217"/>
      <c r="I41" s="217"/>
      <c r="J41" s="217"/>
      <c r="K41" s="217"/>
      <c r="L41" s="217"/>
      <c r="M41" s="217"/>
      <c r="N41" s="217"/>
      <c r="O41" s="217"/>
      <c r="P41" s="217"/>
      <c r="Q41" s="217"/>
      <c r="R41" s="874">
        <f>SUM(E41:Q41)</f>
        <v>0</v>
      </c>
      <c r="S41" s="217">
        <f t="shared" si="16"/>
        <v>0</v>
      </c>
      <c r="T41" s="217"/>
      <c r="U41" s="213"/>
    </row>
    <row r="42" spans="1:21" s="214" customFormat="1" ht="12">
      <c r="A42" s="219" t="s">
        <v>152</v>
      </c>
      <c r="B42" s="216">
        <f>SUM(C42:D42)</f>
        <v>2189964</v>
      </c>
      <c r="C42" s="216">
        <f>SUM(C39:C41)</f>
        <v>2189964</v>
      </c>
      <c r="D42" s="216">
        <f>SUM(D39:D41)</f>
        <v>0</v>
      </c>
      <c r="E42" s="216">
        <f t="shared" ref="E42:T42" si="17">SUM(E40:E41)</f>
        <v>2189964</v>
      </c>
      <c r="F42" s="216">
        <f t="shared" si="17"/>
        <v>0</v>
      </c>
      <c r="G42" s="216">
        <f t="shared" si="17"/>
        <v>0</v>
      </c>
      <c r="H42" s="216">
        <f t="shared" si="17"/>
        <v>0</v>
      </c>
      <c r="I42" s="216">
        <f t="shared" si="17"/>
        <v>0</v>
      </c>
      <c r="J42" s="216">
        <f t="shared" si="17"/>
        <v>0</v>
      </c>
      <c r="K42" s="216">
        <f t="shared" si="17"/>
        <v>0</v>
      </c>
      <c r="L42" s="216">
        <f t="shared" si="17"/>
        <v>0</v>
      </c>
      <c r="M42" s="216">
        <f t="shared" si="17"/>
        <v>0</v>
      </c>
      <c r="N42" s="216">
        <f t="shared" si="17"/>
        <v>0</v>
      </c>
      <c r="O42" s="216">
        <f t="shared" si="17"/>
        <v>0</v>
      </c>
      <c r="P42" s="216">
        <f t="shared" si="17"/>
        <v>0</v>
      </c>
      <c r="Q42" s="216">
        <f t="shared" si="17"/>
        <v>0</v>
      </c>
      <c r="R42" s="529">
        <f>SUM(R40:R41)</f>
        <v>2189964</v>
      </c>
      <c r="S42" s="220">
        <f t="shared" si="17"/>
        <v>2189964</v>
      </c>
      <c r="T42" s="220">
        <f t="shared" si="17"/>
        <v>0</v>
      </c>
      <c r="U42" s="213"/>
    </row>
    <row r="43" spans="1:21" s="214" customFormat="1" ht="12">
      <c r="A43" s="219" t="s">
        <v>153</v>
      </c>
      <c r="B43" s="216">
        <f>SUM(C43:D43)</f>
        <v>300000</v>
      </c>
      <c r="C43" s="217">
        <v>300000</v>
      </c>
      <c r="D43" s="217"/>
      <c r="E43" s="217">
        <f>+B43-SUM(F43:Q43)</f>
        <v>300000</v>
      </c>
      <c r="F43" s="217"/>
      <c r="G43" s="217"/>
      <c r="H43" s="217"/>
      <c r="I43" s="217"/>
      <c r="J43" s="217"/>
      <c r="K43" s="217"/>
      <c r="L43" s="217"/>
      <c r="M43" s="217"/>
      <c r="N43" s="217"/>
      <c r="O43" s="217"/>
      <c r="P43" s="217"/>
      <c r="Q43" s="217"/>
      <c r="R43" s="874">
        <f>SUM(E43:Q43)</f>
        <v>300000</v>
      </c>
      <c r="S43" s="217">
        <f>+B43</f>
        <v>300000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8">SUM(C45+D45)</f>
        <v>3274051</v>
      </c>
      <c r="C45" s="217">
        <v>3274051</v>
      </c>
      <c r="D45" s="217"/>
      <c r="E45" s="217">
        <f t="shared" ref="E45:E53" si="19">+B45-SUM(F45:Q45)</f>
        <v>3274051</v>
      </c>
      <c r="F45" s="217"/>
      <c r="G45" s="217"/>
      <c r="H45" s="217"/>
      <c r="I45" s="217"/>
      <c r="J45" s="217"/>
      <c r="K45" s="217"/>
      <c r="L45" s="217"/>
      <c r="M45" s="217"/>
      <c r="N45" s="217"/>
      <c r="O45" s="217"/>
      <c r="P45" s="217"/>
      <c r="Q45" s="217"/>
      <c r="R45" s="874">
        <f t="shared" ref="R45:R53" si="20">SUM(E45:Q45)</f>
        <v>3274051</v>
      </c>
      <c r="S45" s="217">
        <v>1348733</v>
      </c>
      <c r="T45" s="217"/>
      <c r="U45" s="213"/>
    </row>
    <row r="46" spans="1:21" s="214" customFormat="1">
      <c r="A46" s="215" t="s">
        <v>156</v>
      </c>
      <c r="B46" s="216">
        <f t="shared" si="18"/>
        <v>487289</v>
      </c>
      <c r="C46" s="217">
        <v>487289</v>
      </c>
      <c r="D46" s="217"/>
      <c r="E46" s="217">
        <f t="shared" si="19"/>
        <v>487289</v>
      </c>
      <c r="F46" s="217"/>
      <c r="G46" s="217"/>
      <c r="H46" s="217"/>
      <c r="I46" s="217"/>
      <c r="J46" s="217"/>
      <c r="K46" s="217"/>
      <c r="L46" s="217"/>
      <c r="M46" s="217"/>
      <c r="N46" s="217"/>
      <c r="O46" s="217"/>
      <c r="P46" s="217"/>
      <c r="Q46" s="217"/>
      <c r="R46" s="874">
        <f t="shared" si="20"/>
        <v>487289</v>
      </c>
      <c r="S46" s="217">
        <v>78504</v>
      </c>
      <c r="T46" s="217"/>
      <c r="U46" s="213"/>
    </row>
    <row r="47" spans="1:21" s="214" customFormat="1">
      <c r="A47" s="297" t="s">
        <v>157</v>
      </c>
      <c r="B47" s="216">
        <f t="shared" si="18"/>
        <v>0</v>
      </c>
      <c r="C47" s="217"/>
      <c r="D47" s="217"/>
      <c r="E47" s="217">
        <f t="shared" si="19"/>
        <v>0</v>
      </c>
      <c r="F47" s="217"/>
      <c r="G47" s="217"/>
      <c r="H47" s="217"/>
      <c r="I47" s="217"/>
      <c r="J47" s="217"/>
      <c r="K47" s="217"/>
      <c r="L47" s="217"/>
      <c r="M47" s="217"/>
      <c r="N47" s="217"/>
      <c r="O47" s="217"/>
      <c r="P47" s="217"/>
      <c r="Q47" s="217"/>
      <c r="R47" s="874">
        <f t="shared" si="20"/>
        <v>0</v>
      </c>
      <c r="S47" s="217">
        <f t="shared" ref="S47:S52" si="21">+B47</f>
        <v>0</v>
      </c>
      <c r="T47" s="217"/>
      <c r="U47" s="213"/>
    </row>
    <row r="48" spans="1:21" s="214" customFormat="1">
      <c r="A48" s="215" t="s">
        <v>158</v>
      </c>
      <c r="B48" s="216">
        <f t="shared" si="18"/>
        <v>0</v>
      </c>
      <c r="C48" s="217"/>
      <c r="D48" s="217"/>
      <c r="E48" s="217">
        <f t="shared" si="19"/>
        <v>0</v>
      </c>
      <c r="F48" s="217"/>
      <c r="G48" s="217"/>
      <c r="H48" s="217"/>
      <c r="I48" s="217"/>
      <c r="J48" s="217"/>
      <c r="K48" s="217"/>
      <c r="L48" s="217"/>
      <c r="M48" s="217"/>
      <c r="N48" s="217"/>
      <c r="O48" s="217"/>
      <c r="P48" s="217"/>
      <c r="Q48" s="217"/>
      <c r="R48" s="874">
        <f t="shared" si="20"/>
        <v>0</v>
      </c>
      <c r="S48" s="217">
        <f t="shared" si="21"/>
        <v>0</v>
      </c>
      <c r="T48" s="217"/>
      <c r="U48" s="213"/>
    </row>
    <row r="49" spans="1:21" s="214" customFormat="1">
      <c r="A49" s="215" t="s">
        <v>60</v>
      </c>
      <c r="B49" s="216">
        <f t="shared" si="18"/>
        <v>207285</v>
      </c>
      <c r="C49" s="217">
        <v>207285</v>
      </c>
      <c r="D49" s="217"/>
      <c r="E49" s="217">
        <f t="shared" si="19"/>
        <v>207285</v>
      </c>
      <c r="F49" s="217"/>
      <c r="G49" s="217"/>
      <c r="H49" s="217"/>
      <c r="I49" s="217"/>
      <c r="J49" s="217"/>
      <c r="K49" s="217"/>
      <c r="L49" s="217"/>
      <c r="M49" s="217"/>
      <c r="N49" s="217"/>
      <c r="O49" s="217"/>
      <c r="P49" s="217"/>
      <c r="Q49" s="217"/>
      <c r="R49" s="874">
        <f t="shared" si="20"/>
        <v>207285</v>
      </c>
      <c r="S49" s="217"/>
      <c r="T49" s="217"/>
      <c r="U49" s="213"/>
    </row>
    <row r="50" spans="1:21" s="214" customFormat="1">
      <c r="A50" s="215" t="s">
        <v>161</v>
      </c>
      <c r="B50" s="216">
        <f t="shared" si="18"/>
        <v>30000</v>
      </c>
      <c r="C50" s="217">
        <v>30000</v>
      </c>
      <c r="D50" s="217"/>
      <c r="E50" s="217">
        <f t="shared" si="19"/>
        <v>30000</v>
      </c>
      <c r="F50" s="217"/>
      <c r="G50" s="217"/>
      <c r="H50" s="217"/>
      <c r="I50" s="217"/>
      <c r="J50" s="217"/>
      <c r="K50" s="217"/>
      <c r="L50" s="217"/>
      <c r="M50" s="217"/>
      <c r="N50" s="217"/>
      <c r="O50" s="217"/>
      <c r="P50" s="217"/>
      <c r="Q50" s="217"/>
      <c r="R50" s="874">
        <f t="shared" si="20"/>
        <v>30000</v>
      </c>
      <c r="S50" s="217">
        <f t="shared" si="21"/>
        <v>30000</v>
      </c>
      <c r="T50" s="217"/>
      <c r="U50" s="213"/>
    </row>
    <row r="51" spans="1:21" s="214" customFormat="1">
      <c r="A51" s="435" t="s">
        <v>159</v>
      </c>
      <c r="B51" s="216">
        <f t="shared" si="18"/>
        <v>84844</v>
      </c>
      <c r="C51" s="217">
        <v>84844</v>
      </c>
      <c r="D51" s="217"/>
      <c r="E51" s="217">
        <f t="shared" si="19"/>
        <v>84844</v>
      </c>
      <c r="F51" s="217"/>
      <c r="G51" s="217"/>
      <c r="H51" s="217"/>
      <c r="I51" s="217"/>
      <c r="J51" s="217"/>
      <c r="K51" s="217"/>
      <c r="L51" s="217"/>
      <c r="M51" s="217"/>
      <c r="N51" s="217"/>
      <c r="O51" s="217"/>
      <c r="P51" s="217"/>
      <c r="Q51" s="217"/>
      <c r="R51" s="874">
        <f t="shared" si="20"/>
        <v>84844</v>
      </c>
      <c r="S51" s="217">
        <f t="shared" si="21"/>
        <v>84844</v>
      </c>
      <c r="T51" s="217"/>
      <c r="U51" s="213"/>
    </row>
    <row r="52" spans="1:21" s="214" customFormat="1">
      <c r="A52" s="215" t="s">
        <v>160</v>
      </c>
      <c r="B52" s="216">
        <f t="shared" si="18"/>
        <v>290228</v>
      </c>
      <c r="C52" s="217">
        <v>290228</v>
      </c>
      <c r="D52" s="217"/>
      <c r="E52" s="217">
        <f t="shared" si="19"/>
        <v>290228</v>
      </c>
      <c r="F52" s="217"/>
      <c r="G52" s="217"/>
      <c r="H52" s="217"/>
      <c r="I52" s="217"/>
      <c r="J52" s="217"/>
      <c r="K52" s="217"/>
      <c r="L52" s="217"/>
      <c r="M52" s="217"/>
      <c r="N52" s="217"/>
      <c r="O52" s="217"/>
      <c r="P52" s="217"/>
      <c r="Q52" s="217"/>
      <c r="R52" s="874">
        <f t="shared" si="20"/>
        <v>290228</v>
      </c>
      <c r="S52" s="217">
        <f t="shared" si="21"/>
        <v>290228</v>
      </c>
      <c r="T52" s="217"/>
      <c r="U52" s="213"/>
    </row>
    <row r="53" spans="1:21" s="214" customFormat="1">
      <c r="A53" s="1841" t="s">
        <v>2629</v>
      </c>
      <c r="B53" s="216">
        <f t="shared" si="18"/>
        <v>500622</v>
      </c>
      <c r="C53" s="217">
        <f>+Application!AO641</f>
        <v>500622</v>
      </c>
      <c r="D53" s="217"/>
      <c r="E53" s="217">
        <f t="shared" si="19"/>
        <v>0</v>
      </c>
      <c r="F53" s="217"/>
      <c r="G53" s="217"/>
      <c r="H53" s="217"/>
      <c r="I53" s="217"/>
      <c r="J53" s="217">
        <f>+J108</f>
        <v>500622</v>
      </c>
      <c r="K53" s="217"/>
      <c r="L53" s="217"/>
      <c r="M53" s="217"/>
      <c r="N53" s="217"/>
      <c r="O53" s="217"/>
      <c r="P53" s="217"/>
      <c r="Q53" s="217"/>
      <c r="R53" s="874">
        <f t="shared" si="20"/>
        <v>500622</v>
      </c>
      <c r="S53" s="217">
        <v>271581</v>
      </c>
      <c r="T53" s="217"/>
      <c r="U53" s="213"/>
    </row>
    <row r="54" spans="1:21" s="224" customFormat="1" ht="12">
      <c r="A54" s="219" t="s">
        <v>162</v>
      </c>
      <c r="B54" s="220">
        <f>SUM(C54:D54)</f>
        <v>4874319</v>
      </c>
      <c r="C54" s="220">
        <f t="shared" ref="C54:T54" si="22">SUM(C45:C53)</f>
        <v>4874319</v>
      </c>
      <c r="D54" s="220">
        <f t="shared" si="22"/>
        <v>0</v>
      </c>
      <c r="E54" s="220">
        <f t="shared" si="22"/>
        <v>4373697</v>
      </c>
      <c r="F54" s="220">
        <f t="shared" si="22"/>
        <v>0</v>
      </c>
      <c r="G54" s="220">
        <f t="shared" si="22"/>
        <v>0</v>
      </c>
      <c r="H54" s="220">
        <f t="shared" si="22"/>
        <v>0</v>
      </c>
      <c r="I54" s="220">
        <f t="shared" si="22"/>
        <v>0</v>
      </c>
      <c r="J54" s="220">
        <f t="shared" si="22"/>
        <v>500622</v>
      </c>
      <c r="K54" s="220">
        <f t="shared" si="22"/>
        <v>0</v>
      </c>
      <c r="L54" s="220">
        <f t="shared" si="22"/>
        <v>0</v>
      </c>
      <c r="M54" s="220">
        <f t="shared" si="22"/>
        <v>0</v>
      </c>
      <c r="N54" s="220">
        <f t="shared" si="22"/>
        <v>0</v>
      </c>
      <c r="O54" s="220">
        <f t="shared" si="22"/>
        <v>0</v>
      </c>
      <c r="P54" s="220">
        <f t="shared" si="22"/>
        <v>0</v>
      </c>
      <c r="Q54" s="220">
        <f t="shared" si="22"/>
        <v>0</v>
      </c>
      <c r="R54" s="529">
        <f t="shared" si="22"/>
        <v>4874319</v>
      </c>
      <c r="S54" s="220">
        <f t="shared" si="22"/>
        <v>2103890</v>
      </c>
      <c r="T54" s="220">
        <f t="shared" si="2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3">SUM(C56+D56)</f>
        <v>106740</v>
      </c>
      <c r="C56" s="217">
        <v>106740</v>
      </c>
      <c r="D56" s="217"/>
      <c r="E56" s="217">
        <f t="shared" ref="E56:E61" si="24">+B56-SUM(F56:Q56)</f>
        <v>106740</v>
      </c>
      <c r="F56" s="217"/>
      <c r="G56" s="217"/>
      <c r="H56" s="217"/>
      <c r="I56" s="217"/>
      <c r="J56" s="217"/>
      <c r="K56" s="217"/>
      <c r="L56" s="217"/>
      <c r="M56" s="217"/>
      <c r="N56" s="217"/>
      <c r="O56" s="217"/>
      <c r="P56" s="217"/>
      <c r="Q56" s="217"/>
      <c r="R56" s="874">
        <f t="shared" ref="R56:R61" si="25">SUM(E56:Q56)</f>
        <v>106740</v>
      </c>
      <c r="S56" s="218"/>
      <c r="T56" s="218"/>
      <c r="U56" s="213"/>
    </row>
    <row r="57" spans="1:21" s="303" customFormat="1">
      <c r="A57" s="297" t="s">
        <v>157</v>
      </c>
      <c r="B57" s="304">
        <f t="shared" si="23"/>
        <v>0</v>
      </c>
      <c r="C57" s="301"/>
      <c r="D57" s="301"/>
      <c r="E57" s="217">
        <f t="shared" si="24"/>
        <v>0</v>
      </c>
      <c r="F57" s="301"/>
      <c r="G57" s="301"/>
      <c r="H57" s="301"/>
      <c r="I57" s="301"/>
      <c r="J57" s="301"/>
      <c r="K57" s="301"/>
      <c r="L57" s="301"/>
      <c r="M57" s="301"/>
      <c r="N57" s="301"/>
      <c r="O57" s="301"/>
      <c r="P57" s="301"/>
      <c r="Q57" s="301"/>
      <c r="R57" s="874">
        <f t="shared" si="25"/>
        <v>0</v>
      </c>
      <c r="S57" s="305"/>
      <c r="T57" s="305"/>
      <c r="U57" s="302"/>
    </row>
    <row r="58" spans="1:21" s="214" customFormat="1">
      <c r="A58" s="215" t="s">
        <v>161</v>
      </c>
      <c r="B58" s="216">
        <f t="shared" si="23"/>
        <v>25000</v>
      </c>
      <c r="C58" s="217">
        <v>25000</v>
      </c>
      <c r="D58" s="217"/>
      <c r="E58" s="217">
        <f t="shared" si="24"/>
        <v>25000</v>
      </c>
      <c r="F58" s="217"/>
      <c r="G58" s="217"/>
      <c r="H58" s="217"/>
      <c r="I58" s="217"/>
      <c r="J58" s="217"/>
      <c r="K58" s="217"/>
      <c r="L58" s="217"/>
      <c r="M58" s="217"/>
      <c r="N58" s="217"/>
      <c r="O58" s="217"/>
      <c r="P58" s="217"/>
      <c r="Q58" s="217"/>
      <c r="R58" s="874">
        <f t="shared" si="25"/>
        <v>25000</v>
      </c>
      <c r="S58" s="218"/>
      <c r="T58" s="218"/>
      <c r="U58" s="213"/>
    </row>
    <row r="59" spans="1:21" s="214" customFormat="1">
      <c r="A59" s="435" t="s">
        <v>159</v>
      </c>
      <c r="B59" s="216">
        <f t="shared" si="23"/>
        <v>0</v>
      </c>
      <c r="C59" s="217"/>
      <c r="D59" s="217"/>
      <c r="E59" s="217">
        <f t="shared" si="24"/>
        <v>0</v>
      </c>
      <c r="F59" s="217"/>
      <c r="G59" s="217"/>
      <c r="H59" s="217"/>
      <c r="I59" s="217"/>
      <c r="J59" s="217"/>
      <c r="K59" s="217"/>
      <c r="L59" s="217"/>
      <c r="M59" s="217"/>
      <c r="N59" s="217"/>
      <c r="O59" s="217"/>
      <c r="P59" s="217"/>
      <c r="Q59" s="217"/>
      <c r="R59" s="874">
        <f t="shared" si="25"/>
        <v>0</v>
      </c>
      <c r="S59" s="218"/>
      <c r="T59" s="218"/>
      <c r="U59" s="213"/>
    </row>
    <row r="60" spans="1:21" s="214" customFormat="1">
      <c r="A60" s="215" t="s">
        <v>160</v>
      </c>
      <c r="B60" s="216">
        <f t="shared" si="23"/>
        <v>0</v>
      </c>
      <c r="C60" s="217"/>
      <c r="D60" s="217"/>
      <c r="E60" s="217">
        <f t="shared" si="24"/>
        <v>0</v>
      </c>
      <c r="F60" s="217"/>
      <c r="G60" s="217"/>
      <c r="H60" s="217"/>
      <c r="I60" s="217"/>
      <c r="J60" s="217"/>
      <c r="K60" s="217"/>
      <c r="L60" s="217"/>
      <c r="M60" s="217"/>
      <c r="N60" s="217"/>
      <c r="O60" s="217"/>
      <c r="P60" s="217"/>
      <c r="Q60" s="217"/>
      <c r="R60" s="874">
        <f t="shared" si="25"/>
        <v>0</v>
      </c>
      <c r="S60" s="218"/>
      <c r="T60" s="218"/>
      <c r="U60" s="213"/>
    </row>
    <row r="61" spans="1:21" s="214" customFormat="1">
      <c r="A61" s="1841" t="s">
        <v>2630</v>
      </c>
      <c r="B61" s="216">
        <f t="shared" si="23"/>
        <v>85000</v>
      </c>
      <c r="C61" s="217">
        <v>85000</v>
      </c>
      <c r="D61" s="217"/>
      <c r="E61" s="217">
        <f t="shared" si="24"/>
        <v>85000</v>
      </c>
      <c r="F61" s="217"/>
      <c r="G61" s="217"/>
      <c r="H61" s="217"/>
      <c r="I61" s="217"/>
      <c r="J61" s="217"/>
      <c r="K61" s="217"/>
      <c r="L61" s="217"/>
      <c r="M61" s="217"/>
      <c r="N61" s="217"/>
      <c r="O61" s="217"/>
      <c r="P61" s="217"/>
      <c r="Q61" s="217"/>
      <c r="R61" s="874">
        <f t="shared" si="25"/>
        <v>85000</v>
      </c>
      <c r="S61" s="218"/>
      <c r="T61" s="218"/>
      <c r="U61" s="213"/>
    </row>
    <row r="62" spans="1:21" s="214" customFormat="1" ht="13.8" customHeight="1">
      <c r="A62" s="219" t="s">
        <v>309</v>
      </c>
      <c r="B62" s="216">
        <f>SUM(C62:D62)</f>
        <v>216740</v>
      </c>
      <c r="C62" s="216">
        <f t="shared" ref="C62:R62" si="26">SUM(C56:C61)</f>
        <v>216740</v>
      </c>
      <c r="D62" s="216">
        <f t="shared" si="26"/>
        <v>0</v>
      </c>
      <c r="E62" s="216">
        <f t="shared" si="26"/>
        <v>216740</v>
      </c>
      <c r="F62" s="216">
        <f t="shared" si="26"/>
        <v>0</v>
      </c>
      <c r="G62" s="216">
        <f t="shared" si="26"/>
        <v>0</v>
      </c>
      <c r="H62" s="216">
        <f t="shared" si="26"/>
        <v>0</v>
      </c>
      <c r="I62" s="216">
        <f t="shared" si="26"/>
        <v>0</v>
      </c>
      <c r="J62" s="216">
        <f t="shared" si="26"/>
        <v>0</v>
      </c>
      <c r="K62" s="216">
        <f t="shared" si="26"/>
        <v>0</v>
      </c>
      <c r="L62" s="216">
        <f t="shared" si="26"/>
        <v>0</v>
      </c>
      <c r="M62" s="216">
        <f t="shared" si="26"/>
        <v>0</v>
      </c>
      <c r="N62" s="216">
        <f t="shared" si="26"/>
        <v>0</v>
      </c>
      <c r="O62" s="216">
        <f t="shared" si="26"/>
        <v>0</v>
      </c>
      <c r="P62" s="216">
        <f t="shared" si="26"/>
        <v>0</v>
      </c>
      <c r="Q62" s="216">
        <f t="shared" si="26"/>
        <v>0</v>
      </c>
      <c r="R62" s="529">
        <f t="shared" si="26"/>
        <v>216740</v>
      </c>
      <c r="S62" s="218"/>
      <c r="T62" s="218"/>
      <c r="U62" s="213"/>
    </row>
    <row r="63" spans="1:21" s="214" customFormat="1">
      <c r="A63" s="225" t="s">
        <v>310</v>
      </c>
      <c r="B63" s="216">
        <f t="shared" ref="B63:R63" si="27">SUM(B8+B11+B13+B14+B15+B26+B27+B38+B42+B43+B54+B62)</f>
        <v>78311684</v>
      </c>
      <c r="C63" s="216">
        <f t="shared" si="27"/>
        <v>78311684</v>
      </c>
      <c r="D63" s="216">
        <f t="shared" si="27"/>
        <v>0</v>
      </c>
      <c r="E63" s="216">
        <f t="shared" si="27"/>
        <v>52137062</v>
      </c>
      <c r="F63" s="216">
        <f t="shared" si="27"/>
        <v>10674000</v>
      </c>
      <c r="G63" s="216">
        <f t="shared" si="27"/>
        <v>5000000</v>
      </c>
      <c r="H63" s="216">
        <f t="shared" si="27"/>
        <v>10000000</v>
      </c>
      <c r="I63" s="216">
        <f t="shared" si="27"/>
        <v>0</v>
      </c>
      <c r="J63" s="216">
        <f t="shared" si="27"/>
        <v>500622</v>
      </c>
      <c r="K63" s="216">
        <f t="shared" si="27"/>
        <v>0</v>
      </c>
      <c r="L63" s="216">
        <f t="shared" si="27"/>
        <v>0</v>
      </c>
      <c r="M63" s="216">
        <f t="shared" si="27"/>
        <v>0</v>
      </c>
      <c r="N63" s="216">
        <f t="shared" si="27"/>
        <v>0</v>
      </c>
      <c r="O63" s="216">
        <f t="shared" si="27"/>
        <v>0</v>
      </c>
      <c r="P63" s="216">
        <f t="shared" si="27"/>
        <v>0</v>
      </c>
      <c r="Q63" s="216">
        <f t="shared" si="27"/>
        <v>0</v>
      </c>
      <c r="R63" s="529">
        <f t="shared" si="27"/>
        <v>78311684</v>
      </c>
      <c r="S63" s="216">
        <f>SUM(S10+S13+S14+S15+S26+S27+S38+S42+S43+S54)</f>
        <v>70657240</v>
      </c>
      <c r="T63" s="216">
        <f>SUM(T11+T13+T14+T15+T26+T27+T38+T42+T43+T54)</f>
        <v>0</v>
      </c>
      <c r="U63" s="213"/>
    </row>
    <row r="64" spans="1:21" s="214" customFormat="1" ht="22.8">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217">
        <v>65000</v>
      </c>
      <c r="D65" s="217"/>
      <c r="E65" s="217">
        <f t="shared" ref="E65:E69" si="28">+B65-SUM(F65:Q65)</f>
        <v>65000</v>
      </c>
      <c r="F65" s="217"/>
      <c r="G65" s="217"/>
      <c r="H65" s="217"/>
      <c r="I65" s="217"/>
      <c r="J65" s="217"/>
      <c r="K65" s="217"/>
      <c r="L65" s="217"/>
      <c r="M65" s="217"/>
      <c r="N65" s="217"/>
      <c r="O65" s="217"/>
      <c r="P65" s="217"/>
      <c r="Q65" s="217"/>
      <c r="R65" s="874">
        <f>SUM(E65:Q65)</f>
        <v>65000</v>
      </c>
      <c r="S65" s="217">
        <v>10472</v>
      </c>
      <c r="T65" s="217"/>
      <c r="U65" s="213"/>
    </row>
    <row r="66" spans="1:21" s="214" customFormat="1" ht="24" customHeight="1">
      <c r="A66" s="435" t="s">
        <v>1993</v>
      </c>
      <c r="B66" s="216">
        <f t="shared" ref="B66:B69" si="29">SUM(C66+D66)</f>
        <v>0</v>
      </c>
      <c r="C66" s="217"/>
      <c r="D66" s="217"/>
      <c r="E66" s="217">
        <f t="shared" si="28"/>
        <v>0</v>
      </c>
      <c r="F66" s="217"/>
      <c r="G66" s="217"/>
      <c r="H66" s="217"/>
      <c r="I66" s="217"/>
      <c r="J66" s="217"/>
      <c r="K66" s="217"/>
      <c r="L66" s="217"/>
      <c r="M66" s="217"/>
      <c r="N66" s="217"/>
      <c r="O66" s="217"/>
      <c r="P66" s="217"/>
      <c r="Q66" s="217"/>
      <c r="R66" s="874">
        <f t="shared" ref="R66:R68" si="30">SUM(E66:Q66)</f>
        <v>0</v>
      </c>
      <c r="S66" s="217">
        <f t="shared" ref="S66:S69" si="31">+B66</f>
        <v>0</v>
      </c>
      <c r="T66" s="217"/>
      <c r="U66" s="213"/>
    </row>
    <row r="67" spans="1:21" s="214" customFormat="1" ht="24" customHeight="1">
      <c r="A67" s="435" t="s">
        <v>1994</v>
      </c>
      <c r="B67" s="216">
        <f t="shared" si="29"/>
        <v>0</v>
      </c>
      <c r="C67" s="217"/>
      <c r="D67" s="217"/>
      <c r="E67" s="217">
        <f t="shared" si="28"/>
        <v>0</v>
      </c>
      <c r="F67" s="217"/>
      <c r="G67" s="217"/>
      <c r="H67" s="217"/>
      <c r="I67" s="217"/>
      <c r="J67" s="217"/>
      <c r="K67" s="217"/>
      <c r="L67" s="217"/>
      <c r="M67" s="217"/>
      <c r="N67" s="217"/>
      <c r="O67" s="217"/>
      <c r="P67" s="217"/>
      <c r="Q67" s="217"/>
      <c r="R67" s="874">
        <f t="shared" si="30"/>
        <v>0</v>
      </c>
      <c r="S67" s="217">
        <f t="shared" si="31"/>
        <v>0</v>
      </c>
      <c r="T67" s="217"/>
      <c r="U67" s="213"/>
    </row>
    <row r="68" spans="1:21" s="214" customFormat="1" ht="12" customHeight="1">
      <c r="A68" s="435" t="s">
        <v>2000</v>
      </c>
      <c r="B68" s="216">
        <f t="shared" si="29"/>
        <v>0</v>
      </c>
      <c r="C68" s="217"/>
      <c r="D68" s="217"/>
      <c r="E68" s="217">
        <f t="shared" si="28"/>
        <v>0</v>
      </c>
      <c r="F68" s="217"/>
      <c r="G68" s="217"/>
      <c r="H68" s="217"/>
      <c r="I68" s="217"/>
      <c r="J68" s="217"/>
      <c r="K68" s="217"/>
      <c r="L68" s="217"/>
      <c r="M68" s="217"/>
      <c r="N68" s="217"/>
      <c r="O68" s="217"/>
      <c r="P68" s="217"/>
      <c r="Q68" s="217"/>
      <c r="R68" s="874">
        <f t="shared" si="30"/>
        <v>0</v>
      </c>
      <c r="S68" s="217">
        <f t="shared" si="31"/>
        <v>0</v>
      </c>
      <c r="T68" s="217"/>
      <c r="U68" s="213"/>
    </row>
    <row r="69" spans="1:21" s="214" customFormat="1">
      <c r="A69" s="1841" t="s">
        <v>2631</v>
      </c>
      <c r="B69" s="216">
        <f t="shared" si="29"/>
        <v>35000</v>
      </c>
      <c r="C69" s="217">
        <v>35000</v>
      </c>
      <c r="D69" s="217"/>
      <c r="E69" s="217">
        <f t="shared" si="28"/>
        <v>35000</v>
      </c>
      <c r="F69" s="217"/>
      <c r="G69" s="217"/>
      <c r="H69" s="217"/>
      <c r="I69" s="217"/>
      <c r="J69" s="217"/>
      <c r="K69" s="217"/>
      <c r="L69" s="217"/>
      <c r="M69" s="217"/>
      <c r="N69" s="217"/>
      <c r="O69" s="217"/>
      <c r="P69" s="217"/>
      <c r="Q69" s="217"/>
      <c r="R69" s="874">
        <f>SUM(E69:Q69)</f>
        <v>35000</v>
      </c>
      <c r="S69" s="217">
        <f t="shared" si="31"/>
        <v>35000</v>
      </c>
      <c r="T69" s="217"/>
      <c r="U69" s="213"/>
    </row>
    <row r="70" spans="1:21" s="214" customFormat="1" ht="12">
      <c r="A70" s="219" t="s">
        <v>1997</v>
      </c>
      <c r="B70" s="216">
        <f>SUM(C70:D70)</f>
        <v>100000</v>
      </c>
      <c r="C70" s="216">
        <f>SUM(C65:C69)</f>
        <v>100000</v>
      </c>
      <c r="D70" s="216">
        <f>SUM(D65:D69)</f>
        <v>0</v>
      </c>
      <c r="E70" s="216">
        <f t="shared" ref="E70:T70" si="32">SUM(E65:E69)</f>
        <v>100000</v>
      </c>
      <c r="F70" s="216">
        <f t="shared" si="32"/>
        <v>0</v>
      </c>
      <c r="G70" s="216">
        <f t="shared" si="32"/>
        <v>0</v>
      </c>
      <c r="H70" s="216">
        <f t="shared" si="32"/>
        <v>0</v>
      </c>
      <c r="I70" s="216">
        <f t="shared" si="32"/>
        <v>0</v>
      </c>
      <c r="J70" s="216">
        <f t="shared" si="32"/>
        <v>0</v>
      </c>
      <c r="K70" s="216">
        <f t="shared" si="32"/>
        <v>0</v>
      </c>
      <c r="L70" s="216">
        <f t="shared" si="32"/>
        <v>0</v>
      </c>
      <c r="M70" s="216">
        <f t="shared" si="32"/>
        <v>0</v>
      </c>
      <c r="N70" s="216">
        <f t="shared" si="32"/>
        <v>0</v>
      </c>
      <c r="O70" s="216">
        <f t="shared" si="32"/>
        <v>0</v>
      </c>
      <c r="P70" s="216">
        <f t="shared" si="32"/>
        <v>0</v>
      </c>
      <c r="Q70" s="216">
        <f t="shared" si="32"/>
        <v>0</v>
      </c>
      <c r="R70" s="529">
        <f t="shared" si="32"/>
        <v>100000</v>
      </c>
      <c r="S70" s="220">
        <f t="shared" si="32"/>
        <v>45472</v>
      </c>
      <c r="T70" s="220">
        <f t="shared" si="32"/>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33">+B72-SUM(F72:Q72)</f>
        <v>0</v>
      </c>
      <c r="F72" s="217"/>
      <c r="G72" s="217"/>
      <c r="H72" s="217"/>
      <c r="I72" s="217"/>
      <c r="J72" s="217"/>
      <c r="K72" s="217"/>
      <c r="L72" s="217"/>
      <c r="M72" s="217"/>
      <c r="N72" s="217"/>
      <c r="O72" s="217"/>
      <c r="P72" s="217"/>
      <c r="Q72" s="217"/>
      <c r="R72" s="874">
        <f>SUM(E72:Q72)</f>
        <v>0</v>
      </c>
      <c r="S72" s="218"/>
      <c r="T72" s="218"/>
      <c r="U72" s="213"/>
    </row>
    <row r="73" spans="1:21" s="214" customFormat="1">
      <c r="A73" s="215" t="s">
        <v>639</v>
      </c>
      <c r="B73" s="216">
        <f>SUM(C73+D73)</f>
        <v>0</v>
      </c>
      <c r="C73" s="217"/>
      <c r="D73" s="217"/>
      <c r="E73" s="217">
        <f t="shared" si="33"/>
        <v>0</v>
      </c>
      <c r="F73" s="217"/>
      <c r="G73" s="217"/>
      <c r="H73" s="217"/>
      <c r="I73" s="217"/>
      <c r="J73" s="217"/>
      <c r="K73" s="217"/>
      <c r="L73" s="217"/>
      <c r="M73" s="217"/>
      <c r="N73" s="217"/>
      <c r="O73" s="217"/>
      <c r="P73" s="217"/>
      <c r="Q73" s="217"/>
      <c r="R73" s="874">
        <f>SUM(E73:Q73)</f>
        <v>0</v>
      </c>
      <c r="S73" s="218"/>
      <c r="T73" s="218"/>
      <c r="U73" s="213"/>
    </row>
    <row r="74" spans="1:21" s="214" customFormat="1">
      <c r="A74" s="733" t="s">
        <v>1084</v>
      </c>
      <c r="B74" s="216">
        <f>SUM(C74+D74)</f>
        <v>0</v>
      </c>
      <c r="C74" s="217"/>
      <c r="D74" s="217"/>
      <c r="E74" s="217">
        <f t="shared" si="33"/>
        <v>0</v>
      </c>
      <c r="F74" s="217"/>
      <c r="G74" s="217"/>
      <c r="H74" s="217"/>
      <c r="I74" s="217"/>
      <c r="J74" s="217"/>
      <c r="K74" s="217"/>
      <c r="L74" s="217"/>
      <c r="M74" s="217"/>
      <c r="N74" s="217"/>
      <c r="O74" s="217"/>
      <c r="P74" s="217"/>
      <c r="Q74" s="217"/>
      <c r="R74" s="874">
        <f>SUM(E74:Q74)</f>
        <v>0</v>
      </c>
      <c r="S74" s="218"/>
      <c r="T74" s="218"/>
      <c r="U74" s="213"/>
    </row>
    <row r="75" spans="1:21" s="214" customFormat="1">
      <c r="A75" s="215" t="s">
        <v>640</v>
      </c>
      <c r="B75" s="216">
        <f>SUM(C75+D75)</f>
        <v>551245</v>
      </c>
      <c r="C75" s="217">
        <v>551245</v>
      </c>
      <c r="D75" s="217"/>
      <c r="E75" s="217">
        <f t="shared" si="33"/>
        <v>551245</v>
      </c>
      <c r="F75" s="217"/>
      <c r="G75" s="217"/>
      <c r="H75" s="217"/>
      <c r="I75" s="217"/>
      <c r="J75" s="217"/>
      <c r="K75" s="217"/>
      <c r="L75" s="217"/>
      <c r="M75" s="217"/>
      <c r="N75" s="217"/>
      <c r="O75" s="217"/>
      <c r="P75" s="217"/>
      <c r="Q75" s="217"/>
      <c r="R75" s="874">
        <f>SUM(E75:Q75)</f>
        <v>551245</v>
      </c>
      <c r="S75" s="218"/>
      <c r="T75" s="218"/>
      <c r="U75" s="213"/>
    </row>
    <row r="76" spans="1:21" s="214" customFormat="1">
      <c r="A76" s="222" t="s">
        <v>35</v>
      </c>
      <c r="B76" s="216">
        <f>SUM(C76+D76)</f>
        <v>0</v>
      </c>
      <c r="C76" s="217"/>
      <c r="D76" s="217"/>
      <c r="E76" s="217">
        <f t="shared" si="33"/>
        <v>0</v>
      </c>
      <c r="F76" s="217"/>
      <c r="G76" s="217"/>
      <c r="H76" s="217"/>
      <c r="I76" s="217"/>
      <c r="J76" s="217"/>
      <c r="K76" s="217"/>
      <c r="L76" s="217"/>
      <c r="M76" s="217"/>
      <c r="N76" s="217"/>
      <c r="O76" s="217"/>
      <c r="P76" s="217"/>
      <c r="Q76" s="217"/>
      <c r="R76" s="874">
        <f>SUM(E76:Q76)</f>
        <v>0</v>
      </c>
      <c r="S76" s="218"/>
      <c r="T76" s="218"/>
      <c r="U76" s="213"/>
    </row>
    <row r="77" spans="1:21" s="214" customFormat="1" ht="12">
      <c r="A77" s="219" t="s">
        <v>641</v>
      </c>
      <c r="B77" s="216">
        <f>SUM(C77:D77)</f>
        <v>551245</v>
      </c>
      <c r="C77" s="216">
        <f>SUM(C72:C76)</f>
        <v>551245</v>
      </c>
      <c r="D77" s="216">
        <f>SUM(D72:D76)</f>
        <v>0</v>
      </c>
      <c r="E77" s="216">
        <f t="shared" ref="E77:Q77" si="34">SUM(E72:E76)</f>
        <v>551245</v>
      </c>
      <c r="F77" s="216">
        <f t="shared" si="34"/>
        <v>0</v>
      </c>
      <c r="G77" s="216">
        <f t="shared" si="34"/>
        <v>0</v>
      </c>
      <c r="H77" s="216">
        <f t="shared" si="34"/>
        <v>0</v>
      </c>
      <c r="I77" s="216">
        <f t="shared" si="34"/>
        <v>0</v>
      </c>
      <c r="J77" s="216">
        <f t="shared" si="34"/>
        <v>0</v>
      </c>
      <c r="K77" s="216">
        <f t="shared" si="34"/>
        <v>0</v>
      </c>
      <c r="L77" s="216">
        <f t="shared" si="34"/>
        <v>0</v>
      </c>
      <c r="M77" s="216">
        <f t="shared" si="34"/>
        <v>0</v>
      </c>
      <c r="N77" s="216">
        <f t="shared" si="34"/>
        <v>0</v>
      </c>
      <c r="O77" s="216">
        <f t="shared" si="34"/>
        <v>0</v>
      </c>
      <c r="P77" s="216">
        <f t="shared" si="34"/>
        <v>0</v>
      </c>
      <c r="Q77" s="216">
        <f t="shared" si="34"/>
        <v>0</v>
      </c>
      <c r="R77" s="529">
        <f>SUM(R72:R76)</f>
        <v>551245</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0"/>
      <c r="S78" s="221"/>
      <c r="T78" s="221"/>
      <c r="U78" s="213"/>
    </row>
    <row r="79" spans="1:21" s="214" customFormat="1">
      <c r="A79" s="435" t="s">
        <v>1420</v>
      </c>
      <c r="B79" s="216">
        <f>SUM(C79:D79)</f>
        <v>3309169</v>
      </c>
      <c r="C79" s="217">
        <v>3309169</v>
      </c>
      <c r="D79" s="217"/>
      <c r="E79" s="217">
        <f t="shared" ref="E79:E80" si="35">+B79-SUM(F79:Q79)</f>
        <v>3309169</v>
      </c>
      <c r="F79" s="217"/>
      <c r="G79" s="217"/>
      <c r="H79" s="217"/>
      <c r="I79" s="217"/>
      <c r="J79" s="217"/>
      <c r="K79" s="217"/>
      <c r="L79" s="217"/>
      <c r="M79" s="217"/>
      <c r="N79" s="217"/>
      <c r="O79" s="217"/>
      <c r="P79" s="217"/>
      <c r="Q79" s="217"/>
      <c r="R79" s="874">
        <f>SUM(E79:Q79)</f>
        <v>3309169</v>
      </c>
      <c r="S79" s="217">
        <f t="shared" ref="S79:S80" si="36">+B79</f>
        <v>3309169</v>
      </c>
      <c r="T79" s="217"/>
      <c r="U79" s="213"/>
    </row>
    <row r="80" spans="1:21" s="214" customFormat="1">
      <c r="A80" s="435" t="s">
        <v>61</v>
      </c>
      <c r="B80" s="216">
        <f>SUM(C80:D80)</f>
        <v>590000</v>
      </c>
      <c r="C80" s="217">
        <v>590000</v>
      </c>
      <c r="D80" s="217"/>
      <c r="E80" s="217">
        <f t="shared" si="35"/>
        <v>590000</v>
      </c>
      <c r="F80" s="217"/>
      <c r="G80" s="217"/>
      <c r="H80" s="217"/>
      <c r="I80" s="217"/>
      <c r="J80" s="217"/>
      <c r="K80" s="217"/>
      <c r="L80" s="217"/>
      <c r="M80" s="217"/>
      <c r="N80" s="217"/>
      <c r="O80" s="217"/>
      <c r="P80" s="217"/>
      <c r="Q80" s="217"/>
      <c r="R80" s="874">
        <f>SUM(E80:Q80)</f>
        <v>590000</v>
      </c>
      <c r="S80" s="217">
        <f t="shared" si="36"/>
        <v>590000</v>
      </c>
      <c r="T80" s="217"/>
      <c r="U80" s="213"/>
    </row>
    <row r="81" spans="1:21" s="214" customFormat="1" ht="12">
      <c r="A81" s="219" t="s">
        <v>1417</v>
      </c>
      <c r="B81" s="216">
        <f>SUM(C81:D81)</f>
        <v>3899169</v>
      </c>
      <c r="C81" s="854">
        <f>SUM(C79:C80)</f>
        <v>3899169</v>
      </c>
      <c r="D81" s="854">
        <f t="shared" ref="D81:T81" si="37">SUM(D79:D80)</f>
        <v>0</v>
      </c>
      <c r="E81" s="854">
        <f t="shared" si="37"/>
        <v>3899169</v>
      </c>
      <c r="F81" s="854">
        <f t="shared" si="37"/>
        <v>0</v>
      </c>
      <c r="G81" s="854">
        <f t="shared" si="37"/>
        <v>0</v>
      </c>
      <c r="H81" s="854">
        <f t="shared" si="37"/>
        <v>0</v>
      </c>
      <c r="I81" s="854">
        <f t="shared" si="37"/>
        <v>0</v>
      </c>
      <c r="J81" s="854">
        <f t="shared" si="37"/>
        <v>0</v>
      </c>
      <c r="K81" s="854">
        <f t="shared" si="37"/>
        <v>0</v>
      </c>
      <c r="L81" s="854">
        <f t="shared" si="37"/>
        <v>0</v>
      </c>
      <c r="M81" s="854">
        <f t="shared" si="37"/>
        <v>0</v>
      </c>
      <c r="N81" s="854">
        <f t="shared" si="37"/>
        <v>0</v>
      </c>
      <c r="O81" s="854">
        <f t="shared" si="37"/>
        <v>0</v>
      </c>
      <c r="P81" s="854">
        <f t="shared" si="37"/>
        <v>0</v>
      </c>
      <c r="Q81" s="854">
        <f t="shared" si="37"/>
        <v>0</v>
      </c>
      <c r="R81" s="854">
        <f t="shared" si="37"/>
        <v>3899169</v>
      </c>
      <c r="S81" s="854">
        <f t="shared" si="37"/>
        <v>3899169</v>
      </c>
      <c r="T81" s="854">
        <f t="shared" si="37"/>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0"/>
      <c r="S82" s="221"/>
      <c r="T82" s="221"/>
      <c r="U82" s="213"/>
    </row>
    <row r="83" spans="1:21" s="214" customFormat="1" ht="13.8" customHeight="1">
      <c r="A83" s="215" t="s">
        <v>824</v>
      </c>
      <c r="B83" s="216">
        <f t="shared" ref="B83:B95" si="38">SUM(C83+D83)</f>
        <v>129918</v>
      </c>
      <c r="C83" s="217">
        <v>129918</v>
      </c>
      <c r="D83" s="217"/>
      <c r="E83" s="217">
        <f t="shared" ref="E83:E95" si="39">+B83-SUM(F83:Q83)</f>
        <v>129918</v>
      </c>
      <c r="F83" s="217"/>
      <c r="G83" s="217"/>
      <c r="H83" s="217"/>
      <c r="I83" s="217"/>
      <c r="J83" s="217"/>
      <c r="K83" s="217"/>
      <c r="L83" s="217"/>
      <c r="M83" s="217"/>
      <c r="N83" s="217"/>
      <c r="O83" s="217"/>
      <c r="P83" s="217"/>
      <c r="Q83" s="217"/>
      <c r="R83" s="874">
        <f t="shared" ref="R83:R95" si="40">SUM(E83:Q83)</f>
        <v>129918</v>
      </c>
      <c r="S83" s="218"/>
      <c r="T83" s="218"/>
      <c r="U83" s="213"/>
    </row>
    <row r="84" spans="1:21" s="214" customFormat="1">
      <c r="A84" s="215" t="s">
        <v>825</v>
      </c>
      <c r="B84" s="216">
        <f t="shared" si="38"/>
        <v>650000</v>
      </c>
      <c r="C84" s="217">
        <v>650000</v>
      </c>
      <c r="D84" s="217"/>
      <c r="E84" s="217">
        <f t="shared" si="39"/>
        <v>650000</v>
      </c>
      <c r="F84" s="217"/>
      <c r="G84" s="217"/>
      <c r="H84" s="217"/>
      <c r="I84" s="217"/>
      <c r="J84" s="217"/>
      <c r="K84" s="217"/>
      <c r="L84" s="217"/>
      <c r="M84" s="217"/>
      <c r="N84" s="217"/>
      <c r="O84" s="217"/>
      <c r="P84" s="217"/>
      <c r="Q84" s="217"/>
      <c r="R84" s="874">
        <f t="shared" si="40"/>
        <v>650000</v>
      </c>
      <c r="S84" s="217">
        <f t="shared" ref="S84:S87" si="41">+B84</f>
        <v>650000</v>
      </c>
      <c r="T84" s="217"/>
      <c r="U84" s="213"/>
    </row>
    <row r="85" spans="1:21" s="214" customFormat="1">
      <c r="A85" s="215" t="s">
        <v>826</v>
      </c>
      <c r="B85" s="216">
        <f t="shared" si="38"/>
        <v>1439281</v>
      </c>
      <c r="C85" s="217">
        <v>1439281</v>
      </c>
      <c r="D85" s="217"/>
      <c r="E85" s="217">
        <f t="shared" si="39"/>
        <v>1439281</v>
      </c>
      <c r="F85" s="217"/>
      <c r="G85" s="217"/>
      <c r="H85" s="217"/>
      <c r="I85" s="217"/>
      <c r="J85" s="217"/>
      <c r="K85" s="217"/>
      <c r="L85" s="217"/>
      <c r="M85" s="217"/>
      <c r="N85" s="217"/>
      <c r="O85" s="217"/>
      <c r="P85" s="217"/>
      <c r="Q85" s="217"/>
      <c r="R85" s="874">
        <f t="shared" si="40"/>
        <v>1439281</v>
      </c>
      <c r="S85" s="217">
        <f t="shared" si="41"/>
        <v>1439281</v>
      </c>
      <c r="T85" s="217"/>
      <c r="U85" s="213"/>
    </row>
    <row r="86" spans="1:21" s="214" customFormat="1">
      <c r="A86" s="215" t="s">
        <v>827</v>
      </c>
      <c r="B86" s="216">
        <f t="shared" si="38"/>
        <v>1131402</v>
      </c>
      <c r="C86" s="217">
        <v>1131402</v>
      </c>
      <c r="D86" s="217"/>
      <c r="E86" s="217">
        <f t="shared" si="39"/>
        <v>1131402</v>
      </c>
      <c r="F86" s="217"/>
      <c r="G86" s="217"/>
      <c r="H86" s="217"/>
      <c r="I86" s="217"/>
      <c r="J86" s="217"/>
      <c r="K86" s="217"/>
      <c r="L86" s="217"/>
      <c r="M86" s="217"/>
      <c r="N86" s="217"/>
      <c r="O86" s="217"/>
      <c r="P86" s="217"/>
      <c r="Q86" s="217"/>
      <c r="R86" s="874">
        <f t="shared" si="40"/>
        <v>1131402</v>
      </c>
      <c r="S86" s="217">
        <f t="shared" si="41"/>
        <v>1131402</v>
      </c>
      <c r="T86" s="217"/>
      <c r="U86" s="213"/>
    </row>
    <row r="87" spans="1:21" s="214" customFormat="1">
      <c r="A87" s="215" t="s">
        <v>828</v>
      </c>
      <c r="B87" s="216">
        <f t="shared" si="38"/>
        <v>300000</v>
      </c>
      <c r="C87" s="217">
        <v>300000</v>
      </c>
      <c r="D87" s="217"/>
      <c r="E87" s="217">
        <f t="shared" si="39"/>
        <v>300000</v>
      </c>
      <c r="F87" s="217"/>
      <c r="G87" s="217"/>
      <c r="H87" s="217"/>
      <c r="I87" s="217"/>
      <c r="J87" s="217"/>
      <c r="K87" s="217"/>
      <c r="L87" s="217"/>
      <c r="M87" s="217"/>
      <c r="N87" s="217"/>
      <c r="O87" s="217"/>
      <c r="P87" s="217"/>
      <c r="Q87" s="217"/>
      <c r="R87" s="874">
        <f t="shared" si="40"/>
        <v>300000</v>
      </c>
      <c r="S87" s="217">
        <f t="shared" si="41"/>
        <v>300000</v>
      </c>
      <c r="T87" s="217"/>
      <c r="U87" s="213"/>
    </row>
    <row r="88" spans="1:21" s="214" customFormat="1">
      <c r="A88" s="215" t="s">
        <v>829</v>
      </c>
      <c r="B88" s="216">
        <f t="shared" si="38"/>
        <v>200000</v>
      </c>
      <c r="C88" s="217">
        <v>200000</v>
      </c>
      <c r="D88" s="217"/>
      <c r="E88" s="217">
        <f t="shared" si="39"/>
        <v>200000</v>
      </c>
      <c r="F88" s="217"/>
      <c r="G88" s="217"/>
      <c r="H88" s="217"/>
      <c r="I88" s="217"/>
      <c r="J88" s="217"/>
      <c r="K88" s="217"/>
      <c r="L88" s="217"/>
      <c r="M88" s="217"/>
      <c r="N88" s="217"/>
      <c r="O88" s="217"/>
      <c r="P88" s="217"/>
      <c r="Q88" s="217"/>
      <c r="R88" s="874">
        <f t="shared" si="40"/>
        <v>200000</v>
      </c>
      <c r="S88" s="218"/>
      <c r="T88" s="218"/>
      <c r="U88" s="213"/>
    </row>
    <row r="89" spans="1:21" s="214" customFormat="1">
      <c r="A89" s="215" t="s">
        <v>830</v>
      </c>
      <c r="B89" s="216">
        <f t="shared" si="38"/>
        <v>200000</v>
      </c>
      <c r="C89" s="217">
        <v>200000</v>
      </c>
      <c r="D89" s="217"/>
      <c r="E89" s="217">
        <f t="shared" si="39"/>
        <v>200000</v>
      </c>
      <c r="F89" s="217"/>
      <c r="G89" s="217"/>
      <c r="H89" s="217"/>
      <c r="I89" s="217"/>
      <c r="J89" s="217"/>
      <c r="K89" s="217"/>
      <c r="L89" s="217"/>
      <c r="M89" s="217"/>
      <c r="N89" s="217"/>
      <c r="O89" s="217"/>
      <c r="P89" s="217"/>
      <c r="Q89" s="217"/>
      <c r="R89" s="874">
        <f t="shared" si="40"/>
        <v>200000</v>
      </c>
      <c r="S89" s="217">
        <f t="shared" ref="S89:S95" si="42">+B89</f>
        <v>200000</v>
      </c>
      <c r="T89" s="217"/>
      <c r="U89" s="213"/>
    </row>
    <row r="90" spans="1:21" s="214" customFormat="1">
      <c r="A90" s="215" t="s">
        <v>831</v>
      </c>
      <c r="B90" s="216">
        <f t="shared" si="38"/>
        <v>12500</v>
      </c>
      <c r="C90" s="217">
        <v>12500</v>
      </c>
      <c r="D90" s="217"/>
      <c r="E90" s="217">
        <f t="shared" si="39"/>
        <v>12500</v>
      </c>
      <c r="F90" s="217"/>
      <c r="G90" s="217"/>
      <c r="H90" s="217"/>
      <c r="I90" s="217"/>
      <c r="J90" s="217"/>
      <c r="K90" s="217"/>
      <c r="L90" s="217"/>
      <c r="M90" s="217"/>
      <c r="N90" s="217"/>
      <c r="O90" s="217"/>
      <c r="P90" s="217"/>
      <c r="Q90" s="217"/>
      <c r="R90" s="874">
        <f t="shared" si="40"/>
        <v>12500</v>
      </c>
      <c r="S90" s="217"/>
      <c r="T90" s="217"/>
      <c r="U90" s="213"/>
    </row>
    <row r="91" spans="1:21" s="214" customFormat="1">
      <c r="A91" s="1794" t="s">
        <v>390</v>
      </c>
      <c r="B91" s="216">
        <f t="shared" si="38"/>
        <v>0</v>
      </c>
      <c r="C91" s="217"/>
      <c r="D91" s="217"/>
      <c r="E91" s="217">
        <f t="shared" si="39"/>
        <v>0</v>
      </c>
      <c r="F91" s="217"/>
      <c r="G91" s="217"/>
      <c r="H91" s="217"/>
      <c r="I91" s="217"/>
      <c r="J91" s="217"/>
      <c r="K91" s="217"/>
      <c r="L91" s="217"/>
      <c r="M91" s="217"/>
      <c r="N91" s="217"/>
      <c r="O91" s="217"/>
      <c r="P91" s="217"/>
      <c r="Q91" s="217"/>
      <c r="R91" s="874">
        <f t="shared" si="40"/>
        <v>0</v>
      </c>
      <c r="S91" s="217">
        <f t="shared" si="42"/>
        <v>0</v>
      </c>
      <c r="T91" s="217"/>
      <c r="U91" s="213"/>
    </row>
    <row r="92" spans="1:21" s="214" customFormat="1">
      <c r="A92" s="1793" t="s">
        <v>1419</v>
      </c>
      <c r="B92" s="216">
        <f t="shared" si="38"/>
        <v>15000</v>
      </c>
      <c r="C92" s="217">
        <v>15000</v>
      </c>
      <c r="D92" s="217"/>
      <c r="E92" s="217">
        <f t="shared" si="39"/>
        <v>15000</v>
      </c>
      <c r="F92" s="217"/>
      <c r="G92" s="217"/>
      <c r="H92" s="217"/>
      <c r="I92" s="217"/>
      <c r="J92" s="217"/>
      <c r="K92" s="217"/>
      <c r="L92" s="217"/>
      <c r="M92" s="217"/>
      <c r="N92" s="217"/>
      <c r="O92" s="217"/>
      <c r="P92" s="217"/>
      <c r="Q92" s="217"/>
      <c r="R92" s="874">
        <f t="shared" si="40"/>
        <v>15000</v>
      </c>
      <c r="S92" s="217">
        <f t="shared" si="42"/>
        <v>15000</v>
      </c>
      <c r="T92" s="217"/>
      <c r="U92" s="213"/>
    </row>
    <row r="93" spans="1:21" s="214" customFormat="1">
      <c r="A93" s="1841" t="s">
        <v>2632</v>
      </c>
      <c r="B93" s="216">
        <f t="shared" si="38"/>
        <v>120000</v>
      </c>
      <c r="C93" s="217">
        <v>120000</v>
      </c>
      <c r="D93" s="217"/>
      <c r="E93" s="217">
        <f t="shared" si="39"/>
        <v>120000</v>
      </c>
      <c r="F93" s="217"/>
      <c r="G93" s="217"/>
      <c r="H93" s="217"/>
      <c r="I93" s="217"/>
      <c r="J93" s="217"/>
      <c r="K93" s="217"/>
      <c r="L93" s="217"/>
      <c r="M93" s="217"/>
      <c r="N93" s="217"/>
      <c r="O93" s="217"/>
      <c r="P93" s="217"/>
      <c r="Q93" s="217"/>
      <c r="R93" s="874">
        <f t="shared" si="40"/>
        <v>120000</v>
      </c>
      <c r="S93" s="217">
        <f t="shared" si="42"/>
        <v>120000</v>
      </c>
      <c r="T93" s="217"/>
      <c r="U93" s="213"/>
    </row>
    <row r="94" spans="1:21" s="214" customFormat="1">
      <c r="A94" s="222" t="s">
        <v>35</v>
      </c>
      <c r="B94" s="216">
        <f t="shared" si="38"/>
        <v>0</v>
      </c>
      <c r="C94" s="217"/>
      <c r="D94" s="217"/>
      <c r="E94" s="217">
        <f t="shared" si="39"/>
        <v>0</v>
      </c>
      <c r="F94" s="217"/>
      <c r="G94" s="217"/>
      <c r="H94" s="217"/>
      <c r="I94" s="217"/>
      <c r="J94" s="217"/>
      <c r="K94" s="217"/>
      <c r="L94" s="217"/>
      <c r="M94" s="217"/>
      <c r="N94" s="217"/>
      <c r="O94" s="217"/>
      <c r="P94" s="217"/>
      <c r="Q94" s="217"/>
      <c r="R94" s="874">
        <f t="shared" si="40"/>
        <v>0</v>
      </c>
      <c r="S94" s="217">
        <f t="shared" si="42"/>
        <v>0</v>
      </c>
      <c r="T94" s="217"/>
      <c r="U94" s="213"/>
    </row>
    <row r="95" spans="1:21" s="214" customFormat="1">
      <c r="A95" s="222" t="s">
        <v>35</v>
      </c>
      <c r="B95" s="216">
        <f t="shared" si="38"/>
        <v>0</v>
      </c>
      <c r="C95" s="217"/>
      <c r="D95" s="217"/>
      <c r="E95" s="217">
        <f t="shared" si="39"/>
        <v>0</v>
      </c>
      <c r="F95" s="217"/>
      <c r="G95" s="217"/>
      <c r="H95" s="217"/>
      <c r="I95" s="217"/>
      <c r="J95" s="217"/>
      <c r="K95" s="217"/>
      <c r="L95" s="217"/>
      <c r="M95" s="217"/>
      <c r="N95" s="217"/>
      <c r="O95" s="217"/>
      <c r="P95" s="217"/>
      <c r="Q95" s="217"/>
      <c r="R95" s="874">
        <f t="shared" si="40"/>
        <v>0</v>
      </c>
      <c r="S95" s="217">
        <f t="shared" si="42"/>
        <v>0</v>
      </c>
      <c r="T95" s="217"/>
      <c r="U95" s="213"/>
    </row>
    <row r="96" spans="1:21" s="214" customFormat="1" ht="12">
      <c r="A96" s="219" t="s">
        <v>832</v>
      </c>
      <c r="B96" s="216">
        <f>SUM(C96:D96)</f>
        <v>4198101</v>
      </c>
      <c r="C96" s="216">
        <f t="shared" ref="C96:R96" si="43">SUM(C83:C95)</f>
        <v>4198101</v>
      </c>
      <c r="D96" s="216">
        <f t="shared" si="43"/>
        <v>0</v>
      </c>
      <c r="E96" s="216">
        <f t="shared" si="43"/>
        <v>4198101</v>
      </c>
      <c r="F96" s="216">
        <f t="shared" si="43"/>
        <v>0</v>
      </c>
      <c r="G96" s="216">
        <f t="shared" si="43"/>
        <v>0</v>
      </c>
      <c r="H96" s="216">
        <f t="shared" si="43"/>
        <v>0</v>
      </c>
      <c r="I96" s="216">
        <f t="shared" si="43"/>
        <v>0</v>
      </c>
      <c r="J96" s="216">
        <f t="shared" si="43"/>
        <v>0</v>
      </c>
      <c r="K96" s="216">
        <f t="shared" si="43"/>
        <v>0</v>
      </c>
      <c r="L96" s="216">
        <f t="shared" si="43"/>
        <v>0</v>
      </c>
      <c r="M96" s="216">
        <f t="shared" si="43"/>
        <v>0</v>
      </c>
      <c r="N96" s="216">
        <f t="shared" si="43"/>
        <v>0</v>
      </c>
      <c r="O96" s="216">
        <f t="shared" si="43"/>
        <v>0</v>
      </c>
      <c r="P96" s="216">
        <f t="shared" si="43"/>
        <v>0</v>
      </c>
      <c r="Q96" s="216">
        <f t="shared" si="43"/>
        <v>0</v>
      </c>
      <c r="R96" s="529">
        <f t="shared" si="43"/>
        <v>4198101</v>
      </c>
      <c r="S96" s="220">
        <f>SUM(S84:S87,S89:S95)</f>
        <v>3855683</v>
      </c>
      <c r="T96" s="216">
        <f>SUM(T84:T87,T89:T95)</f>
        <v>0</v>
      </c>
      <c r="U96" s="213"/>
    </row>
    <row r="97" spans="1:21" s="214" customFormat="1" ht="12">
      <c r="A97" s="219" t="s">
        <v>833</v>
      </c>
      <c r="B97" s="216">
        <f>SUM(C97:D97)</f>
        <v>87060199</v>
      </c>
      <c r="C97" s="216">
        <f t="shared" ref="C97:R97" si="44">SUM(C63+C70+C77+C81+C96)</f>
        <v>87060199</v>
      </c>
      <c r="D97" s="216">
        <f t="shared" si="44"/>
        <v>0</v>
      </c>
      <c r="E97" s="216">
        <f t="shared" si="44"/>
        <v>60885577</v>
      </c>
      <c r="F97" s="216">
        <f t="shared" si="44"/>
        <v>10674000</v>
      </c>
      <c r="G97" s="216">
        <f t="shared" si="44"/>
        <v>5000000</v>
      </c>
      <c r="H97" s="216">
        <f t="shared" si="44"/>
        <v>10000000</v>
      </c>
      <c r="I97" s="216">
        <f t="shared" si="44"/>
        <v>0</v>
      </c>
      <c r="J97" s="216">
        <f t="shared" si="44"/>
        <v>500622</v>
      </c>
      <c r="K97" s="216">
        <f t="shared" si="44"/>
        <v>0</v>
      </c>
      <c r="L97" s="216">
        <f t="shared" si="44"/>
        <v>0</v>
      </c>
      <c r="M97" s="216">
        <f t="shared" si="44"/>
        <v>0</v>
      </c>
      <c r="N97" s="216">
        <f t="shared" si="44"/>
        <v>0</v>
      </c>
      <c r="O97" s="216">
        <f t="shared" si="44"/>
        <v>0</v>
      </c>
      <c r="P97" s="216">
        <f t="shared" si="44"/>
        <v>0</v>
      </c>
      <c r="Q97" s="216">
        <f t="shared" si="44"/>
        <v>0</v>
      </c>
      <c r="R97" s="216">
        <f t="shared" si="44"/>
        <v>87060199</v>
      </c>
      <c r="S97" s="216">
        <f>SUM(S63+S70+S81+S96)</f>
        <v>78457564</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11768635</v>
      </c>
      <c r="C99" s="1686">
        <v>11768635</v>
      </c>
      <c r="D99" s="1686"/>
      <c r="E99" s="217">
        <f t="shared" ref="E99:E103" si="45">+B99-SUM(F99:Q99)</f>
        <v>2200000</v>
      </c>
      <c r="F99" s="217"/>
      <c r="G99" s="217"/>
      <c r="H99" s="217"/>
      <c r="I99" s="217">
        <f>+I108</f>
        <v>9568635</v>
      </c>
      <c r="J99" s="217"/>
      <c r="K99" s="217"/>
      <c r="L99" s="217"/>
      <c r="M99" s="217"/>
      <c r="N99" s="217"/>
      <c r="O99" s="217"/>
      <c r="P99" s="217"/>
      <c r="Q99" s="217"/>
      <c r="R99" s="874">
        <f t="shared" ref="R99:R103" si="46">SUM(E99:Q99)</f>
        <v>11768635</v>
      </c>
      <c r="S99" s="217">
        <f t="shared" ref="S99:S103" si="47">+B99</f>
        <v>11768635</v>
      </c>
      <c r="T99" s="217"/>
      <c r="U99" s="213"/>
    </row>
    <row r="100" spans="1:21" s="214" customFormat="1">
      <c r="A100" s="435" t="s">
        <v>1998</v>
      </c>
      <c r="B100" s="216">
        <f t="shared" ref="B100:B103" si="48">SUM(C100+D100)</f>
        <v>0</v>
      </c>
      <c r="C100" s="217"/>
      <c r="D100" s="217"/>
      <c r="E100" s="217">
        <f t="shared" si="45"/>
        <v>0</v>
      </c>
      <c r="F100" s="217"/>
      <c r="G100" s="217"/>
      <c r="H100" s="217"/>
      <c r="I100" s="217"/>
      <c r="J100" s="217"/>
      <c r="K100" s="217"/>
      <c r="L100" s="217"/>
      <c r="M100" s="217"/>
      <c r="N100" s="217"/>
      <c r="O100" s="217"/>
      <c r="P100" s="217"/>
      <c r="Q100" s="217"/>
      <c r="R100" s="874">
        <f t="shared" si="46"/>
        <v>0</v>
      </c>
      <c r="S100" s="217">
        <f t="shared" si="47"/>
        <v>0</v>
      </c>
      <c r="T100" s="217"/>
      <c r="U100" s="213"/>
    </row>
    <row r="101" spans="1:21" s="214" customFormat="1" ht="12" customHeight="1">
      <c r="A101" s="215" t="s">
        <v>836</v>
      </c>
      <c r="B101" s="216">
        <f t="shared" si="48"/>
        <v>0</v>
      </c>
      <c r="C101" s="217"/>
      <c r="D101" s="217"/>
      <c r="E101" s="217">
        <f t="shared" si="45"/>
        <v>0</v>
      </c>
      <c r="F101" s="217"/>
      <c r="G101" s="217"/>
      <c r="H101" s="217"/>
      <c r="I101" s="217"/>
      <c r="J101" s="217"/>
      <c r="K101" s="217"/>
      <c r="L101" s="217"/>
      <c r="M101" s="217"/>
      <c r="N101" s="217"/>
      <c r="O101" s="217"/>
      <c r="P101" s="217"/>
      <c r="Q101" s="217"/>
      <c r="R101" s="874">
        <f t="shared" si="46"/>
        <v>0</v>
      </c>
      <c r="S101" s="217">
        <f t="shared" si="47"/>
        <v>0</v>
      </c>
      <c r="T101" s="217"/>
      <c r="U101" s="213"/>
    </row>
    <row r="102" spans="1:21" s="214" customFormat="1">
      <c r="A102" s="435" t="s">
        <v>1999</v>
      </c>
      <c r="B102" s="216">
        <f t="shared" si="48"/>
        <v>0</v>
      </c>
      <c r="C102" s="217"/>
      <c r="D102" s="217"/>
      <c r="E102" s="217">
        <f t="shared" si="45"/>
        <v>0</v>
      </c>
      <c r="F102" s="217"/>
      <c r="G102" s="217"/>
      <c r="H102" s="217"/>
      <c r="I102" s="217"/>
      <c r="J102" s="217"/>
      <c r="K102" s="217"/>
      <c r="L102" s="217"/>
      <c r="M102" s="217"/>
      <c r="N102" s="217"/>
      <c r="O102" s="217"/>
      <c r="P102" s="217"/>
      <c r="Q102" s="217"/>
      <c r="R102" s="874">
        <f t="shared" si="46"/>
        <v>0</v>
      </c>
      <c r="S102" s="217">
        <f t="shared" si="47"/>
        <v>0</v>
      </c>
      <c r="T102" s="217"/>
      <c r="U102" s="213"/>
    </row>
    <row r="103" spans="1:21" s="214" customFormat="1">
      <c r="A103" s="222" t="s">
        <v>35</v>
      </c>
      <c r="B103" s="216">
        <f t="shared" si="48"/>
        <v>0</v>
      </c>
      <c r="C103" s="217"/>
      <c r="D103" s="217"/>
      <c r="E103" s="217">
        <f t="shared" si="45"/>
        <v>0</v>
      </c>
      <c r="F103" s="217"/>
      <c r="G103" s="217"/>
      <c r="H103" s="217"/>
      <c r="I103" s="217"/>
      <c r="J103" s="217"/>
      <c r="K103" s="217"/>
      <c r="L103" s="217"/>
      <c r="M103" s="217"/>
      <c r="N103" s="217"/>
      <c r="O103" s="217"/>
      <c r="P103" s="217"/>
      <c r="Q103" s="217"/>
      <c r="R103" s="874">
        <f t="shared" si="46"/>
        <v>0</v>
      </c>
      <c r="S103" s="217">
        <f t="shared" si="47"/>
        <v>0</v>
      </c>
      <c r="T103" s="217"/>
      <c r="U103" s="213"/>
    </row>
    <row r="104" spans="1:21" s="214" customFormat="1" ht="12">
      <c r="A104" s="219" t="s">
        <v>837</v>
      </c>
      <c r="B104" s="216">
        <f>SUM(C104:D104)</f>
        <v>11768635</v>
      </c>
      <c r="C104" s="216">
        <f>SUM(C99:C103)</f>
        <v>11768635</v>
      </c>
      <c r="D104" s="216">
        <f t="shared" ref="D104:T104" si="49">SUM(D99:D103)</f>
        <v>0</v>
      </c>
      <c r="E104" s="216">
        <f t="shared" si="49"/>
        <v>2200000</v>
      </c>
      <c r="F104" s="216">
        <f t="shared" si="49"/>
        <v>0</v>
      </c>
      <c r="G104" s="216">
        <f t="shared" si="49"/>
        <v>0</v>
      </c>
      <c r="H104" s="216">
        <f t="shared" si="49"/>
        <v>0</v>
      </c>
      <c r="I104" s="216">
        <f t="shared" si="49"/>
        <v>9568635</v>
      </c>
      <c r="J104" s="216">
        <f t="shared" si="49"/>
        <v>0</v>
      </c>
      <c r="K104" s="216">
        <f t="shared" si="49"/>
        <v>0</v>
      </c>
      <c r="L104" s="216">
        <f t="shared" si="49"/>
        <v>0</v>
      </c>
      <c r="M104" s="216">
        <f t="shared" si="49"/>
        <v>0</v>
      </c>
      <c r="N104" s="216">
        <f t="shared" si="49"/>
        <v>0</v>
      </c>
      <c r="O104" s="216">
        <f t="shared" si="49"/>
        <v>0</v>
      </c>
      <c r="P104" s="216">
        <f t="shared" si="49"/>
        <v>0</v>
      </c>
      <c r="Q104" s="216">
        <f t="shared" si="49"/>
        <v>0</v>
      </c>
      <c r="R104" s="529">
        <f t="shared" si="49"/>
        <v>11768635</v>
      </c>
      <c r="S104" s="220">
        <f t="shared" si="49"/>
        <v>11768635</v>
      </c>
      <c r="T104" s="220">
        <f t="shared" si="49"/>
        <v>0</v>
      </c>
      <c r="U104" s="213"/>
    </row>
    <row r="105" spans="1:21" s="214" customFormat="1" ht="12">
      <c r="A105" s="219" t="s">
        <v>838</v>
      </c>
      <c r="B105" s="220">
        <f>SUM(C105:D105)</f>
        <v>98828834</v>
      </c>
      <c r="C105" s="220">
        <f t="shared" ref="C105:R105" si="50">SUM(C97+C104)</f>
        <v>98828834</v>
      </c>
      <c r="D105" s="220">
        <f t="shared" si="50"/>
        <v>0</v>
      </c>
      <c r="E105" s="220">
        <f t="shared" si="50"/>
        <v>63085577</v>
      </c>
      <c r="F105" s="220">
        <f t="shared" si="50"/>
        <v>10674000</v>
      </c>
      <c r="G105" s="220">
        <f t="shared" si="50"/>
        <v>5000000</v>
      </c>
      <c r="H105" s="220">
        <f t="shared" si="50"/>
        <v>10000000</v>
      </c>
      <c r="I105" s="220">
        <f t="shared" si="50"/>
        <v>9568635</v>
      </c>
      <c r="J105" s="220">
        <f t="shared" si="50"/>
        <v>500622</v>
      </c>
      <c r="K105" s="220">
        <f t="shared" si="50"/>
        <v>0</v>
      </c>
      <c r="L105" s="220">
        <f t="shared" si="50"/>
        <v>0</v>
      </c>
      <c r="M105" s="220">
        <f t="shared" si="50"/>
        <v>0</v>
      </c>
      <c r="N105" s="220">
        <f t="shared" si="50"/>
        <v>0</v>
      </c>
      <c r="O105" s="220">
        <f t="shared" si="50"/>
        <v>0</v>
      </c>
      <c r="P105" s="220">
        <f t="shared" si="50"/>
        <v>0</v>
      </c>
      <c r="Q105" s="220">
        <f t="shared" si="50"/>
        <v>0</v>
      </c>
      <c r="R105" s="529">
        <f t="shared" si="50"/>
        <v>98828834</v>
      </c>
      <c r="S105" s="220">
        <f>S97+S104</f>
        <v>90226199</v>
      </c>
      <c r="T105" s="220">
        <f>T97+T104</f>
        <v>0</v>
      </c>
      <c r="U105" s="213"/>
    </row>
    <row r="106" spans="1:21" ht="12">
      <c r="A106" s="861" t="s">
        <v>1131</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90226199</v>
      </c>
      <c r="T107" s="234">
        <f>T105+T106</f>
        <v>0</v>
      </c>
    </row>
    <row r="108" spans="1:21" s="300" customFormat="1" ht="12">
      <c r="A108" s="233" t="s">
        <v>942</v>
      </c>
      <c r="B108" s="228"/>
      <c r="C108" s="228"/>
      <c r="D108" s="228"/>
      <c r="E108" s="459">
        <f>Application!AO650</f>
        <v>63085577</v>
      </c>
      <c r="F108" s="459">
        <f>Application!AO637</f>
        <v>10674000</v>
      </c>
      <c r="G108" s="459">
        <f>Application!AO638</f>
        <v>5000000</v>
      </c>
      <c r="H108" s="459">
        <f>Application!AO639</f>
        <v>10000000</v>
      </c>
      <c r="I108" s="459">
        <f>Application!AO640</f>
        <v>9568635</v>
      </c>
      <c r="J108" s="459">
        <f>Application!AO641</f>
        <v>500622</v>
      </c>
      <c r="K108" s="459">
        <f>Application!AO642</f>
        <v>0</v>
      </c>
      <c r="L108" s="459">
        <f>Application!AO643</f>
        <v>0</v>
      </c>
      <c r="M108" s="459">
        <f>Application!AO644</f>
        <v>0</v>
      </c>
      <c r="N108" s="459">
        <f>Application!AO645</f>
        <v>0</v>
      </c>
      <c r="O108" s="459">
        <f>Application!AO646</f>
        <v>0</v>
      </c>
      <c r="P108" s="459">
        <f>Application!AO647</f>
        <v>0</v>
      </c>
      <c r="Q108" s="459">
        <f>Application!AO648</f>
        <v>0</v>
      </c>
      <c r="R108" s="229"/>
      <c r="S108" s="229"/>
      <c r="T108" s="229"/>
      <c r="U108" s="299"/>
    </row>
    <row r="109" spans="1:21" ht="10.199999999999999" customHeight="1">
      <c r="A109" s="228"/>
      <c r="B109" s="228"/>
      <c r="C109" s="228"/>
      <c r="D109" s="228"/>
    </row>
    <row r="110" spans="1:21" ht="12">
      <c r="A110" s="233" t="s">
        <v>1035</v>
      </c>
      <c r="B110" s="228"/>
      <c r="C110" s="228"/>
      <c r="D110" s="228"/>
    </row>
    <row r="111" spans="1:21" ht="12">
      <c r="A111" s="227" t="s">
        <v>1036</v>
      </c>
      <c r="B111" s="228"/>
      <c r="C111" s="228"/>
      <c r="D111" s="228"/>
    </row>
    <row r="112" spans="1:21" ht="12" customHeight="1">
      <c r="A112" s="480"/>
      <c r="B112" s="228"/>
      <c r="C112" s="228"/>
      <c r="D112" s="228"/>
    </row>
    <row r="113" spans="1:21" ht="12">
      <c r="A113" s="227" t="s">
        <v>1125</v>
      </c>
      <c r="B113" s="228"/>
      <c r="C113" s="228"/>
      <c r="D113" s="228"/>
    </row>
    <row r="114" spans="1:21" ht="12">
      <c r="A114" s="227" t="s">
        <v>1126</v>
      </c>
      <c r="B114" s="228"/>
      <c r="C114" s="228"/>
      <c r="D114" s="228"/>
    </row>
    <row r="115" spans="1:21" ht="12" customHeight="1">
      <c r="A115" s="480"/>
      <c r="B115" s="228"/>
      <c r="C115" s="228"/>
      <c r="D115" s="228"/>
    </row>
    <row r="116" spans="1:21" ht="12">
      <c r="A116" s="532" t="s">
        <v>1133</v>
      </c>
      <c r="B116" s="228"/>
      <c r="C116" s="228"/>
      <c r="D116" s="228"/>
    </row>
    <row r="117" spans="1:21" ht="12">
      <c r="A117" s="532" t="s">
        <v>1436</v>
      </c>
      <c r="B117" s="228"/>
      <c r="C117" s="228"/>
      <c r="D117" s="228"/>
    </row>
    <row r="118" spans="1:21" ht="12">
      <c r="A118" s="532" t="s">
        <v>1132</v>
      </c>
      <c r="B118" s="228"/>
      <c r="C118" s="228"/>
      <c r="D118" s="228"/>
    </row>
    <row r="119" spans="1:21" ht="12">
      <c r="A119" s="532" t="s">
        <v>1134</v>
      </c>
      <c r="B119" s="228"/>
      <c r="C119" s="228"/>
      <c r="D119" s="228"/>
    </row>
    <row r="120" spans="1:21" ht="12" customHeight="1">
      <c r="A120" s="531"/>
      <c r="B120" s="228"/>
      <c r="C120" s="228"/>
      <c r="D120" s="228"/>
    </row>
    <row r="121" spans="1:21" ht="15.6">
      <c r="A121" s="525" t="s">
        <v>1109</v>
      </c>
      <c r="B121" s="228"/>
      <c r="C121" s="228"/>
      <c r="D121" s="228"/>
    </row>
    <row r="122" spans="1:21">
      <c r="A122" s="510" t="s">
        <v>1093</v>
      </c>
      <c r="B122" s="509"/>
      <c r="C122" s="509"/>
      <c r="D122" s="2576" t="s">
        <v>1094</v>
      </c>
      <c r="E122" s="2576"/>
      <c r="F122" s="2576"/>
      <c r="G122" s="509"/>
      <c r="H122" s="509"/>
      <c r="I122" s="509"/>
      <c r="J122" s="509"/>
      <c r="K122" s="509"/>
      <c r="L122" s="509"/>
      <c r="M122" s="509"/>
      <c r="N122" s="509"/>
      <c r="O122" s="509"/>
      <c r="P122" s="509"/>
      <c r="Q122" s="509"/>
      <c r="R122" s="509"/>
      <c r="S122" s="509"/>
      <c r="T122" s="509"/>
      <c r="U122" s="511"/>
    </row>
    <row r="123" spans="1:21">
      <c r="A123" s="509" t="s">
        <v>1095</v>
      </c>
      <c r="B123" s="518"/>
      <c r="C123" s="509"/>
      <c r="D123" s="2566" t="s">
        <v>1437</v>
      </c>
      <c r="E123" s="2567"/>
      <c r="F123" s="2567"/>
      <c r="G123" s="2567"/>
      <c r="H123" s="2567"/>
      <c r="I123" s="2567"/>
      <c r="J123" s="2567"/>
      <c r="K123" s="2567"/>
      <c r="L123" s="2567"/>
      <c r="M123" s="2567"/>
      <c r="N123" s="2567"/>
      <c r="O123" s="2567"/>
      <c r="P123" s="2567"/>
      <c r="Q123" s="2567"/>
      <c r="R123" s="2567"/>
      <c r="S123" s="2567"/>
      <c r="T123" s="509"/>
      <c r="U123" s="511"/>
    </row>
    <row r="124" spans="1:21" ht="13.2">
      <c r="A124" s="508" t="s">
        <v>1096</v>
      </c>
      <c r="B124" s="518"/>
      <c r="C124" s="508"/>
      <c r="D124" s="2567"/>
      <c r="E124" s="2567"/>
      <c r="F124" s="2567"/>
      <c r="G124" s="2567"/>
      <c r="H124" s="2567"/>
      <c r="I124" s="2567"/>
      <c r="J124" s="2567"/>
      <c r="K124" s="2567"/>
      <c r="L124" s="2567"/>
      <c r="M124" s="2567"/>
      <c r="N124" s="2567"/>
      <c r="O124" s="2567"/>
      <c r="P124" s="2567"/>
      <c r="Q124" s="2567"/>
      <c r="R124" s="2567"/>
      <c r="S124" s="2567"/>
      <c r="T124" s="509"/>
      <c r="U124" s="511"/>
    </row>
    <row r="125" spans="1:21" ht="13.2">
      <c r="A125" s="508" t="s">
        <v>1097</v>
      </c>
      <c r="B125" s="518"/>
      <c r="C125" s="508"/>
      <c r="D125" s="2567"/>
      <c r="E125" s="2567"/>
      <c r="F125" s="2567"/>
      <c r="G125" s="2567"/>
      <c r="H125" s="2567"/>
      <c r="I125" s="2567"/>
      <c r="J125" s="2567"/>
      <c r="K125" s="2567"/>
      <c r="L125" s="2567"/>
      <c r="M125" s="2567"/>
      <c r="N125" s="2567"/>
      <c r="O125" s="2567"/>
      <c r="P125" s="2567"/>
      <c r="Q125" s="2567"/>
      <c r="R125" s="2567"/>
      <c r="S125" s="2567"/>
      <c r="T125" s="509"/>
      <c r="U125" s="511"/>
    </row>
    <row r="126" spans="1:21" ht="13.2">
      <c r="A126" s="508" t="s">
        <v>1098</v>
      </c>
      <c r="B126" s="518"/>
      <c r="C126" s="508"/>
      <c r="D126" s="520"/>
      <c r="E126" s="520"/>
      <c r="F126" s="520"/>
      <c r="G126" s="520"/>
      <c r="H126" s="520"/>
      <c r="I126" s="520"/>
      <c r="J126" s="520"/>
      <c r="K126" s="520"/>
      <c r="L126" s="520"/>
      <c r="M126" s="520"/>
      <c r="N126" s="520"/>
      <c r="O126" s="508"/>
      <c r="P126" s="508"/>
      <c r="Q126" s="508"/>
      <c r="R126" s="508"/>
      <c r="S126" s="508"/>
      <c r="T126" s="509"/>
      <c r="U126" s="511"/>
    </row>
    <row r="127" spans="1:21" ht="13.2">
      <c r="A127" s="508" t="s">
        <v>1099</v>
      </c>
      <c r="B127" s="518"/>
      <c r="C127" s="508"/>
      <c r="D127" s="520"/>
      <c r="E127" s="520"/>
      <c r="F127" s="520"/>
      <c r="G127" s="520"/>
      <c r="H127" s="520"/>
      <c r="I127" s="520"/>
      <c r="J127" s="520"/>
      <c r="K127" s="520"/>
      <c r="L127" s="520"/>
      <c r="M127" s="520"/>
      <c r="N127" s="520"/>
      <c r="O127" s="508"/>
      <c r="P127" s="508"/>
      <c r="Q127" s="508"/>
      <c r="R127" s="508"/>
      <c r="S127" s="508"/>
      <c r="T127" s="509"/>
      <c r="U127" s="511"/>
    </row>
    <row r="128" spans="1:21" ht="13.2">
      <c r="A128" s="508" t="s">
        <v>1100</v>
      </c>
      <c r="B128" s="518"/>
      <c r="C128" s="508"/>
      <c r="D128" s="2574"/>
      <c r="E128" s="2574"/>
      <c r="F128" s="2574"/>
      <c r="G128" s="2574"/>
      <c r="H128" s="2574"/>
      <c r="I128" s="508"/>
      <c r="J128" s="2565"/>
      <c r="K128" s="2565"/>
      <c r="L128" s="508"/>
      <c r="M128" s="508"/>
      <c r="N128" s="508"/>
      <c r="O128" s="508"/>
      <c r="P128" s="508"/>
      <c r="Q128" s="508"/>
      <c r="R128" s="508"/>
      <c r="S128" s="508"/>
      <c r="T128" s="509"/>
      <c r="U128" s="511"/>
    </row>
    <row r="129" spans="1:21" ht="13.2">
      <c r="A129" s="508" t="s">
        <v>308</v>
      </c>
      <c r="B129" s="518"/>
      <c r="C129" s="508"/>
      <c r="D129" s="2575" t="s">
        <v>1101</v>
      </c>
      <c r="E129" s="2575"/>
      <c r="F129" s="2575"/>
      <c r="G129" s="2575"/>
      <c r="H129" s="2575"/>
      <c r="I129" s="508"/>
      <c r="J129" s="508" t="s">
        <v>1102</v>
      </c>
      <c r="K129" s="508"/>
      <c r="L129" s="508"/>
      <c r="M129" s="508"/>
      <c r="N129" s="508"/>
      <c r="O129" s="508"/>
      <c r="P129" s="508"/>
      <c r="Q129" s="508"/>
      <c r="R129" s="508"/>
      <c r="S129" s="508"/>
      <c r="T129" s="509"/>
      <c r="U129" s="511"/>
    </row>
    <row r="130" spans="1:21" ht="12" customHeight="1">
      <c r="A130" s="508"/>
      <c r="B130" s="517"/>
      <c r="C130" s="508"/>
      <c r="D130" s="508"/>
      <c r="E130" s="508"/>
      <c r="F130" s="508"/>
      <c r="G130" s="508"/>
      <c r="H130" s="508"/>
      <c r="I130" s="508"/>
      <c r="J130" s="508"/>
      <c r="K130" s="508"/>
      <c r="L130" s="508"/>
      <c r="M130" s="508"/>
      <c r="N130" s="508"/>
      <c r="O130" s="508"/>
      <c r="P130" s="508"/>
      <c r="Q130" s="508"/>
      <c r="R130" s="508"/>
      <c r="S130" s="508"/>
      <c r="T130" s="509"/>
      <c r="U130" s="511"/>
    </row>
    <row r="131" spans="1:21" ht="13.2">
      <c r="A131" s="521" t="s">
        <v>1103</v>
      </c>
      <c r="B131" s="519">
        <f>SUM(B123:B129)</f>
        <v>0</v>
      </c>
      <c r="C131" s="508"/>
      <c r="D131" s="2062"/>
      <c r="E131" s="2062"/>
      <c r="F131" s="2062"/>
      <c r="G131" s="2062"/>
      <c r="H131" s="2062"/>
      <c r="I131" s="508"/>
      <c r="J131" s="2062"/>
      <c r="K131" s="2062"/>
      <c r="L131" s="2062"/>
      <c r="M131" s="2062"/>
      <c r="N131" s="508"/>
      <c r="O131" s="508"/>
      <c r="P131" s="508"/>
      <c r="Q131" s="508"/>
      <c r="R131" s="508"/>
      <c r="S131" s="508"/>
      <c r="T131" s="509"/>
      <c r="U131" s="511"/>
    </row>
    <row r="132" spans="1:21" ht="12" customHeight="1">
      <c r="A132" s="522"/>
      <c r="B132" s="508"/>
      <c r="C132" s="508"/>
      <c r="D132" s="2568" t="s">
        <v>1104</v>
      </c>
      <c r="E132" s="2568"/>
      <c r="F132" s="2568"/>
      <c r="G132" s="2568"/>
      <c r="H132" s="2568"/>
      <c r="I132" s="508"/>
      <c r="J132" s="2568" t="s">
        <v>1105</v>
      </c>
      <c r="K132" s="2568"/>
      <c r="L132" s="2568"/>
      <c r="M132" s="2568"/>
      <c r="N132" s="508"/>
      <c r="O132" s="508"/>
      <c r="P132" s="508"/>
      <c r="Q132" s="508"/>
      <c r="R132" s="508"/>
      <c r="S132" s="508"/>
      <c r="T132" s="509"/>
      <c r="U132" s="511"/>
    </row>
    <row r="133" spans="1:21" ht="12" customHeight="1">
      <c r="A133" s="522"/>
      <c r="B133" s="508"/>
      <c r="C133" s="508"/>
      <c r="D133" s="508"/>
      <c r="E133" s="508"/>
      <c r="F133" s="508"/>
      <c r="G133" s="508"/>
      <c r="H133" s="508"/>
      <c r="I133" s="508"/>
      <c r="J133" s="508"/>
      <c r="K133" s="508"/>
      <c r="L133" s="508"/>
      <c r="M133" s="508"/>
      <c r="N133" s="508"/>
      <c r="O133" s="508"/>
      <c r="P133" s="508"/>
      <c r="Q133" s="508"/>
      <c r="R133" s="508"/>
      <c r="S133" s="508"/>
      <c r="T133" s="509"/>
      <c r="U133" s="511"/>
    </row>
    <row r="134" spans="1:21" ht="13.2">
      <c r="A134" s="523" t="s">
        <v>1106</v>
      </c>
      <c r="B134" s="508"/>
      <c r="C134" s="508"/>
      <c r="D134" s="508"/>
      <c r="E134" s="508"/>
      <c r="F134" s="508"/>
      <c r="G134" s="508"/>
      <c r="H134" s="508"/>
      <c r="I134" s="508"/>
      <c r="J134" s="508"/>
      <c r="K134" s="508"/>
      <c r="L134" s="508"/>
      <c r="M134" s="508"/>
      <c r="N134" s="508"/>
      <c r="O134" s="508"/>
      <c r="P134" s="508"/>
      <c r="Q134" s="508"/>
      <c r="R134" s="508"/>
      <c r="S134" s="508"/>
      <c r="T134" s="509"/>
      <c r="U134" s="511"/>
    </row>
    <row r="135" spans="1:21" ht="13.2">
      <c r="A135" s="480" t="s">
        <v>1107</v>
      </c>
      <c r="B135" s="508"/>
      <c r="C135" s="508"/>
      <c r="D135" s="508"/>
      <c r="E135" s="508"/>
      <c r="F135" s="508"/>
      <c r="G135" s="508"/>
      <c r="H135" s="508"/>
      <c r="I135" s="508"/>
      <c r="J135" s="508"/>
      <c r="K135" s="508"/>
      <c r="L135" s="508"/>
      <c r="M135" s="508"/>
      <c r="N135" s="524"/>
      <c r="O135" s="508"/>
      <c r="P135" s="508"/>
      <c r="Q135" s="508"/>
      <c r="R135" s="508"/>
      <c r="S135" s="508"/>
      <c r="T135" s="509"/>
      <c r="U135" s="511"/>
    </row>
    <row r="136" spans="1:21" ht="12" customHeight="1">
      <c r="A136" s="522"/>
      <c r="B136" s="508"/>
      <c r="C136" s="508"/>
      <c r="D136" s="508"/>
      <c r="E136" s="508"/>
      <c r="F136" s="508"/>
      <c r="G136" s="508"/>
      <c r="H136" s="508"/>
      <c r="I136" s="508"/>
      <c r="J136" s="508"/>
      <c r="K136" s="508"/>
      <c r="L136" s="508"/>
      <c r="M136" s="508"/>
      <c r="N136" s="508"/>
      <c r="O136" s="508"/>
      <c r="P136" s="508"/>
      <c r="Q136" s="508"/>
      <c r="R136" s="508"/>
      <c r="S136" s="508"/>
      <c r="T136" s="515"/>
      <c r="U136" s="516"/>
    </row>
    <row r="137" spans="1:21" ht="13.2">
      <c r="A137" s="522"/>
      <c r="B137" s="508"/>
      <c r="C137" s="508"/>
      <c r="D137" s="508"/>
      <c r="E137" s="508"/>
      <c r="F137" s="508"/>
      <c r="G137" s="508"/>
      <c r="H137" s="508"/>
      <c r="I137" s="508"/>
      <c r="J137" s="508"/>
      <c r="K137" s="508"/>
      <c r="L137" s="508"/>
      <c r="M137" s="508"/>
      <c r="N137" s="508"/>
      <c r="O137" s="508"/>
      <c r="P137" s="508"/>
      <c r="Q137" s="508"/>
      <c r="R137" s="508"/>
      <c r="S137" s="508"/>
      <c r="T137" s="515"/>
      <c r="U137" s="516"/>
    </row>
    <row r="138" spans="1:21" ht="12" customHeight="1">
      <c r="A138" s="2569"/>
      <c r="B138" s="2570"/>
      <c r="C138" s="2570"/>
      <c r="D138" s="513"/>
      <c r="E138" s="2565"/>
      <c r="F138" s="2565"/>
      <c r="G138" s="508"/>
      <c r="H138" s="508"/>
      <c r="I138" s="508"/>
      <c r="J138" s="508"/>
      <c r="K138" s="508"/>
      <c r="L138" s="508"/>
      <c r="M138" s="508"/>
      <c r="N138" s="508"/>
      <c r="O138" s="508"/>
      <c r="P138" s="508"/>
      <c r="Q138" s="508"/>
      <c r="R138" s="508"/>
      <c r="S138" s="508"/>
      <c r="T138" s="515"/>
      <c r="U138" s="516"/>
    </row>
    <row r="139" spans="1:21" ht="13.2">
      <c r="A139" s="2563" t="s">
        <v>1108</v>
      </c>
      <c r="B139" s="2564"/>
      <c r="C139" s="2564"/>
      <c r="D139" s="513"/>
      <c r="E139" s="508" t="s">
        <v>1102</v>
      </c>
      <c r="F139" s="508"/>
      <c r="G139" s="508"/>
      <c r="H139" s="508"/>
      <c r="I139" s="508"/>
      <c r="J139" s="508"/>
      <c r="K139" s="508"/>
      <c r="L139" s="508"/>
      <c r="M139" s="508"/>
      <c r="N139" s="508"/>
      <c r="O139" s="508"/>
      <c r="P139" s="508"/>
      <c r="Q139" s="508"/>
      <c r="R139" s="508"/>
      <c r="S139" s="508"/>
      <c r="T139" s="515"/>
      <c r="U139" s="516"/>
    </row>
    <row r="140" spans="1:21" ht="13.2">
      <c r="A140" s="522"/>
      <c r="B140" s="508"/>
      <c r="C140" s="508"/>
      <c r="D140" s="513"/>
      <c r="E140" s="508"/>
      <c r="F140" s="508"/>
      <c r="G140" s="508"/>
      <c r="H140" s="508"/>
      <c r="I140" s="508"/>
      <c r="J140" s="508"/>
      <c r="K140" s="508"/>
      <c r="L140" s="508"/>
      <c r="M140" s="508"/>
      <c r="N140" s="508"/>
      <c r="O140" s="508"/>
      <c r="P140" s="508"/>
      <c r="Q140" s="508"/>
      <c r="R140" s="508"/>
      <c r="S140" s="508"/>
      <c r="T140" s="512"/>
      <c r="U140" s="514"/>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7" priority="255" stopIfTrue="1">
      <formula>T9&gt;C9</formula>
    </cfRule>
  </conditionalFormatting>
  <conditionalFormatting sqref="S10">
    <cfRule type="expression" dxfId="116" priority="254" stopIfTrue="1">
      <formula>(S10+T10)&gt;C10</formula>
    </cfRule>
  </conditionalFormatting>
  <conditionalFormatting sqref="R8">
    <cfRule type="cellIs" dxfId="115" priority="243" stopIfTrue="1" operator="notEqual">
      <formula>$B8</formula>
    </cfRule>
    <cfRule type="cellIs" priority="246" stopIfTrue="1" operator="notEqual">
      <formula>$B8</formula>
    </cfRule>
  </conditionalFormatting>
  <conditionalFormatting sqref="R4:R7 R56:R61 R45:R53 R83:R95 R99:R103">
    <cfRule type="cellIs" dxfId="114" priority="245" stopIfTrue="1" operator="notEqual">
      <formula>$B4</formula>
    </cfRule>
  </conditionalFormatting>
  <conditionalFormatting sqref="R9:R10">
    <cfRule type="cellIs" dxfId="113" priority="244" stopIfTrue="1" operator="notEqual">
      <formula>$B9</formula>
    </cfRule>
  </conditionalFormatting>
  <conditionalFormatting sqref="R11:R12">
    <cfRule type="cellIs" dxfId="112" priority="241" stopIfTrue="1" operator="notEqual">
      <formula>$B11</formula>
    </cfRule>
    <cfRule type="cellIs" priority="242" stopIfTrue="1" operator="notEqual">
      <formula>$B11</formula>
    </cfRule>
  </conditionalFormatting>
  <conditionalFormatting sqref="R13:R15">
    <cfRule type="cellIs" dxfId="111" priority="240" stopIfTrue="1" operator="notEqual">
      <formula>$B13</formula>
    </cfRule>
  </conditionalFormatting>
  <conditionalFormatting sqref="R26">
    <cfRule type="cellIs" dxfId="110" priority="238" stopIfTrue="1" operator="notEqual">
      <formula>$B26</formula>
    </cfRule>
    <cfRule type="cellIs" priority="239" stopIfTrue="1" operator="notEqual">
      <formula>$B26</formula>
    </cfRule>
  </conditionalFormatting>
  <conditionalFormatting sqref="R17:R25">
    <cfRule type="cellIs" dxfId="109" priority="237" stopIfTrue="1" operator="notEqual">
      <formula>$B17</formula>
    </cfRule>
  </conditionalFormatting>
  <conditionalFormatting sqref="R27">
    <cfRule type="cellIs" dxfId="108" priority="236" stopIfTrue="1" operator="notEqual">
      <formula>$B27</formula>
    </cfRule>
  </conditionalFormatting>
  <conditionalFormatting sqref="R38">
    <cfRule type="cellIs" dxfId="107" priority="234" stopIfTrue="1" operator="notEqual">
      <formula>$B38</formula>
    </cfRule>
    <cfRule type="cellIs" priority="235" stopIfTrue="1" operator="notEqual">
      <formula>$B38</formula>
    </cfRule>
  </conditionalFormatting>
  <conditionalFormatting sqref="R29:R37">
    <cfRule type="cellIs" dxfId="106" priority="233" stopIfTrue="1" operator="notEqual">
      <formula>$B29</formula>
    </cfRule>
  </conditionalFormatting>
  <conditionalFormatting sqref="R42">
    <cfRule type="cellIs" dxfId="105" priority="231" stopIfTrue="1" operator="notEqual">
      <formula>$B42</formula>
    </cfRule>
    <cfRule type="cellIs" priority="232" stopIfTrue="1" operator="notEqual">
      <formula>$B42</formula>
    </cfRule>
  </conditionalFormatting>
  <conditionalFormatting sqref="R40:R41">
    <cfRule type="cellIs" dxfId="104" priority="230" stopIfTrue="1" operator="notEqual">
      <formula>$B40</formula>
    </cfRule>
  </conditionalFormatting>
  <conditionalFormatting sqref="R43">
    <cfRule type="cellIs" dxfId="103" priority="229" stopIfTrue="1" operator="notEqual">
      <formula>$B43</formula>
    </cfRule>
  </conditionalFormatting>
  <conditionalFormatting sqref="R54">
    <cfRule type="cellIs" dxfId="102" priority="227" stopIfTrue="1" operator="notEqual">
      <formula>$B54</formula>
    </cfRule>
    <cfRule type="cellIs" priority="228" stopIfTrue="1" operator="notEqual">
      <formula>$B54</formula>
    </cfRule>
  </conditionalFormatting>
  <conditionalFormatting sqref="R62:R63">
    <cfRule type="cellIs" dxfId="101" priority="224" stopIfTrue="1" operator="notEqual">
      <formula>$B62</formula>
    </cfRule>
    <cfRule type="cellIs" priority="225" stopIfTrue="1" operator="notEqual">
      <formula>$B62</formula>
    </cfRule>
  </conditionalFormatting>
  <conditionalFormatting sqref="R70">
    <cfRule type="cellIs" dxfId="100" priority="221" stopIfTrue="1" operator="notEqual">
      <formula>$B70</formula>
    </cfRule>
    <cfRule type="cellIs" priority="222" stopIfTrue="1" operator="notEqual">
      <formula>$B70</formula>
    </cfRule>
  </conditionalFormatting>
  <conditionalFormatting sqref="R65:R69">
    <cfRule type="cellIs" dxfId="99" priority="220" stopIfTrue="1" operator="notEqual">
      <formula>$B65</formula>
    </cfRule>
  </conditionalFormatting>
  <conditionalFormatting sqref="R77">
    <cfRule type="cellIs" dxfId="98" priority="218" stopIfTrue="1" operator="notEqual">
      <formula>$B77</formula>
    </cfRule>
    <cfRule type="cellIs" priority="219" stopIfTrue="1" operator="notEqual">
      <formula>$B77</formula>
    </cfRule>
  </conditionalFormatting>
  <conditionalFormatting sqref="R96">
    <cfRule type="cellIs" dxfId="97" priority="216" stopIfTrue="1" operator="notEqual">
      <formula>$B96</formula>
    </cfRule>
    <cfRule type="cellIs" priority="217" stopIfTrue="1" operator="notEqual">
      <formula>$B96</formula>
    </cfRule>
  </conditionalFormatting>
  <conditionalFormatting sqref="R72:R76">
    <cfRule type="cellIs" dxfId="96" priority="215" stopIfTrue="1" operator="notEqual">
      <formula>$B72</formula>
    </cfRule>
  </conditionalFormatting>
  <conditionalFormatting sqref="R79:R80">
    <cfRule type="cellIs" dxfId="95" priority="214" stopIfTrue="1" operator="notEqual">
      <formula>$B79</formula>
    </cfRule>
  </conditionalFormatting>
  <conditionalFormatting sqref="R104:R105">
    <cfRule type="cellIs" dxfId="94" priority="211" stopIfTrue="1" operator="notEqual">
      <formula>$B104</formula>
    </cfRule>
    <cfRule type="cellIs" priority="212" stopIfTrue="1" operator="notEqual">
      <formula>$B104</formula>
    </cfRule>
  </conditionalFormatting>
  <conditionalFormatting sqref="E105:Q105">
    <cfRule type="cellIs" dxfId="93" priority="209" stopIfTrue="1" operator="notEqual">
      <formula>E$108</formula>
    </cfRule>
  </conditionalFormatting>
  <conditionalFormatting sqref="S13">
    <cfRule type="expression" dxfId="92" priority="206" stopIfTrue="1">
      <formula>(S13+T13)&gt;C13</formula>
    </cfRule>
  </conditionalFormatting>
  <conditionalFormatting sqref="S14">
    <cfRule type="expression" dxfId="91" priority="203" stopIfTrue="1">
      <formula>(S14+T14)&gt;C14</formula>
    </cfRule>
  </conditionalFormatting>
  <conditionalFormatting sqref="S17">
    <cfRule type="expression" dxfId="90" priority="202" stopIfTrue="1">
      <formula>(S17+T17)&gt;C17</formula>
    </cfRule>
  </conditionalFormatting>
  <conditionalFormatting sqref="S18">
    <cfRule type="expression" dxfId="89" priority="194" stopIfTrue="1">
      <formula>(S18+T18)&gt;C18</formula>
    </cfRule>
  </conditionalFormatting>
  <conditionalFormatting sqref="S19">
    <cfRule type="expression" dxfId="88" priority="192" stopIfTrue="1">
      <formula>(S19+T19)&gt;C19</formula>
    </cfRule>
  </conditionalFormatting>
  <conditionalFormatting sqref="S20">
    <cfRule type="expression" dxfId="87" priority="191" stopIfTrue="1">
      <formula>(S20+T20)&gt;C20</formula>
    </cfRule>
  </conditionalFormatting>
  <conditionalFormatting sqref="S21">
    <cfRule type="expression" dxfId="86" priority="190" stopIfTrue="1">
      <formula>(S21+T21)&gt;C21</formula>
    </cfRule>
  </conditionalFormatting>
  <conditionalFormatting sqref="S22">
    <cfRule type="expression" dxfId="85" priority="189" stopIfTrue="1">
      <formula>(S22+T22)&gt;C22</formula>
    </cfRule>
  </conditionalFormatting>
  <conditionalFormatting sqref="S23:S24">
    <cfRule type="expression" dxfId="84" priority="188" stopIfTrue="1">
      <formula>(S23+T23)&gt;C23</formula>
    </cfRule>
  </conditionalFormatting>
  <conditionalFormatting sqref="S25">
    <cfRule type="expression" dxfId="83" priority="187" stopIfTrue="1">
      <formula>(S25+T25)&gt;C25</formula>
    </cfRule>
  </conditionalFormatting>
  <conditionalFormatting sqref="S27">
    <cfRule type="expression" dxfId="82" priority="180" stopIfTrue="1">
      <formula>(S27+T27)&gt;C27</formula>
    </cfRule>
  </conditionalFormatting>
  <conditionalFormatting sqref="C10">
    <cfRule type="expression" dxfId="81" priority="86">
      <formula>"(S10+T10)&gt;C10 "</formula>
    </cfRule>
  </conditionalFormatting>
  <conditionalFormatting sqref="T10">
    <cfRule type="expression" dxfId="80" priority="84" stopIfTrue="1">
      <formula>(S10+T10)&gt;C10</formula>
    </cfRule>
  </conditionalFormatting>
  <conditionalFormatting sqref="T13">
    <cfRule type="expression" dxfId="79" priority="82" stopIfTrue="1">
      <formula>(S13+T13)&gt;C13</formula>
    </cfRule>
  </conditionalFormatting>
  <conditionalFormatting sqref="T14">
    <cfRule type="expression" dxfId="78" priority="81" stopIfTrue="1">
      <formula>(S14+T14)&gt;C14</formula>
    </cfRule>
  </conditionalFormatting>
  <conditionalFormatting sqref="T17">
    <cfRule type="expression" dxfId="77" priority="80" stopIfTrue="1">
      <formula>(S17+T17)&gt;C17</formula>
    </cfRule>
  </conditionalFormatting>
  <conditionalFormatting sqref="T18">
    <cfRule type="expression" dxfId="76" priority="63" stopIfTrue="1">
      <formula>(S18+T18)&gt;C18</formula>
    </cfRule>
  </conditionalFormatting>
  <conditionalFormatting sqref="T19">
    <cfRule type="expression" dxfId="75" priority="62" stopIfTrue="1">
      <formula>(S19+T19)&gt;C19</formula>
    </cfRule>
  </conditionalFormatting>
  <conditionalFormatting sqref="T20">
    <cfRule type="expression" dxfId="74" priority="61" stopIfTrue="1">
      <formula>(S20+T20)&gt;C20</formula>
    </cfRule>
  </conditionalFormatting>
  <conditionalFormatting sqref="T21">
    <cfRule type="expression" dxfId="73" priority="60" stopIfTrue="1">
      <formula>(S21+T21)&gt;C21</formula>
    </cfRule>
  </conditionalFormatting>
  <conditionalFormatting sqref="T22">
    <cfRule type="expression" dxfId="72" priority="59" stopIfTrue="1">
      <formula>(S22+T22)&gt;C22</formula>
    </cfRule>
  </conditionalFormatting>
  <conditionalFormatting sqref="T23:T24">
    <cfRule type="expression" dxfId="71" priority="58" stopIfTrue="1">
      <formula>(S23+T23)&gt;C23</formula>
    </cfRule>
  </conditionalFormatting>
  <conditionalFormatting sqref="T25">
    <cfRule type="expression" dxfId="70" priority="57" stopIfTrue="1">
      <formula>(S25+T25)&gt;C25</formula>
    </cfRule>
  </conditionalFormatting>
  <conditionalFormatting sqref="T27">
    <cfRule type="expression" dxfId="69" priority="55" stopIfTrue="1">
      <formula>(S27+T27)&gt;C27</formula>
    </cfRule>
  </conditionalFormatting>
  <conditionalFormatting sqref="T29">
    <cfRule type="expression" dxfId="68" priority="54" stopIfTrue="1">
      <formula>(S29+T29)&gt;C29</formula>
    </cfRule>
  </conditionalFormatting>
  <conditionalFormatting sqref="T30">
    <cfRule type="expression" dxfId="67" priority="52" stopIfTrue="1">
      <formula>(S30+T30)&gt;C30</formula>
    </cfRule>
  </conditionalFormatting>
  <conditionalFormatting sqref="T31">
    <cfRule type="expression" dxfId="66" priority="51" stopIfTrue="1">
      <formula>(S31+T31)&gt;C31</formula>
    </cfRule>
  </conditionalFormatting>
  <conditionalFormatting sqref="T32">
    <cfRule type="expression" dxfId="65" priority="50" stopIfTrue="1">
      <formula>(S32+T32)&gt;C32</formula>
    </cfRule>
  </conditionalFormatting>
  <conditionalFormatting sqref="T33">
    <cfRule type="expression" dxfId="64" priority="49" stopIfTrue="1">
      <formula>(S33+T33)&gt;C33</formula>
    </cfRule>
  </conditionalFormatting>
  <conditionalFormatting sqref="T34">
    <cfRule type="expression" dxfId="63" priority="48" stopIfTrue="1">
      <formula>(S34+T34)&gt;C34</formula>
    </cfRule>
  </conditionalFormatting>
  <conditionalFormatting sqref="T35:T36">
    <cfRule type="expression" dxfId="62" priority="47" stopIfTrue="1">
      <formula>(S35+T35)&gt;C35</formula>
    </cfRule>
  </conditionalFormatting>
  <conditionalFormatting sqref="T37">
    <cfRule type="expression" dxfId="61" priority="46" stopIfTrue="1">
      <formula>(S37+T37)&gt;C37</formula>
    </cfRule>
  </conditionalFormatting>
  <conditionalFormatting sqref="T40">
    <cfRule type="expression" dxfId="60" priority="45" stopIfTrue="1">
      <formula>(S40+T40)&gt;C40</formula>
    </cfRule>
  </conditionalFormatting>
  <conditionalFormatting sqref="T41">
    <cfRule type="expression" dxfId="59" priority="44" stopIfTrue="1">
      <formula>(S41+T41)&gt;C41</formula>
    </cfRule>
  </conditionalFormatting>
  <conditionalFormatting sqref="T43">
    <cfRule type="expression" dxfId="58" priority="43" stopIfTrue="1">
      <formula>(S43+T43)&gt;C43</formula>
    </cfRule>
  </conditionalFormatting>
  <conditionalFormatting sqref="T45">
    <cfRule type="expression" dxfId="57" priority="42" stopIfTrue="1">
      <formula>(S45+T45)&gt;C45</formula>
    </cfRule>
  </conditionalFormatting>
  <conditionalFormatting sqref="T46">
    <cfRule type="expression" dxfId="56" priority="41" stopIfTrue="1">
      <formula>(S46+T46)&gt;C46</formula>
    </cfRule>
  </conditionalFormatting>
  <conditionalFormatting sqref="T47">
    <cfRule type="expression" dxfId="55" priority="40" stopIfTrue="1">
      <formula>(S47+T47)&gt;C47</formula>
    </cfRule>
  </conditionalFormatting>
  <conditionalFormatting sqref="T48">
    <cfRule type="expression" dxfId="54" priority="39" stopIfTrue="1">
      <formula>(S48+T48)&gt;C48</formula>
    </cfRule>
  </conditionalFormatting>
  <conditionalFormatting sqref="T49">
    <cfRule type="expression" dxfId="53" priority="38" stopIfTrue="1">
      <formula>(S49+T49)&gt;C49</formula>
    </cfRule>
  </conditionalFormatting>
  <conditionalFormatting sqref="T50">
    <cfRule type="expression" dxfId="52" priority="37" stopIfTrue="1">
      <formula>(S50+T50)&gt;C50</formula>
    </cfRule>
  </conditionalFormatting>
  <conditionalFormatting sqref="T51">
    <cfRule type="expression" dxfId="51" priority="36" stopIfTrue="1">
      <formula>(S51+T51)&gt;C51</formula>
    </cfRule>
  </conditionalFormatting>
  <conditionalFormatting sqref="T52">
    <cfRule type="expression" dxfId="50" priority="35" stopIfTrue="1">
      <formula>(S52+T52)&gt;C52</formula>
    </cfRule>
  </conditionalFormatting>
  <conditionalFormatting sqref="T53">
    <cfRule type="expression" dxfId="49" priority="33" stopIfTrue="1">
      <formula>(S53+T53)&gt;C53</formula>
    </cfRule>
  </conditionalFormatting>
  <conditionalFormatting sqref="T65:T68">
    <cfRule type="expression" dxfId="48" priority="32" stopIfTrue="1">
      <formula>(S65+T65)&gt;C65</formula>
    </cfRule>
  </conditionalFormatting>
  <conditionalFormatting sqref="T69">
    <cfRule type="expression" dxfId="47" priority="31" stopIfTrue="1">
      <formula>(S69+T69)&gt;C69</formula>
    </cfRule>
  </conditionalFormatting>
  <conditionalFormatting sqref="T79">
    <cfRule type="expression" dxfId="46" priority="30" stopIfTrue="1">
      <formula>(S79+T79)&gt;C79</formula>
    </cfRule>
  </conditionalFormatting>
  <conditionalFormatting sqref="T80">
    <cfRule type="expression" dxfId="45" priority="29" stopIfTrue="1">
      <formula>(S80+T80)&gt;C80</formula>
    </cfRule>
  </conditionalFormatting>
  <conditionalFormatting sqref="T84">
    <cfRule type="expression" dxfId="44" priority="28" stopIfTrue="1">
      <formula>(S84+T84)&gt;C84</formula>
    </cfRule>
  </conditionalFormatting>
  <conditionalFormatting sqref="T85">
    <cfRule type="expression" dxfId="43" priority="27" stopIfTrue="1">
      <formula>(S85+T85)&gt;C85</formula>
    </cfRule>
  </conditionalFormatting>
  <conditionalFormatting sqref="T86">
    <cfRule type="expression" dxfId="42" priority="26" stopIfTrue="1">
      <formula>(S86+T86)&gt;C86</formula>
    </cfRule>
  </conditionalFormatting>
  <conditionalFormatting sqref="T87">
    <cfRule type="expression" dxfId="41" priority="25" stopIfTrue="1">
      <formula>(S87+T87)&gt;C87</formula>
    </cfRule>
  </conditionalFormatting>
  <conditionalFormatting sqref="T89">
    <cfRule type="expression" dxfId="40" priority="24" stopIfTrue="1">
      <formula>(S89+T89)&gt;C89</formula>
    </cfRule>
  </conditionalFormatting>
  <conditionalFormatting sqref="T90">
    <cfRule type="expression" dxfId="39" priority="23" stopIfTrue="1">
      <formula>(S90+T90)&gt;C90</formula>
    </cfRule>
  </conditionalFormatting>
  <conditionalFormatting sqref="T91">
    <cfRule type="expression" dxfId="38" priority="22" stopIfTrue="1">
      <formula>(S91+T91)&gt;C91</formula>
    </cfRule>
  </conditionalFormatting>
  <conditionalFormatting sqref="T92">
    <cfRule type="expression" dxfId="37" priority="21" stopIfTrue="1">
      <formula>(S92+T92)&gt;C92</formula>
    </cfRule>
  </conditionalFormatting>
  <conditionalFormatting sqref="T93">
    <cfRule type="expression" dxfId="36" priority="20" stopIfTrue="1">
      <formula>(S93+T93)&gt;C93</formula>
    </cfRule>
  </conditionalFormatting>
  <conditionalFormatting sqref="T94">
    <cfRule type="expression" dxfId="35" priority="19" stopIfTrue="1">
      <formula>(S94+T94)&gt;C94</formula>
    </cfRule>
  </conditionalFormatting>
  <conditionalFormatting sqref="T95">
    <cfRule type="expression" dxfId="34" priority="18" stopIfTrue="1">
      <formula>(S95+T95)&gt;C95</formula>
    </cfRule>
  </conditionalFormatting>
  <conditionalFormatting sqref="T99">
    <cfRule type="expression" dxfId="33" priority="15" stopIfTrue="1">
      <formula>(S99+T99)&gt;C99</formula>
    </cfRule>
  </conditionalFormatting>
  <conditionalFormatting sqref="T100">
    <cfRule type="expression" dxfId="32" priority="14" stopIfTrue="1">
      <formula>(S100+T100)&gt;C100</formula>
    </cfRule>
  </conditionalFormatting>
  <conditionalFormatting sqref="T101">
    <cfRule type="expression" dxfId="31" priority="12" stopIfTrue="1">
      <formula>(S101+T101)&gt;C101</formula>
    </cfRule>
  </conditionalFormatting>
  <conditionalFormatting sqref="T102">
    <cfRule type="expression" dxfId="30" priority="11" stopIfTrue="1">
      <formula>(S102+T102)&gt;C102</formula>
    </cfRule>
  </conditionalFormatting>
  <conditionalFormatting sqref="T103">
    <cfRule type="expression" dxfId="29" priority="10" stopIfTrue="1">
      <formula>(S103+T103)&gt;C103</formula>
    </cfRule>
  </conditionalFormatting>
  <conditionalFormatting sqref="S29:S37">
    <cfRule type="expression" dxfId="28" priority="9" stopIfTrue="1">
      <formula>(S29+T29)&gt;C29</formula>
    </cfRule>
  </conditionalFormatting>
  <conditionalFormatting sqref="S40:S41">
    <cfRule type="expression" dxfId="27" priority="8" stopIfTrue="1">
      <formula>(S40+T40)&gt;C40</formula>
    </cfRule>
  </conditionalFormatting>
  <conditionalFormatting sqref="S43">
    <cfRule type="expression" dxfId="26" priority="7" stopIfTrue="1">
      <formula>(S43+T43)&gt;C43</formula>
    </cfRule>
  </conditionalFormatting>
  <conditionalFormatting sqref="S45:S53">
    <cfRule type="expression" dxfId="25" priority="6" stopIfTrue="1">
      <formula>(S45+T45)&gt;C45</formula>
    </cfRule>
  </conditionalFormatting>
  <conditionalFormatting sqref="S65:S69">
    <cfRule type="expression" dxfId="24" priority="5" stopIfTrue="1">
      <formula>(S65+T65)&gt;C65</formula>
    </cfRule>
  </conditionalFormatting>
  <conditionalFormatting sqref="S79:S80">
    <cfRule type="expression" dxfId="23" priority="4" stopIfTrue="1">
      <formula>(S79+T79)&gt;C79</formula>
    </cfRule>
  </conditionalFormatting>
  <conditionalFormatting sqref="S84:S87">
    <cfRule type="expression" dxfId="22" priority="3" stopIfTrue="1">
      <formula>(S84+T84)&gt;C84</formula>
    </cfRule>
  </conditionalFormatting>
  <conditionalFormatting sqref="S89:S95">
    <cfRule type="expression" dxfId="21" priority="2" stopIfTrue="1">
      <formula>(S89+T89)&gt;C89</formula>
    </cfRule>
  </conditionalFormatting>
  <conditionalFormatting sqref="S99:S103">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34" zoomScaleNormal="100" zoomScaleSheetLayoutView="100" workbookViewId="0">
      <selection activeCell="E7" sqref="E7"/>
    </sheetView>
  </sheetViews>
  <sheetFormatPr defaultColWidth="0" defaultRowHeight="12" zeroHeight="1"/>
  <cols>
    <col min="1" max="1" width="32.77734375" style="605" customWidth="1"/>
    <col min="2" max="3" width="12.109375" style="598" customWidth="1"/>
    <col min="4" max="6" width="12.77734375" style="598" customWidth="1"/>
    <col min="7" max="9" width="12.109375" style="598" customWidth="1"/>
    <col min="10" max="10" width="12.109375" style="599" customWidth="1"/>
    <col min="11" max="11" width="8.77734375" style="600" hidden="1" customWidth="1"/>
    <col min="12" max="21" width="8.77734375" style="598" hidden="1" customWidth="1"/>
    <col min="22" max="23" width="0" style="598" hidden="1"/>
    <col min="24" max="256" width="8.77734375" style="598" hidden="1"/>
    <col min="257" max="257" width="32.77734375" style="598" hidden="1" customWidth="1"/>
    <col min="258" max="259" width="12.109375" style="598" hidden="1" customWidth="1"/>
    <col min="260" max="260" width="12.77734375" style="598" hidden="1" customWidth="1"/>
    <col min="261" max="266" width="12.109375" style="598" hidden="1" customWidth="1"/>
    <col min="267" max="277" width="8.77734375" style="598" hidden="1" customWidth="1"/>
    <col min="278" max="512" width="8.77734375" style="598" hidden="1"/>
    <col min="513" max="513" width="32.77734375" style="598" hidden="1" customWidth="1"/>
    <col min="514" max="515" width="12.109375" style="598" hidden="1" customWidth="1"/>
    <col min="516" max="516" width="12.77734375" style="598" hidden="1" customWidth="1"/>
    <col min="517" max="522" width="12.109375" style="598" hidden="1" customWidth="1"/>
    <col min="523" max="533" width="8.77734375" style="598" hidden="1" customWidth="1"/>
    <col min="534" max="768" width="8.77734375" style="598" hidden="1"/>
    <col min="769" max="769" width="32.77734375" style="598" hidden="1" customWidth="1"/>
    <col min="770" max="771" width="12.109375" style="598" hidden="1" customWidth="1"/>
    <col min="772" max="772" width="12.77734375" style="598" hidden="1" customWidth="1"/>
    <col min="773" max="778" width="12.109375" style="598" hidden="1" customWidth="1"/>
    <col min="779" max="789" width="8.77734375" style="598" hidden="1" customWidth="1"/>
    <col min="790" max="1024" width="8.77734375" style="598" hidden="1"/>
    <col min="1025" max="1025" width="32.77734375" style="598" hidden="1" customWidth="1"/>
    <col min="1026" max="1027" width="12.109375" style="598" hidden="1" customWidth="1"/>
    <col min="1028" max="1028" width="12.77734375" style="598" hidden="1" customWidth="1"/>
    <col min="1029" max="1034" width="12.109375" style="598" hidden="1" customWidth="1"/>
    <col min="1035" max="1045" width="8.77734375" style="598" hidden="1" customWidth="1"/>
    <col min="1046" max="1280" width="8.77734375" style="598" hidden="1"/>
    <col min="1281" max="1281" width="32.77734375" style="598" hidden="1" customWidth="1"/>
    <col min="1282" max="1283" width="12.109375" style="598" hidden="1" customWidth="1"/>
    <col min="1284" max="1284" width="12.77734375" style="598" hidden="1" customWidth="1"/>
    <col min="1285" max="1290" width="12.109375" style="598" hidden="1" customWidth="1"/>
    <col min="1291" max="1301" width="8.77734375" style="598" hidden="1" customWidth="1"/>
    <col min="1302" max="1536" width="8.77734375" style="598" hidden="1"/>
    <col min="1537" max="1537" width="32.77734375" style="598" hidden="1" customWidth="1"/>
    <col min="1538" max="1539" width="12.109375" style="598" hidden="1" customWidth="1"/>
    <col min="1540" max="1540" width="12.77734375" style="598" hidden="1" customWidth="1"/>
    <col min="1541" max="1546" width="12.109375" style="598" hidden="1" customWidth="1"/>
    <col min="1547" max="1557" width="8.77734375" style="598" hidden="1" customWidth="1"/>
    <col min="1558" max="1792" width="8.77734375" style="598" hidden="1"/>
    <col min="1793" max="1793" width="32.77734375" style="598" hidden="1" customWidth="1"/>
    <col min="1794" max="1795" width="12.109375" style="598" hidden="1" customWidth="1"/>
    <col min="1796" max="1796" width="12.77734375" style="598" hidden="1" customWidth="1"/>
    <col min="1797" max="1802" width="12.109375" style="598" hidden="1" customWidth="1"/>
    <col min="1803" max="1813" width="8.77734375" style="598" hidden="1" customWidth="1"/>
    <col min="1814" max="2048" width="8.77734375" style="598" hidden="1"/>
    <col min="2049" max="2049" width="32.77734375" style="598" hidden="1" customWidth="1"/>
    <col min="2050" max="2051" width="12.109375" style="598" hidden="1" customWidth="1"/>
    <col min="2052" max="2052" width="12.77734375" style="598" hidden="1" customWidth="1"/>
    <col min="2053" max="2058" width="12.109375" style="598" hidden="1" customWidth="1"/>
    <col min="2059" max="2069" width="8.77734375" style="598" hidden="1" customWidth="1"/>
    <col min="2070" max="2304" width="8.77734375" style="598" hidden="1"/>
    <col min="2305" max="2305" width="32.77734375" style="598" hidden="1" customWidth="1"/>
    <col min="2306" max="2307" width="12.109375" style="598" hidden="1" customWidth="1"/>
    <col min="2308" max="2308" width="12.77734375" style="598" hidden="1" customWidth="1"/>
    <col min="2309" max="2314" width="12.109375" style="598" hidden="1" customWidth="1"/>
    <col min="2315" max="2325" width="8.77734375" style="598" hidden="1" customWidth="1"/>
    <col min="2326" max="2560" width="8.77734375" style="598" hidden="1"/>
    <col min="2561" max="2561" width="32.77734375" style="598" hidden="1" customWidth="1"/>
    <col min="2562" max="2563" width="12.109375" style="598" hidden="1" customWidth="1"/>
    <col min="2564" max="2564" width="12.77734375" style="598" hidden="1" customWidth="1"/>
    <col min="2565" max="2570" width="12.109375" style="598" hidden="1" customWidth="1"/>
    <col min="2571" max="2581" width="8.77734375" style="598" hidden="1" customWidth="1"/>
    <col min="2582" max="2816" width="8.77734375" style="598" hidden="1"/>
    <col min="2817" max="2817" width="32.77734375" style="598" hidden="1" customWidth="1"/>
    <col min="2818" max="2819" width="12.109375" style="598" hidden="1" customWidth="1"/>
    <col min="2820" max="2820" width="12.77734375" style="598" hidden="1" customWidth="1"/>
    <col min="2821" max="2826" width="12.109375" style="598" hidden="1" customWidth="1"/>
    <col min="2827" max="2837" width="8.77734375" style="598" hidden="1" customWidth="1"/>
    <col min="2838" max="3072" width="8.77734375" style="598" hidden="1"/>
    <col min="3073" max="3073" width="32.77734375" style="598" hidden="1" customWidth="1"/>
    <col min="3074" max="3075" width="12.109375" style="598" hidden="1" customWidth="1"/>
    <col min="3076" max="3076" width="12.77734375" style="598" hidden="1" customWidth="1"/>
    <col min="3077" max="3082" width="12.109375" style="598" hidden="1" customWidth="1"/>
    <col min="3083" max="3093" width="8.77734375" style="598" hidden="1" customWidth="1"/>
    <col min="3094" max="3328" width="8.77734375" style="598" hidden="1"/>
    <col min="3329" max="3329" width="32.77734375" style="598" hidden="1" customWidth="1"/>
    <col min="3330" max="3331" width="12.109375" style="598" hidden="1" customWidth="1"/>
    <col min="3332" max="3332" width="12.77734375" style="598" hidden="1" customWidth="1"/>
    <col min="3333" max="3338" width="12.109375" style="598" hidden="1" customWidth="1"/>
    <col min="3339" max="3349" width="8.77734375" style="598" hidden="1" customWidth="1"/>
    <col min="3350" max="3584" width="8.77734375" style="598" hidden="1"/>
    <col min="3585" max="3585" width="32.77734375" style="598" hidden="1" customWidth="1"/>
    <col min="3586" max="3587" width="12.109375" style="598" hidden="1" customWidth="1"/>
    <col min="3588" max="3588" width="12.77734375" style="598" hidden="1" customWidth="1"/>
    <col min="3589" max="3594" width="12.109375" style="598" hidden="1" customWidth="1"/>
    <col min="3595" max="3605" width="8.77734375" style="598" hidden="1" customWidth="1"/>
    <col min="3606" max="3840" width="8.77734375" style="598" hidden="1"/>
    <col min="3841" max="3841" width="32.77734375" style="598" hidden="1" customWidth="1"/>
    <col min="3842" max="3843" width="12.109375" style="598" hidden="1" customWidth="1"/>
    <col min="3844" max="3844" width="12.77734375" style="598" hidden="1" customWidth="1"/>
    <col min="3845" max="3850" width="12.109375" style="598" hidden="1" customWidth="1"/>
    <col min="3851" max="3861" width="8.77734375" style="598" hidden="1" customWidth="1"/>
    <col min="3862" max="4096" width="8.77734375" style="598" hidden="1"/>
    <col min="4097" max="4097" width="32.77734375" style="598" hidden="1" customWidth="1"/>
    <col min="4098" max="4099" width="12.109375" style="598" hidden="1" customWidth="1"/>
    <col min="4100" max="4100" width="12.77734375" style="598" hidden="1" customWidth="1"/>
    <col min="4101" max="4106" width="12.109375" style="598" hidden="1" customWidth="1"/>
    <col min="4107" max="4117" width="8.77734375" style="598" hidden="1" customWidth="1"/>
    <col min="4118" max="4352" width="8.77734375" style="598" hidden="1"/>
    <col min="4353" max="4353" width="32.77734375" style="598" hidden="1" customWidth="1"/>
    <col min="4354" max="4355" width="12.109375" style="598" hidden="1" customWidth="1"/>
    <col min="4356" max="4356" width="12.77734375" style="598" hidden="1" customWidth="1"/>
    <col min="4357" max="4362" width="12.109375" style="598" hidden="1" customWidth="1"/>
    <col min="4363" max="4373" width="8.77734375" style="598" hidden="1" customWidth="1"/>
    <col min="4374" max="4608" width="8.77734375" style="598" hidden="1"/>
    <col min="4609" max="4609" width="32.77734375" style="598" hidden="1" customWidth="1"/>
    <col min="4610" max="4611" width="12.109375" style="598" hidden="1" customWidth="1"/>
    <col min="4612" max="4612" width="12.77734375" style="598" hidden="1" customWidth="1"/>
    <col min="4613" max="4618" width="12.109375" style="598" hidden="1" customWidth="1"/>
    <col min="4619" max="4629" width="8.77734375" style="598" hidden="1" customWidth="1"/>
    <col min="4630" max="4864" width="8.77734375" style="598" hidden="1"/>
    <col min="4865" max="4865" width="32.77734375" style="598" hidden="1" customWidth="1"/>
    <col min="4866" max="4867" width="12.109375" style="598" hidden="1" customWidth="1"/>
    <col min="4868" max="4868" width="12.77734375" style="598" hidden="1" customWidth="1"/>
    <col min="4869" max="4874" width="12.109375" style="598" hidden="1" customWidth="1"/>
    <col min="4875" max="4885" width="8.77734375" style="598" hidden="1" customWidth="1"/>
    <col min="4886" max="5120" width="8.77734375" style="598" hidden="1"/>
    <col min="5121" max="5121" width="32.77734375" style="598" hidden="1" customWidth="1"/>
    <col min="5122" max="5123" width="12.109375" style="598" hidden="1" customWidth="1"/>
    <col min="5124" max="5124" width="12.77734375" style="598" hidden="1" customWidth="1"/>
    <col min="5125" max="5130" width="12.109375" style="598" hidden="1" customWidth="1"/>
    <col min="5131" max="5141" width="8.77734375" style="598" hidden="1" customWidth="1"/>
    <col min="5142" max="5376" width="8.77734375" style="598" hidden="1"/>
    <col min="5377" max="5377" width="32.77734375" style="598" hidden="1" customWidth="1"/>
    <col min="5378" max="5379" width="12.109375" style="598" hidden="1" customWidth="1"/>
    <col min="5380" max="5380" width="12.77734375" style="598" hidden="1" customWidth="1"/>
    <col min="5381" max="5386" width="12.109375" style="598" hidden="1" customWidth="1"/>
    <col min="5387" max="5397" width="8.77734375" style="598" hidden="1" customWidth="1"/>
    <col min="5398" max="5632" width="8.77734375" style="598" hidden="1"/>
    <col min="5633" max="5633" width="32.77734375" style="598" hidden="1" customWidth="1"/>
    <col min="5634" max="5635" width="12.109375" style="598" hidden="1" customWidth="1"/>
    <col min="5636" max="5636" width="12.77734375" style="598" hidden="1" customWidth="1"/>
    <col min="5637" max="5642" width="12.109375" style="598" hidden="1" customWidth="1"/>
    <col min="5643" max="5653" width="8.77734375" style="598" hidden="1" customWidth="1"/>
    <col min="5654" max="5888" width="8.77734375" style="598" hidden="1"/>
    <col min="5889" max="5889" width="32.77734375" style="598" hidden="1" customWidth="1"/>
    <col min="5890" max="5891" width="12.109375" style="598" hidden="1" customWidth="1"/>
    <col min="5892" max="5892" width="12.77734375" style="598" hidden="1" customWidth="1"/>
    <col min="5893" max="5898" width="12.109375" style="598" hidden="1" customWidth="1"/>
    <col min="5899" max="5909" width="8.77734375" style="598" hidden="1" customWidth="1"/>
    <col min="5910" max="6144" width="8.77734375" style="598" hidden="1"/>
    <col min="6145" max="6145" width="32.77734375" style="598" hidden="1" customWidth="1"/>
    <col min="6146" max="6147" width="12.109375" style="598" hidden="1" customWidth="1"/>
    <col min="6148" max="6148" width="12.77734375" style="598" hidden="1" customWidth="1"/>
    <col min="6149" max="6154" width="12.109375" style="598" hidden="1" customWidth="1"/>
    <col min="6155" max="6165" width="8.77734375" style="598" hidden="1" customWidth="1"/>
    <col min="6166" max="6400" width="8.77734375" style="598" hidden="1"/>
    <col min="6401" max="6401" width="32.77734375" style="598" hidden="1" customWidth="1"/>
    <col min="6402" max="6403" width="12.109375" style="598" hidden="1" customWidth="1"/>
    <col min="6404" max="6404" width="12.77734375" style="598" hidden="1" customWidth="1"/>
    <col min="6405" max="6410" width="12.109375" style="598" hidden="1" customWidth="1"/>
    <col min="6411" max="6421" width="8.77734375" style="598" hidden="1" customWidth="1"/>
    <col min="6422" max="6656" width="8.77734375" style="598" hidden="1"/>
    <col min="6657" max="6657" width="32.77734375" style="598" hidden="1" customWidth="1"/>
    <col min="6658" max="6659" width="12.109375" style="598" hidden="1" customWidth="1"/>
    <col min="6660" max="6660" width="12.77734375" style="598" hidden="1" customWidth="1"/>
    <col min="6661" max="6666" width="12.109375" style="598" hidden="1" customWidth="1"/>
    <col min="6667" max="6677" width="8.77734375" style="598" hidden="1" customWidth="1"/>
    <col min="6678" max="6912" width="8.77734375" style="598" hidden="1"/>
    <col min="6913" max="6913" width="32.77734375" style="598" hidden="1" customWidth="1"/>
    <col min="6914" max="6915" width="12.109375" style="598" hidden="1" customWidth="1"/>
    <col min="6916" max="6916" width="12.77734375" style="598" hidden="1" customWidth="1"/>
    <col min="6917" max="6922" width="12.109375" style="598" hidden="1" customWidth="1"/>
    <col min="6923" max="6933" width="8.77734375" style="598" hidden="1" customWidth="1"/>
    <col min="6934" max="7168" width="8.77734375" style="598" hidden="1"/>
    <col min="7169" max="7169" width="32.77734375" style="598" hidden="1" customWidth="1"/>
    <col min="7170" max="7171" width="12.109375" style="598" hidden="1" customWidth="1"/>
    <col min="7172" max="7172" width="12.77734375" style="598" hidden="1" customWidth="1"/>
    <col min="7173" max="7178" width="12.109375" style="598" hidden="1" customWidth="1"/>
    <col min="7179" max="7189" width="8.77734375" style="598" hidden="1" customWidth="1"/>
    <col min="7190" max="7424" width="8.77734375" style="598" hidden="1"/>
    <col min="7425" max="7425" width="32.77734375" style="598" hidden="1" customWidth="1"/>
    <col min="7426" max="7427" width="12.109375" style="598" hidden="1" customWidth="1"/>
    <col min="7428" max="7428" width="12.77734375" style="598" hidden="1" customWidth="1"/>
    <col min="7429" max="7434" width="12.109375" style="598" hidden="1" customWidth="1"/>
    <col min="7435" max="7445" width="8.77734375" style="598" hidden="1" customWidth="1"/>
    <col min="7446" max="7680" width="8.77734375" style="598" hidden="1"/>
    <col min="7681" max="7681" width="32.77734375" style="598" hidden="1" customWidth="1"/>
    <col min="7682" max="7683" width="12.109375" style="598" hidden="1" customWidth="1"/>
    <col min="7684" max="7684" width="12.77734375" style="598" hidden="1" customWidth="1"/>
    <col min="7685" max="7690" width="12.109375" style="598" hidden="1" customWidth="1"/>
    <col min="7691" max="7701" width="8.77734375" style="598" hidden="1" customWidth="1"/>
    <col min="7702" max="7936" width="8.77734375" style="598" hidden="1"/>
    <col min="7937" max="7937" width="32.77734375" style="598" hidden="1" customWidth="1"/>
    <col min="7938" max="7939" width="12.109375" style="598" hidden="1" customWidth="1"/>
    <col min="7940" max="7940" width="12.77734375" style="598" hidden="1" customWidth="1"/>
    <col min="7941" max="7946" width="12.109375" style="598" hidden="1" customWidth="1"/>
    <col min="7947" max="7957" width="8.77734375" style="598" hidden="1" customWidth="1"/>
    <col min="7958" max="8192" width="8.77734375" style="598" hidden="1"/>
    <col min="8193" max="8193" width="32.77734375" style="598" hidden="1" customWidth="1"/>
    <col min="8194" max="8195" width="12.109375" style="598" hidden="1" customWidth="1"/>
    <col min="8196" max="8196" width="12.77734375" style="598" hidden="1" customWidth="1"/>
    <col min="8197" max="8202" width="12.109375" style="598" hidden="1" customWidth="1"/>
    <col min="8203" max="8213" width="8.77734375" style="598" hidden="1" customWidth="1"/>
    <col min="8214" max="8448" width="8.77734375" style="598" hidden="1"/>
    <col min="8449" max="8449" width="32.77734375" style="598" hidden="1" customWidth="1"/>
    <col min="8450" max="8451" width="12.109375" style="598" hidden="1" customWidth="1"/>
    <col min="8452" max="8452" width="12.77734375" style="598" hidden="1" customWidth="1"/>
    <col min="8453" max="8458" width="12.109375" style="598" hidden="1" customWidth="1"/>
    <col min="8459" max="8469" width="8.77734375" style="598" hidden="1" customWidth="1"/>
    <col min="8470" max="8704" width="8.77734375" style="598" hidden="1"/>
    <col min="8705" max="8705" width="32.77734375" style="598" hidden="1" customWidth="1"/>
    <col min="8706" max="8707" width="12.109375" style="598" hidden="1" customWidth="1"/>
    <col min="8708" max="8708" width="12.77734375" style="598" hidden="1" customWidth="1"/>
    <col min="8709" max="8714" width="12.109375" style="598" hidden="1" customWidth="1"/>
    <col min="8715" max="8725" width="8.77734375" style="598" hidden="1" customWidth="1"/>
    <col min="8726" max="8960" width="8.77734375" style="598" hidden="1"/>
    <col min="8961" max="8961" width="32.77734375" style="598" hidden="1" customWidth="1"/>
    <col min="8962" max="8963" width="12.109375" style="598" hidden="1" customWidth="1"/>
    <col min="8964" max="8964" width="12.77734375" style="598" hidden="1" customWidth="1"/>
    <col min="8965" max="8970" width="12.109375" style="598" hidden="1" customWidth="1"/>
    <col min="8971" max="8981" width="8.77734375" style="598" hidden="1" customWidth="1"/>
    <col min="8982" max="9216" width="8.77734375" style="598" hidden="1"/>
    <col min="9217" max="9217" width="32.77734375" style="598" hidden="1" customWidth="1"/>
    <col min="9218" max="9219" width="12.109375" style="598" hidden="1" customWidth="1"/>
    <col min="9220" max="9220" width="12.77734375" style="598" hidden="1" customWidth="1"/>
    <col min="9221" max="9226" width="12.109375" style="598" hidden="1" customWidth="1"/>
    <col min="9227" max="9237" width="8.77734375" style="598" hidden="1" customWidth="1"/>
    <col min="9238" max="9472" width="8.77734375" style="598" hidden="1"/>
    <col min="9473" max="9473" width="32.77734375" style="598" hidden="1" customWidth="1"/>
    <col min="9474" max="9475" width="12.109375" style="598" hidden="1" customWidth="1"/>
    <col min="9476" max="9476" width="12.77734375" style="598" hidden="1" customWidth="1"/>
    <col min="9477" max="9482" width="12.109375" style="598" hidden="1" customWidth="1"/>
    <col min="9483" max="9493" width="8.77734375" style="598" hidden="1" customWidth="1"/>
    <col min="9494" max="9728" width="8.77734375" style="598" hidden="1"/>
    <col min="9729" max="9729" width="32.77734375" style="598" hidden="1" customWidth="1"/>
    <col min="9730" max="9731" width="12.109375" style="598" hidden="1" customWidth="1"/>
    <col min="9732" max="9732" width="12.77734375" style="598" hidden="1" customWidth="1"/>
    <col min="9733" max="9738" width="12.109375" style="598" hidden="1" customWidth="1"/>
    <col min="9739" max="9749" width="8.77734375" style="598" hidden="1" customWidth="1"/>
    <col min="9750" max="9984" width="8.77734375" style="598" hidden="1"/>
    <col min="9985" max="9985" width="32.77734375" style="598" hidden="1" customWidth="1"/>
    <col min="9986" max="9987" width="12.109375" style="598" hidden="1" customWidth="1"/>
    <col min="9988" max="9988" width="12.77734375" style="598" hidden="1" customWidth="1"/>
    <col min="9989" max="9994" width="12.109375" style="598" hidden="1" customWidth="1"/>
    <col min="9995" max="10005" width="8.77734375" style="598" hidden="1" customWidth="1"/>
    <col min="10006" max="10240" width="8.77734375" style="598" hidden="1"/>
    <col min="10241" max="10241" width="32.77734375" style="598" hidden="1" customWidth="1"/>
    <col min="10242" max="10243" width="12.109375" style="598" hidden="1" customWidth="1"/>
    <col min="10244" max="10244" width="12.77734375" style="598" hidden="1" customWidth="1"/>
    <col min="10245" max="10250" width="12.109375" style="598" hidden="1" customWidth="1"/>
    <col min="10251" max="10261" width="8.77734375" style="598" hidden="1" customWidth="1"/>
    <col min="10262" max="10496" width="8.77734375" style="598" hidden="1"/>
    <col min="10497" max="10497" width="32.77734375" style="598" hidden="1" customWidth="1"/>
    <col min="10498" max="10499" width="12.109375" style="598" hidden="1" customWidth="1"/>
    <col min="10500" max="10500" width="12.77734375" style="598" hidden="1" customWidth="1"/>
    <col min="10501" max="10506" width="12.109375" style="598" hidden="1" customWidth="1"/>
    <col min="10507" max="10517" width="8.77734375" style="598" hidden="1" customWidth="1"/>
    <col min="10518" max="10752" width="8.77734375" style="598" hidden="1"/>
    <col min="10753" max="10753" width="32.77734375" style="598" hidden="1" customWidth="1"/>
    <col min="10754" max="10755" width="12.109375" style="598" hidden="1" customWidth="1"/>
    <col min="10756" max="10756" width="12.77734375" style="598" hidden="1" customWidth="1"/>
    <col min="10757" max="10762" width="12.109375" style="598" hidden="1" customWidth="1"/>
    <col min="10763" max="10773" width="8.77734375" style="598" hidden="1" customWidth="1"/>
    <col min="10774" max="11008" width="8.77734375" style="598" hidden="1"/>
    <col min="11009" max="11009" width="32.77734375" style="598" hidden="1" customWidth="1"/>
    <col min="11010" max="11011" width="12.109375" style="598" hidden="1" customWidth="1"/>
    <col min="11012" max="11012" width="12.77734375" style="598" hidden="1" customWidth="1"/>
    <col min="11013" max="11018" width="12.109375" style="598" hidden="1" customWidth="1"/>
    <col min="11019" max="11029" width="8.77734375" style="598" hidden="1" customWidth="1"/>
    <col min="11030" max="11264" width="8.77734375" style="598" hidden="1"/>
    <col min="11265" max="11265" width="32.77734375" style="598" hidden="1" customWidth="1"/>
    <col min="11266" max="11267" width="12.109375" style="598" hidden="1" customWidth="1"/>
    <col min="11268" max="11268" width="12.77734375" style="598" hidden="1" customWidth="1"/>
    <col min="11269" max="11274" width="12.109375" style="598" hidden="1" customWidth="1"/>
    <col min="11275" max="11285" width="8.77734375" style="598" hidden="1" customWidth="1"/>
    <col min="11286" max="11520" width="8.77734375" style="598" hidden="1"/>
    <col min="11521" max="11521" width="32.77734375" style="598" hidden="1" customWidth="1"/>
    <col min="11522" max="11523" width="12.109375" style="598" hidden="1" customWidth="1"/>
    <col min="11524" max="11524" width="12.77734375" style="598" hidden="1" customWidth="1"/>
    <col min="11525" max="11530" width="12.109375" style="598" hidden="1" customWidth="1"/>
    <col min="11531" max="11541" width="8.77734375" style="598" hidden="1" customWidth="1"/>
    <col min="11542" max="11776" width="8.77734375" style="598" hidden="1"/>
    <col min="11777" max="11777" width="32.77734375" style="598" hidden="1" customWidth="1"/>
    <col min="11778" max="11779" width="12.109375" style="598" hidden="1" customWidth="1"/>
    <col min="11780" max="11780" width="12.77734375" style="598" hidden="1" customWidth="1"/>
    <col min="11781" max="11786" width="12.109375" style="598" hidden="1" customWidth="1"/>
    <col min="11787" max="11797" width="8.77734375" style="598" hidden="1" customWidth="1"/>
    <col min="11798" max="12032" width="8.77734375" style="598" hidden="1"/>
    <col min="12033" max="12033" width="32.77734375" style="598" hidden="1" customWidth="1"/>
    <col min="12034" max="12035" width="12.109375" style="598" hidden="1" customWidth="1"/>
    <col min="12036" max="12036" width="12.77734375" style="598" hidden="1" customWidth="1"/>
    <col min="12037" max="12042" width="12.109375" style="598" hidden="1" customWidth="1"/>
    <col min="12043" max="12053" width="8.77734375" style="598" hidden="1" customWidth="1"/>
    <col min="12054" max="12288" width="8.77734375" style="598" hidden="1"/>
    <col min="12289" max="12289" width="32.77734375" style="598" hidden="1" customWidth="1"/>
    <col min="12290" max="12291" width="12.109375" style="598" hidden="1" customWidth="1"/>
    <col min="12292" max="12292" width="12.77734375" style="598" hidden="1" customWidth="1"/>
    <col min="12293" max="12298" width="12.109375" style="598" hidden="1" customWidth="1"/>
    <col min="12299" max="12309" width="8.77734375" style="598" hidden="1" customWidth="1"/>
    <col min="12310" max="12544" width="8.77734375" style="598" hidden="1"/>
    <col min="12545" max="12545" width="32.77734375" style="598" hidden="1" customWidth="1"/>
    <col min="12546" max="12547" width="12.109375" style="598" hidden="1" customWidth="1"/>
    <col min="12548" max="12548" width="12.77734375" style="598" hidden="1" customWidth="1"/>
    <col min="12549" max="12554" width="12.109375" style="598" hidden="1" customWidth="1"/>
    <col min="12555" max="12565" width="8.77734375" style="598" hidden="1" customWidth="1"/>
    <col min="12566" max="12800" width="8.77734375" style="598" hidden="1"/>
    <col min="12801" max="12801" width="32.77734375" style="598" hidden="1" customWidth="1"/>
    <col min="12802" max="12803" width="12.109375" style="598" hidden="1" customWidth="1"/>
    <col min="12804" max="12804" width="12.77734375" style="598" hidden="1" customWidth="1"/>
    <col min="12805" max="12810" width="12.109375" style="598" hidden="1" customWidth="1"/>
    <col min="12811" max="12821" width="8.77734375" style="598" hidden="1" customWidth="1"/>
    <col min="12822" max="13056" width="8.77734375" style="598" hidden="1"/>
    <col min="13057" max="13057" width="32.77734375" style="598" hidden="1" customWidth="1"/>
    <col min="13058" max="13059" width="12.109375" style="598" hidden="1" customWidth="1"/>
    <col min="13060" max="13060" width="12.77734375" style="598" hidden="1" customWidth="1"/>
    <col min="13061" max="13066" width="12.109375" style="598" hidden="1" customWidth="1"/>
    <col min="13067" max="13077" width="8.77734375" style="598" hidden="1" customWidth="1"/>
    <col min="13078" max="13312" width="8.77734375" style="598" hidden="1"/>
    <col min="13313" max="13313" width="32.77734375" style="598" hidden="1" customWidth="1"/>
    <col min="13314" max="13315" width="12.109375" style="598" hidden="1" customWidth="1"/>
    <col min="13316" max="13316" width="12.77734375" style="598" hidden="1" customWidth="1"/>
    <col min="13317" max="13322" width="12.109375" style="598" hidden="1" customWidth="1"/>
    <col min="13323" max="13333" width="8.77734375" style="598" hidden="1" customWidth="1"/>
    <col min="13334" max="13568" width="8.77734375" style="598" hidden="1"/>
    <col min="13569" max="13569" width="32.77734375" style="598" hidden="1" customWidth="1"/>
    <col min="13570" max="13571" width="12.109375" style="598" hidden="1" customWidth="1"/>
    <col min="13572" max="13572" width="12.77734375" style="598" hidden="1" customWidth="1"/>
    <col min="13573" max="13578" width="12.109375" style="598" hidden="1" customWidth="1"/>
    <col min="13579" max="13589" width="8.77734375" style="598" hidden="1" customWidth="1"/>
    <col min="13590" max="13824" width="8.77734375" style="598" hidden="1"/>
    <col min="13825" max="13825" width="32.77734375" style="598" hidden="1" customWidth="1"/>
    <col min="13826" max="13827" width="12.109375" style="598" hidden="1" customWidth="1"/>
    <col min="13828" max="13828" width="12.77734375" style="598" hidden="1" customWidth="1"/>
    <col min="13829" max="13834" width="12.109375" style="598" hidden="1" customWidth="1"/>
    <col min="13835" max="13845" width="8.77734375" style="598" hidden="1" customWidth="1"/>
    <col min="13846" max="14080" width="8.77734375" style="598" hidden="1"/>
    <col min="14081" max="14081" width="32.77734375" style="598" hidden="1" customWidth="1"/>
    <col min="14082" max="14083" width="12.109375" style="598" hidden="1" customWidth="1"/>
    <col min="14084" max="14084" width="12.77734375" style="598" hidden="1" customWidth="1"/>
    <col min="14085" max="14090" width="12.109375" style="598" hidden="1" customWidth="1"/>
    <col min="14091" max="14101" width="8.77734375" style="598" hidden="1" customWidth="1"/>
    <col min="14102" max="14336" width="8.77734375" style="598" hidden="1"/>
    <col min="14337" max="14337" width="32.77734375" style="598" hidden="1" customWidth="1"/>
    <col min="14338" max="14339" width="12.109375" style="598" hidden="1" customWidth="1"/>
    <col min="14340" max="14340" width="12.77734375" style="598" hidden="1" customWidth="1"/>
    <col min="14341" max="14346" width="12.109375" style="598" hidden="1" customWidth="1"/>
    <col min="14347" max="14357" width="8.77734375" style="598" hidden="1" customWidth="1"/>
    <col min="14358" max="14592" width="8.77734375" style="598" hidden="1"/>
    <col min="14593" max="14593" width="32.77734375" style="598" hidden="1" customWidth="1"/>
    <col min="14594" max="14595" width="12.109375" style="598" hidden="1" customWidth="1"/>
    <col min="14596" max="14596" width="12.77734375" style="598" hidden="1" customWidth="1"/>
    <col min="14597" max="14602" width="12.109375" style="598" hidden="1" customWidth="1"/>
    <col min="14603" max="14613" width="8.77734375" style="598" hidden="1" customWidth="1"/>
    <col min="14614" max="14848" width="8.77734375" style="598" hidden="1"/>
    <col min="14849" max="14849" width="32.77734375" style="598" hidden="1" customWidth="1"/>
    <col min="14850" max="14851" width="12.109375" style="598" hidden="1" customWidth="1"/>
    <col min="14852" max="14852" width="12.77734375" style="598" hidden="1" customWidth="1"/>
    <col min="14853" max="14858" width="12.109375" style="598" hidden="1" customWidth="1"/>
    <col min="14859" max="14869" width="8.77734375" style="598" hidden="1" customWidth="1"/>
    <col min="14870" max="15104" width="8.77734375" style="598" hidden="1"/>
    <col min="15105" max="15105" width="32.77734375" style="598" hidden="1" customWidth="1"/>
    <col min="15106" max="15107" width="12.109375" style="598" hidden="1" customWidth="1"/>
    <col min="15108" max="15108" width="12.77734375" style="598" hidden="1" customWidth="1"/>
    <col min="15109" max="15114" width="12.109375" style="598" hidden="1" customWidth="1"/>
    <col min="15115" max="15125" width="8.77734375" style="598" hidden="1" customWidth="1"/>
    <col min="15126" max="15360" width="8.77734375" style="598" hidden="1"/>
    <col min="15361" max="15361" width="32.77734375" style="598" hidden="1" customWidth="1"/>
    <col min="15362" max="15363" width="12.109375" style="598" hidden="1" customWidth="1"/>
    <col min="15364" max="15364" width="12.77734375" style="598" hidden="1" customWidth="1"/>
    <col min="15365" max="15370" width="12.109375" style="598" hidden="1" customWidth="1"/>
    <col min="15371" max="15381" width="8.77734375" style="598" hidden="1" customWidth="1"/>
    <col min="15382" max="15616" width="8.77734375" style="598" hidden="1"/>
    <col min="15617" max="15617" width="32.77734375" style="598" hidden="1" customWidth="1"/>
    <col min="15618" max="15619" width="12.109375" style="598" hidden="1" customWidth="1"/>
    <col min="15620" max="15620" width="12.77734375" style="598" hidden="1" customWidth="1"/>
    <col min="15621" max="15626" width="12.109375" style="598" hidden="1" customWidth="1"/>
    <col min="15627" max="15637" width="8.77734375" style="598" hidden="1" customWidth="1"/>
    <col min="15638" max="15872" width="8.77734375" style="598" hidden="1"/>
    <col min="15873" max="15873" width="32.77734375" style="598" hidden="1" customWidth="1"/>
    <col min="15874" max="15875" width="12.109375" style="598" hidden="1" customWidth="1"/>
    <col min="15876" max="15876" width="12.77734375" style="598" hidden="1" customWidth="1"/>
    <col min="15877" max="15882" width="12.109375" style="598" hidden="1" customWidth="1"/>
    <col min="15883" max="15893" width="8.77734375" style="598" hidden="1" customWidth="1"/>
    <col min="15894" max="16128" width="8.77734375" style="598" hidden="1"/>
    <col min="16129" max="16129" width="32.77734375" style="598" hidden="1" customWidth="1"/>
    <col min="16130" max="16131" width="12.109375" style="598" hidden="1" customWidth="1"/>
    <col min="16132" max="16132" width="12.77734375" style="598" hidden="1" customWidth="1"/>
    <col min="16133" max="16138" width="12.109375" style="598" hidden="1" customWidth="1"/>
    <col min="16139" max="16149" width="8.77734375" style="598" hidden="1" customWidth="1"/>
    <col min="16150" max="16384" width="8.77734375" style="598" hidden="1"/>
  </cols>
  <sheetData>
    <row r="1" spans="1:11" s="555" customFormat="1" ht="13.2">
      <c r="A1" s="2583" t="s">
        <v>1440</v>
      </c>
      <c r="B1" s="2584"/>
      <c r="C1" s="2584"/>
      <c r="D1" s="2584"/>
      <c r="E1" s="2584"/>
      <c r="F1" s="2584"/>
      <c r="G1" s="2584"/>
      <c r="H1" s="2584"/>
      <c r="I1" s="2584"/>
      <c r="J1" s="2585"/>
      <c r="K1" s="554"/>
    </row>
    <row r="2" spans="1:11" s="610" customFormat="1" ht="72">
      <c r="A2" s="606"/>
      <c r="B2" s="607" t="s">
        <v>1138</v>
      </c>
      <c r="C2" s="607" t="s">
        <v>1442</v>
      </c>
      <c r="D2" s="608" t="s">
        <v>1443</v>
      </c>
      <c r="E2" s="607" t="s">
        <v>1350</v>
      </c>
      <c r="F2" s="607" t="s">
        <v>1444</v>
      </c>
      <c r="G2" s="607" t="s">
        <v>1445</v>
      </c>
      <c r="H2" s="607" t="s">
        <v>1139</v>
      </c>
      <c r="I2" s="607" t="s">
        <v>1446</v>
      </c>
      <c r="J2" s="607" t="s">
        <v>1447</v>
      </c>
      <c r="K2" s="609"/>
    </row>
    <row r="3" spans="1:11" s="559" customFormat="1" ht="11.4">
      <c r="A3" s="556" t="s">
        <v>27</v>
      </c>
      <c r="B3" s="557"/>
      <c r="C3" s="557"/>
      <c r="D3" s="557"/>
      <c r="E3" s="557"/>
      <c r="F3" s="557"/>
      <c r="G3" s="557"/>
      <c r="H3" s="557"/>
      <c r="I3" s="557"/>
      <c r="J3" s="557"/>
      <c r="K3" s="558"/>
    </row>
    <row r="4" spans="1:11" s="559" customFormat="1" ht="11.4">
      <c r="A4" s="563" t="s">
        <v>28</v>
      </c>
      <c r="B4" s="560">
        <f>'Sources and Uses Budget'!C4</f>
        <v>4500000</v>
      </c>
      <c r="C4" s="561"/>
      <c r="D4" s="561"/>
      <c r="E4" s="562"/>
      <c r="F4" s="562"/>
      <c r="G4" s="562"/>
      <c r="H4" s="562"/>
      <c r="I4" s="562"/>
      <c r="J4" s="562"/>
      <c r="K4" s="558"/>
    </row>
    <row r="5" spans="1:11" s="559" customFormat="1" ht="11.4">
      <c r="A5" s="563" t="s">
        <v>29</v>
      </c>
      <c r="B5" s="560">
        <f>'Sources and Uses Budget'!C5</f>
        <v>120000</v>
      </c>
      <c r="C5" s="561"/>
      <c r="D5" s="561"/>
      <c r="E5" s="562"/>
      <c r="F5" s="562"/>
      <c r="G5" s="562"/>
      <c r="H5" s="562"/>
      <c r="I5" s="562"/>
      <c r="J5" s="562"/>
      <c r="K5" s="558"/>
    </row>
    <row r="6" spans="1:11" s="559" customFormat="1" ht="11.4">
      <c r="A6" s="563" t="s">
        <v>30</v>
      </c>
      <c r="B6" s="560">
        <f>'Sources and Uses Budget'!C6</f>
        <v>47275</v>
      </c>
      <c r="C6" s="561"/>
      <c r="D6" s="561"/>
      <c r="E6" s="562"/>
      <c r="F6" s="562"/>
      <c r="G6" s="562"/>
      <c r="H6" s="562"/>
      <c r="I6" s="562"/>
      <c r="J6" s="562"/>
      <c r="K6" s="558"/>
    </row>
    <row r="7" spans="1:11" s="559" customFormat="1" ht="11.4">
      <c r="A7" s="563" t="s">
        <v>102</v>
      </c>
      <c r="B7" s="560">
        <f>'Sources and Uses Budget'!C7</f>
        <v>0</v>
      </c>
      <c r="C7" s="561"/>
      <c r="D7" s="561"/>
      <c r="E7" s="562"/>
      <c r="F7" s="562"/>
      <c r="G7" s="562"/>
      <c r="H7" s="562"/>
      <c r="I7" s="562"/>
      <c r="J7" s="562"/>
      <c r="K7" s="558"/>
    </row>
    <row r="8" spans="1:11" s="559" customFormat="1">
      <c r="A8" s="564" t="s">
        <v>628</v>
      </c>
      <c r="B8" s="560">
        <f>'Sources and Uses Budget'!C8</f>
        <v>4667275</v>
      </c>
      <c r="C8" s="560">
        <f>SUM(C4:C7)</f>
        <v>0</v>
      </c>
      <c r="D8" s="560">
        <f>SUM(D4:D7)</f>
        <v>0</v>
      </c>
      <c r="E8" s="562"/>
      <c r="F8" s="562"/>
      <c r="G8" s="562"/>
      <c r="H8" s="562"/>
      <c r="I8" s="562"/>
      <c r="J8" s="562"/>
      <c r="K8" s="558"/>
    </row>
    <row r="9" spans="1:11" s="559" customFormat="1" ht="11.4">
      <c r="A9" s="563" t="s">
        <v>629</v>
      </c>
      <c r="B9" s="560">
        <f>'Sources and Uses Budget'!C9</f>
        <v>0</v>
      </c>
      <c r="C9" s="561"/>
      <c r="D9" s="561"/>
      <c r="E9" s="562"/>
      <c r="F9" s="562"/>
      <c r="G9" s="562"/>
      <c r="H9" s="560">
        <f>'Sources and Uses Budget'!T9</f>
        <v>0</v>
      </c>
      <c r="I9" s="561"/>
      <c r="J9" s="561"/>
      <c r="K9" s="558"/>
    </row>
    <row r="10" spans="1:11" s="559" customFormat="1" ht="11.4">
      <c r="A10" s="563" t="s">
        <v>630</v>
      </c>
      <c r="B10" s="560">
        <f>'Sources and Uses Budget'!C10</f>
        <v>50000</v>
      </c>
      <c r="C10" s="561"/>
      <c r="D10" s="561"/>
      <c r="E10" s="560">
        <f>'Sources and Uses Budget'!S10</f>
        <v>50000</v>
      </c>
      <c r="F10" s="561"/>
      <c r="G10" s="561"/>
      <c r="H10" s="560">
        <f>'Sources and Uses Budget'!T10</f>
        <v>0</v>
      </c>
      <c r="I10" s="561"/>
      <c r="J10" s="561"/>
      <c r="K10" s="558"/>
    </row>
    <row r="11" spans="1:11" s="559" customFormat="1">
      <c r="A11" s="564" t="s">
        <v>631</v>
      </c>
      <c r="B11" s="560">
        <f>'Sources and Uses Budget'!C11</f>
        <v>50000</v>
      </c>
      <c r="C11" s="560">
        <f>SUM(C9:C10)</f>
        <v>0</v>
      </c>
      <c r="D11" s="560">
        <f>SUM(D9:D10)</f>
        <v>0</v>
      </c>
      <c r="E11" s="562"/>
      <c r="F11" s="562"/>
      <c r="G11" s="562"/>
      <c r="H11" s="560">
        <f>'Sources and Uses Budget'!T11</f>
        <v>0</v>
      </c>
      <c r="I11" s="560">
        <f>SUM(I9:I10)</f>
        <v>0</v>
      </c>
      <c r="J11" s="560">
        <f>SUM(J9:J10)</f>
        <v>0</v>
      </c>
      <c r="K11" s="558"/>
    </row>
    <row r="12" spans="1:11" s="559" customFormat="1">
      <c r="A12" s="564" t="s">
        <v>89</v>
      </c>
      <c r="B12" s="560">
        <f>'Sources and Uses Budget'!C12</f>
        <v>4717275</v>
      </c>
      <c r="C12" s="560">
        <f>SUM(C8+C11)</f>
        <v>0</v>
      </c>
      <c r="D12" s="560">
        <f>SUM(D8+D11)</f>
        <v>0</v>
      </c>
      <c r="E12" s="562"/>
      <c r="F12" s="562"/>
      <c r="G12" s="562"/>
      <c r="H12" s="562"/>
      <c r="I12" s="562"/>
      <c r="J12" s="562"/>
      <c r="K12" s="558"/>
    </row>
    <row r="13" spans="1:11" s="559" customFormat="1" ht="11.4">
      <c r="A13" s="565" t="s">
        <v>969</v>
      </c>
      <c r="B13" s="560">
        <f>'Sources and Uses Budget'!C13</f>
        <v>0</v>
      </c>
      <c r="C13" s="561"/>
      <c r="D13" s="561"/>
      <c r="E13" s="560">
        <f>'Sources and Uses Budget'!S13</f>
        <v>0</v>
      </c>
      <c r="F13" s="561"/>
      <c r="G13" s="561"/>
      <c r="H13" s="560">
        <f>'Sources and Uses Budget'!T13</f>
        <v>0</v>
      </c>
      <c r="I13" s="561"/>
      <c r="J13" s="561"/>
      <c r="K13" s="558"/>
    </row>
    <row r="14" spans="1:11" s="559" customFormat="1" ht="22.8">
      <c r="A14" s="566" t="s">
        <v>970</v>
      </c>
      <c r="B14" s="560">
        <f>'Sources and Uses Budget'!C14</f>
        <v>0</v>
      </c>
      <c r="C14" s="561"/>
      <c r="D14" s="561"/>
      <c r="E14" s="560">
        <f>'Sources and Uses Budget'!S14</f>
        <v>0</v>
      </c>
      <c r="F14" s="561"/>
      <c r="G14" s="561"/>
      <c r="H14" s="560">
        <f>'Sources and Uses Budget'!T14</f>
        <v>0</v>
      </c>
      <c r="I14" s="561"/>
      <c r="J14" s="561"/>
      <c r="K14" s="558"/>
    </row>
    <row r="15" spans="1:11" s="559" customFormat="1" ht="11.4">
      <c r="A15" s="566" t="s">
        <v>1354</v>
      </c>
      <c r="B15" s="560">
        <f>'Sources and Uses Budget'!C15</f>
        <v>0</v>
      </c>
      <c r="C15" s="561"/>
      <c r="D15" s="561"/>
      <c r="E15" s="562">
        <f>'Sources and Uses Budget'!S15</f>
        <v>0</v>
      </c>
      <c r="F15" s="562"/>
      <c r="G15" s="562"/>
      <c r="H15" s="562">
        <f>'Sources and Uses Budget'!T15</f>
        <v>0</v>
      </c>
      <c r="I15" s="562"/>
      <c r="J15" s="562"/>
      <c r="K15" s="558"/>
    </row>
    <row r="16" spans="1:11" s="559" customFormat="1" ht="11.4">
      <c r="A16" s="556" t="s">
        <v>632</v>
      </c>
      <c r="B16" s="557"/>
      <c r="C16" s="557"/>
      <c r="D16" s="557"/>
      <c r="E16" s="557"/>
      <c r="F16" s="557"/>
      <c r="G16" s="557"/>
      <c r="H16" s="557"/>
      <c r="I16" s="557"/>
      <c r="J16" s="557"/>
      <c r="K16" s="558"/>
    </row>
    <row r="17" spans="1:11" s="559" customFormat="1" ht="11.4">
      <c r="A17" s="563" t="s">
        <v>633</v>
      </c>
      <c r="B17" s="560">
        <f>'Sources and Uses Budget'!C17</f>
        <v>0</v>
      </c>
      <c r="C17" s="561"/>
      <c r="D17" s="561"/>
      <c r="E17" s="560">
        <f>'Sources and Uses Budget'!S17</f>
        <v>0</v>
      </c>
      <c r="F17" s="561"/>
      <c r="G17" s="561"/>
      <c r="H17" s="560">
        <f>'Sources and Uses Budget'!T17</f>
        <v>0</v>
      </c>
      <c r="I17" s="561"/>
      <c r="J17" s="561"/>
      <c r="K17" s="558"/>
    </row>
    <row r="18" spans="1:11" s="559" customFormat="1" ht="11.4">
      <c r="A18" s="563" t="s">
        <v>634</v>
      </c>
      <c r="B18" s="560">
        <f>'Sources and Uses Budget'!C18</f>
        <v>0</v>
      </c>
      <c r="C18" s="561"/>
      <c r="D18" s="561"/>
      <c r="E18" s="560">
        <f>'Sources and Uses Budget'!S18</f>
        <v>0</v>
      </c>
      <c r="F18" s="561"/>
      <c r="G18" s="561"/>
      <c r="H18" s="560">
        <f>'Sources and Uses Budget'!T18</f>
        <v>0</v>
      </c>
      <c r="I18" s="561"/>
      <c r="J18" s="561"/>
      <c r="K18" s="558"/>
    </row>
    <row r="19" spans="1:11" s="559" customFormat="1" ht="11.4">
      <c r="A19" s="563" t="s">
        <v>635</v>
      </c>
      <c r="B19" s="560">
        <f>'Sources and Uses Budget'!C19</f>
        <v>0</v>
      </c>
      <c r="C19" s="561"/>
      <c r="D19" s="561"/>
      <c r="E19" s="560">
        <f>'Sources and Uses Budget'!S19</f>
        <v>0</v>
      </c>
      <c r="F19" s="561"/>
      <c r="G19" s="561"/>
      <c r="H19" s="560">
        <f>'Sources and Uses Budget'!T19</f>
        <v>0</v>
      </c>
      <c r="I19" s="561"/>
      <c r="J19" s="561"/>
      <c r="K19" s="558"/>
    </row>
    <row r="20" spans="1:11" s="559" customFormat="1" ht="11.4">
      <c r="A20" s="563" t="s">
        <v>142</v>
      </c>
      <c r="B20" s="560">
        <f>'Sources and Uses Budget'!C20</f>
        <v>0</v>
      </c>
      <c r="C20" s="561"/>
      <c r="D20" s="561"/>
      <c r="E20" s="560">
        <f>'Sources and Uses Budget'!S20</f>
        <v>0</v>
      </c>
      <c r="F20" s="561"/>
      <c r="G20" s="561"/>
      <c r="H20" s="560">
        <f>'Sources and Uses Budget'!T20</f>
        <v>0</v>
      </c>
      <c r="I20" s="561"/>
      <c r="J20" s="561"/>
      <c r="K20" s="558"/>
    </row>
    <row r="21" spans="1:11" s="559" customFormat="1" ht="11.4">
      <c r="A21" s="563" t="s">
        <v>143</v>
      </c>
      <c r="B21" s="560">
        <f>'Sources and Uses Budget'!C21</f>
        <v>0</v>
      </c>
      <c r="C21" s="561"/>
      <c r="D21" s="561"/>
      <c r="E21" s="560">
        <f>'Sources and Uses Budget'!S21</f>
        <v>0</v>
      </c>
      <c r="F21" s="561"/>
      <c r="G21" s="561"/>
      <c r="H21" s="560">
        <f>'Sources and Uses Budget'!T21</f>
        <v>0</v>
      </c>
      <c r="I21" s="561"/>
      <c r="J21" s="561"/>
      <c r="K21" s="558"/>
    </row>
    <row r="22" spans="1:11" s="559" customFormat="1" ht="11.4">
      <c r="A22" s="563" t="s">
        <v>144</v>
      </c>
      <c r="B22" s="560">
        <f>'Sources and Uses Budget'!C22</f>
        <v>0</v>
      </c>
      <c r="C22" s="561"/>
      <c r="D22" s="561"/>
      <c r="E22" s="560">
        <f>'Sources and Uses Budget'!S22</f>
        <v>0</v>
      </c>
      <c r="F22" s="561"/>
      <c r="G22" s="561"/>
      <c r="H22" s="560">
        <f>'Sources and Uses Budget'!T22</f>
        <v>0</v>
      </c>
      <c r="I22" s="561"/>
      <c r="J22" s="561"/>
      <c r="K22" s="558"/>
    </row>
    <row r="23" spans="1:11" s="559" customFormat="1" ht="11.4">
      <c r="A23" s="563" t="s">
        <v>145</v>
      </c>
      <c r="B23" s="560">
        <f>'Sources and Uses Budget'!C23</f>
        <v>0</v>
      </c>
      <c r="C23" s="561"/>
      <c r="D23" s="561"/>
      <c r="E23" s="560">
        <f>'Sources and Uses Budget'!S23</f>
        <v>0</v>
      </c>
      <c r="F23" s="561"/>
      <c r="G23" s="561"/>
      <c r="H23" s="560">
        <f>'Sources and Uses Budget'!T23</f>
        <v>0</v>
      </c>
      <c r="I23" s="561"/>
      <c r="J23" s="561"/>
      <c r="K23" s="558"/>
    </row>
    <row r="24" spans="1:11" s="559" customFormat="1" ht="11.4">
      <c r="A24" s="853" t="s">
        <v>1992</v>
      </c>
      <c r="B24" s="560">
        <f>'Sources and Uses Budget'!C24</f>
        <v>0</v>
      </c>
      <c r="C24" s="561"/>
      <c r="D24" s="561"/>
      <c r="E24" s="560">
        <f>'Sources and Uses Budget'!S24</f>
        <v>0</v>
      </c>
      <c r="F24" s="561"/>
      <c r="G24" s="561"/>
      <c r="H24" s="560">
        <f>'Sources and Uses Budget'!T24</f>
        <v>0</v>
      </c>
      <c r="I24" s="561"/>
      <c r="J24" s="561"/>
      <c r="K24" s="558"/>
    </row>
    <row r="25" spans="1:11" s="559" customFormat="1" ht="11.4">
      <c r="A25" s="566" t="str">
        <f>'Sources and Uses Budget'!$A25</f>
        <v>Other: (Specify)</v>
      </c>
      <c r="B25" s="560">
        <f>'Sources and Uses Budget'!C25</f>
        <v>0</v>
      </c>
      <c r="C25" s="561"/>
      <c r="D25" s="561"/>
      <c r="E25" s="560">
        <f>'Sources and Uses Budget'!S25</f>
        <v>0</v>
      </c>
      <c r="F25" s="561"/>
      <c r="G25" s="561"/>
      <c r="H25" s="560">
        <f>'Sources and Uses Budget'!T25</f>
        <v>0</v>
      </c>
      <c r="I25" s="561"/>
      <c r="J25" s="561"/>
      <c r="K25" s="558"/>
    </row>
    <row r="26" spans="1:11" s="559" customFormat="1">
      <c r="A26" s="564" t="s">
        <v>138</v>
      </c>
      <c r="B26" s="560">
        <f>'Sources and Uses Budget'!C26</f>
        <v>0</v>
      </c>
      <c r="C26" s="560">
        <f>SUM(C17:C25)</f>
        <v>0</v>
      </c>
      <c r="D26" s="560">
        <f>SUM(D17:D25)</f>
        <v>0</v>
      </c>
      <c r="E26" s="560">
        <f>'Sources and Uses Budget'!S26</f>
        <v>0</v>
      </c>
      <c r="F26" s="567">
        <f>SUM(F17:F25)</f>
        <v>0</v>
      </c>
      <c r="G26" s="567">
        <f>SUM(G17:G25)</f>
        <v>0</v>
      </c>
      <c r="H26" s="560">
        <f>'Sources and Uses Budget'!T26</f>
        <v>0</v>
      </c>
      <c r="I26" s="567">
        <f>SUM(I17:I25)</f>
        <v>0</v>
      </c>
      <c r="J26" s="567">
        <f>SUM(J17:J25)</f>
        <v>0</v>
      </c>
      <c r="K26" s="558"/>
    </row>
    <row r="27" spans="1:11" s="559" customFormat="1">
      <c r="A27" s="564" t="s">
        <v>146</v>
      </c>
      <c r="B27" s="560">
        <f>'Sources and Uses Budget'!C27</f>
        <v>0</v>
      </c>
      <c r="C27" s="561"/>
      <c r="D27" s="561"/>
      <c r="E27" s="560">
        <f>'Sources and Uses Budget'!S27</f>
        <v>0</v>
      </c>
      <c r="F27" s="561"/>
      <c r="G27" s="561"/>
      <c r="H27" s="560">
        <f>'Sources and Uses Budget'!T27</f>
        <v>0</v>
      </c>
      <c r="I27" s="561"/>
      <c r="J27" s="561"/>
      <c r="K27" s="558"/>
    </row>
    <row r="28" spans="1:11" s="559" customFormat="1" ht="11.4">
      <c r="A28" s="556" t="s">
        <v>147</v>
      </c>
      <c r="B28" s="557"/>
      <c r="C28" s="557"/>
      <c r="D28" s="557"/>
      <c r="E28" s="557"/>
      <c r="F28" s="557"/>
      <c r="G28" s="557"/>
      <c r="H28" s="557"/>
      <c r="I28" s="557"/>
      <c r="J28" s="557"/>
      <c r="K28" s="558"/>
    </row>
    <row r="29" spans="1:11" s="559" customFormat="1" ht="11.4">
      <c r="A29" s="215" t="s">
        <v>633</v>
      </c>
      <c r="B29" s="560">
        <f>'Sources and Uses Budget'!C29</f>
        <v>8602752</v>
      </c>
      <c r="C29" s="561"/>
      <c r="D29" s="561"/>
      <c r="E29" s="560">
        <f>'Sources and Uses Budget'!S29</f>
        <v>8602752</v>
      </c>
      <c r="F29" s="561"/>
      <c r="G29" s="561"/>
      <c r="H29" s="560">
        <f>'Sources and Uses Budget'!T29</f>
        <v>0</v>
      </c>
      <c r="I29" s="561"/>
      <c r="J29" s="561"/>
      <c r="K29" s="558"/>
    </row>
    <row r="30" spans="1:11" s="559" customFormat="1" ht="11.4">
      <c r="A30" s="215" t="s">
        <v>634</v>
      </c>
      <c r="B30" s="560">
        <f>'Sources and Uses Budget'!C30</f>
        <v>51195566</v>
      </c>
      <c r="C30" s="561"/>
      <c r="D30" s="561"/>
      <c r="E30" s="560">
        <f>'Sources and Uses Budget'!S30</f>
        <v>51195566</v>
      </c>
      <c r="F30" s="561"/>
      <c r="G30" s="561"/>
      <c r="H30" s="560">
        <f>'Sources and Uses Budget'!T30</f>
        <v>0</v>
      </c>
      <c r="I30" s="561"/>
      <c r="J30" s="561"/>
      <c r="K30" s="558"/>
    </row>
    <row r="31" spans="1:11" s="559" customFormat="1" ht="11.4">
      <c r="A31" s="215" t="s">
        <v>635</v>
      </c>
      <c r="B31" s="560">
        <f>'Sources and Uses Budget'!C31</f>
        <v>1710160</v>
      </c>
      <c r="C31" s="561"/>
      <c r="D31" s="561"/>
      <c r="E31" s="560">
        <f>'Sources and Uses Budget'!S31</f>
        <v>1710160</v>
      </c>
      <c r="F31" s="561"/>
      <c r="G31" s="561"/>
      <c r="H31" s="560">
        <f>'Sources and Uses Budget'!T31</f>
        <v>0</v>
      </c>
      <c r="I31" s="561"/>
      <c r="J31" s="561"/>
      <c r="K31" s="558"/>
    </row>
    <row r="32" spans="1:11" s="559" customFormat="1" ht="11.4">
      <c r="A32" s="215" t="s">
        <v>142</v>
      </c>
      <c r="B32" s="560">
        <f>'Sources and Uses Budget'!C32</f>
        <v>3416720</v>
      </c>
      <c r="C32" s="561"/>
      <c r="D32" s="561"/>
      <c r="E32" s="560">
        <f>'Sources and Uses Budget'!S32</f>
        <v>3416720</v>
      </c>
      <c r="F32" s="561"/>
      <c r="G32" s="561"/>
      <c r="H32" s="560">
        <f>'Sources and Uses Budget'!T32</f>
        <v>0</v>
      </c>
      <c r="I32" s="561"/>
      <c r="J32" s="561"/>
      <c r="K32" s="558"/>
    </row>
    <row r="33" spans="1:11" s="559" customFormat="1" ht="11.4">
      <c r="A33" s="215" t="s">
        <v>143</v>
      </c>
      <c r="B33" s="560">
        <f>'Sources and Uses Budget'!C33</f>
        <v>0</v>
      </c>
      <c r="C33" s="561"/>
      <c r="D33" s="561"/>
      <c r="E33" s="560">
        <f>'Sources and Uses Budget'!S33</f>
        <v>0</v>
      </c>
      <c r="F33" s="561"/>
      <c r="G33" s="561"/>
      <c r="H33" s="560">
        <f>'Sources and Uses Budget'!T33</f>
        <v>0</v>
      </c>
      <c r="I33" s="561"/>
      <c r="J33" s="561"/>
      <c r="K33" s="558"/>
    </row>
    <row r="34" spans="1:11" s="559" customFormat="1" ht="11.4">
      <c r="A34" s="215" t="s">
        <v>144</v>
      </c>
      <c r="B34" s="560">
        <f>'Sources and Uses Budget'!C34</f>
        <v>0</v>
      </c>
      <c r="C34" s="561"/>
      <c r="D34" s="561"/>
      <c r="E34" s="560">
        <f>'Sources and Uses Budget'!S34</f>
        <v>0</v>
      </c>
      <c r="F34" s="561"/>
      <c r="G34" s="561"/>
      <c r="H34" s="560">
        <f>'Sources and Uses Budget'!T34</f>
        <v>0</v>
      </c>
      <c r="I34" s="561"/>
      <c r="J34" s="561"/>
      <c r="K34" s="558"/>
    </row>
    <row r="35" spans="1:11" s="559" customFormat="1" ht="11.4">
      <c r="A35" s="215" t="s">
        <v>145</v>
      </c>
      <c r="B35" s="560">
        <f>'Sources and Uses Budget'!C35</f>
        <v>1088188</v>
      </c>
      <c r="C35" s="561"/>
      <c r="D35" s="561"/>
      <c r="E35" s="560">
        <f>'Sources and Uses Budget'!S35</f>
        <v>1088188</v>
      </c>
      <c r="F35" s="561"/>
      <c r="G35" s="561"/>
      <c r="H35" s="560">
        <f>'Sources and Uses Budget'!T35</f>
        <v>0</v>
      </c>
      <c r="I35" s="561"/>
      <c r="J35" s="561"/>
      <c r="K35" s="558"/>
    </row>
    <row r="36" spans="1:11" s="559" customFormat="1" ht="11.4">
      <c r="A36" s="853" t="s">
        <v>1992</v>
      </c>
      <c r="B36" s="560">
        <f>'Sources and Uses Budget'!C36</f>
        <v>0</v>
      </c>
      <c r="C36" s="561"/>
      <c r="D36" s="561"/>
      <c r="E36" s="560">
        <f>'Sources and Uses Budget'!S36</f>
        <v>0</v>
      </c>
      <c r="F36" s="561"/>
      <c r="G36" s="561"/>
      <c r="H36" s="560">
        <f>'Sources and Uses Budget'!T36</f>
        <v>0</v>
      </c>
      <c r="I36" s="561"/>
      <c r="J36" s="561"/>
      <c r="K36" s="558"/>
    </row>
    <row r="37" spans="1:11" s="559" customFormat="1" ht="11.4">
      <c r="A37" s="566" t="str">
        <f>'Sources and Uses Budget'!$A37</f>
        <v>Other: (Specify)</v>
      </c>
      <c r="B37" s="560">
        <f>'Sources and Uses Budget'!C37</f>
        <v>0</v>
      </c>
      <c r="C37" s="561"/>
      <c r="D37" s="561"/>
      <c r="E37" s="560">
        <f>'Sources and Uses Budget'!S37</f>
        <v>0</v>
      </c>
      <c r="F37" s="561"/>
      <c r="G37" s="561"/>
      <c r="H37" s="560">
        <f>'Sources and Uses Budget'!T37</f>
        <v>0</v>
      </c>
      <c r="I37" s="561"/>
      <c r="J37" s="561"/>
      <c r="K37" s="558"/>
    </row>
    <row r="38" spans="1:11" s="559" customFormat="1">
      <c r="A38" s="568" t="s">
        <v>148</v>
      </c>
      <c r="B38" s="560">
        <f>'Sources and Uses Budget'!C38</f>
        <v>66013386</v>
      </c>
      <c r="C38" s="560">
        <f>SUM(C29:C37)</f>
        <v>0</v>
      </c>
      <c r="D38" s="560">
        <f>SUM(D29:D37)</f>
        <v>0</v>
      </c>
      <c r="E38" s="560">
        <f>'Sources and Uses Budget'!S38</f>
        <v>66013386</v>
      </c>
      <c r="F38" s="567">
        <f>SUM(F29:F37)</f>
        <v>0</v>
      </c>
      <c r="G38" s="567">
        <f>SUM(G29:G37)</f>
        <v>0</v>
      </c>
      <c r="H38" s="560">
        <f>'Sources and Uses Budget'!T38</f>
        <v>0</v>
      </c>
      <c r="I38" s="567">
        <f>SUM(I29:I37)</f>
        <v>0</v>
      </c>
      <c r="J38" s="567">
        <f>SUM(J29:J37)</f>
        <v>0</v>
      </c>
      <c r="K38" s="558"/>
    </row>
    <row r="39" spans="1:11" s="559" customFormat="1" ht="11.4">
      <c r="A39" s="556" t="s">
        <v>149</v>
      </c>
      <c r="B39" s="557"/>
      <c r="C39" s="557"/>
      <c r="D39" s="557"/>
      <c r="E39" s="557"/>
      <c r="F39" s="557"/>
      <c r="G39" s="557"/>
      <c r="H39" s="557"/>
      <c r="I39" s="557"/>
      <c r="J39" s="557"/>
      <c r="K39" s="558"/>
    </row>
    <row r="40" spans="1:11" s="559" customFormat="1" ht="11.4">
      <c r="A40" s="563" t="s">
        <v>150</v>
      </c>
      <c r="B40" s="560">
        <f>'Sources and Uses Budget'!C40</f>
        <v>2189964</v>
      </c>
      <c r="C40" s="561"/>
      <c r="D40" s="561"/>
      <c r="E40" s="560">
        <f>'Sources and Uses Budget'!S40</f>
        <v>2189964</v>
      </c>
      <c r="F40" s="561"/>
      <c r="G40" s="561"/>
      <c r="H40" s="560">
        <f>'Sources and Uses Budget'!T40</f>
        <v>0</v>
      </c>
      <c r="I40" s="561"/>
      <c r="J40" s="561"/>
      <c r="K40" s="558"/>
    </row>
    <row r="41" spans="1:11" s="559" customFormat="1" ht="11.4">
      <c r="A41" s="563" t="s">
        <v>151</v>
      </c>
      <c r="B41" s="560">
        <f>'Sources and Uses Budget'!C41</f>
        <v>0</v>
      </c>
      <c r="C41" s="561"/>
      <c r="D41" s="561"/>
      <c r="E41" s="560">
        <f>'Sources and Uses Budget'!S41</f>
        <v>0</v>
      </c>
      <c r="F41" s="561"/>
      <c r="G41" s="561"/>
      <c r="H41" s="560">
        <f>'Sources and Uses Budget'!T41</f>
        <v>0</v>
      </c>
      <c r="I41" s="561"/>
      <c r="J41" s="561"/>
      <c r="K41" s="558"/>
    </row>
    <row r="42" spans="1:11" s="559" customFormat="1">
      <c r="A42" s="564" t="s">
        <v>152</v>
      </c>
      <c r="B42" s="560">
        <f>'Sources and Uses Budget'!C42</f>
        <v>2189964</v>
      </c>
      <c r="C42" s="560">
        <f>SUM(C39:C41)</f>
        <v>0</v>
      </c>
      <c r="D42" s="560">
        <f>SUM(D39:D41)</f>
        <v>0</v>
      </c>
      <c r="E42" s="560">
        <f>'Sources and Uses Budget'!S42</f>
        <v>2189964</v>
      </c>
      <c r="F42" s="567">
        <f>SUM(F40:F41)</f>
        <v>0</v>
      </c>
      <c r="G42" s="567">
        <f>SUM(G40:G41)</f>
        <v>0</v>
      </c>
      <c r="H42" s="560">
        <f>'Sources and Uses Budget'!T42</f>
        <v>0</v>
      </c>
      <c r="I42" s="567">
        <f>SUM(I40:I41)</f>
        <v>0</v>
      </c>
      <c r="J42" s="567">
        <f>SUM(J40:J41)</f>
        <v>0</v>
      </c>
      <c r="K42" s="558"/>
    </row>
    <row r="43" spans="1:11" s="559" customFormat="1">
      <c r="A43" s="564" t="s">
        <v>153</v>
      </c>
      <c r="B43" s="560">
        <f>'Sources and Uses Budget'!C43</f>
        <v>300000</v>
      </c>
      <c r="C43" s="561"/>
      <c r="D43" s="561"/>
      <c r="E43" s="560">
        <f>'Sources and Uses Budget'!S43</f>
        <v>300000</v>
      </c>
      <c r="F43" s="561"/>
      <c r="G43" s="561"/>
      <c r="H43" s="560">
        <f>'Sources and Uses Budget'!T43</f>
        <v>0</v>
      </c>
      <c r="I43" s="561"/>
      <c r="J43" s="561"/>
      <c r="K43" s="558"/>
    </row>
    <row r="44" spans="1:11" s="559" customFormat="1" ht="11.4">
      <c r="A44" s="556" t="s">
        <v>154</v>
      </c>
      <c r="B44" s="557"/>
      <c r="C44" s="557"/>
      <c r="D44" s="557"/>
      <c r="E44" s="557"/>
      <c r="F44" s="557"/>
      <c r="G44" s="557"/>
      <c r="H44" s="557"/>
      <c r="I44" s="557"/>
      <c r="J44" s="557"/>
      <c r="K44" s="558"/>
    </row>
    <row r="45" spans="1:11" s="559" customFormat="1" ht="11.4">
      <c r="A45" s="563" t="s">
        <v>155</v>
      </c>
      <c r="B45" s="560">
        <f>'Sources and Uses Budget'!C45</f>
        <v>3274051</v>
      </c>
      <c r="C45" s="561"/>
      <c r="D45" s="561"/>
      <c r="E45" s="560">
        <f>'Sources and Uses Budget'!S45</f>
        <v>1348733</v>
      </c>
      <c r="F45" s="561"/>
      <c r="G45" s="561"/>
      <c r="H45" s="560">
        <f>'Sources and Uses Budget'!T45</f>
        <v>0</v>
      </c>
      <c r="I45" s="561"/>
      <c r="J45" s="561"/>
      <c r="K45" s="558"/>
    </row>
    <row r="46" spans="1:11" s="559" customFormat="1" ht="11.4">
      <c r="A46" s="563" t="s">
        <v>156</v>
      </c>
      <c r="B46" s="560">
        <f>'Sources and Uses Budget'!C46</f>
        <v>487289</v>
      </c>
      <c r="C46" s="561"/>
      <c r="D46" s="561"/>
      <c r="E46" s="560">
        <f>'Sources and Uses Budget'!S46</f>
        <v>78504</v>
      </c>
      <c r="F46" s="561"/>
      <c r="G46" s="561"/>
      <c r="H46" s="560">
        <f>'Sources and Uses Budget'!T46</f>
        <v>0</v>
      </c>
      <c r="I46" s="561"/>
      <c r="J46" s="561"/>
      <c r="K46" s="558"/>
    </row>
    <row r="47" spans="1:11" s="559" customFormat="1" ht="12" customHeight="1">
      <c r="A47" s="563" t="s">
        <v>157</v>
      </c>
      <c r="B47" s="560">
        <f>'Sources and Uses Budget'!C47</f>
        <v>0</v>
      </c>
      <c r="C47" s="561"/>
      <c r="D47" s="561"/>
      <c r="E47" s="560">
        <f>'Sources and Uses Budget'!S47</f>
        <v>0</v>
      </c>
      <c r="F47" s="561"/>
      <c r="G47" s="561"/>
      <c r="H47" s="560">
        <f>'Sources and Uses Budget'!T47</f>
        <v>0</v>
      </c>
      <c r="I47" s="561"/>
      <c r="J47" s="561"/>
      <c r="K47" s="558"/>
    </row>
    <row r="48" spans="1:11" s="559" customFormat="1" ht="11.4">
      <c r="A48" s="563" t="s">
        <v>158</v>
      </c>
      <c r="B48" s="560">
        <f>'Sources and Uses Budget'!C48</f>
        <v>0</v>
      </c>
      <c r="C48" s="561"/>
      <c r="D48" s="561"/>
      <c r="E48" s="560">
        <f>'Sources and Uses Budget'!S48</f>
        <v>0</v>
      </c>
      <c r="F48" s="561"/>
      <c r="G48" s="561"/>
      <c r="H48" s="560">
        <f>'Sources and Uses Budget'!T48</f>
        <v>0</v>
      </c>
      <c r="I48" s="561"/>
      <c r="J48" s="561"/>
      <c r="K48" s="558"/>
    </row>
    <row r="49" spans="1:11" s="559" customFormat="1" ht="11.4">
      <c r="A49" s="435" t="s">
        <v>60</v>
      </c>
      <c r="B49" s="560">
        <f>'Sources and Uses Budget'!C49</f>
        <v>207285</v>
      </c>
      <c r="C49" s="561"/>
      <c r="D49" s="561"/>
      <c r="E49" s="560">
        <f>'Sources and Uses Budget'!S49</f>
        <v>0</v>
      </c>
      <c r="F49" s="561"/>
      <c r="G49" s="561"/>
      <c r="H49" s="560">
        <f>'Sources and Uses Budget'!T49</f>
        <v>0</v>
      </c>
      <c r="I49" s="561"/>
      <c r="J49" s="561"/>
      <c r="K49" s="558"/>
    </row>
    <row r="50" spans="1:11" s="559" customFormat="1" ht="11.4">
      <c r="A50" s="563" t="s">
        <v>161</v>
      </c>
      <c r="B50" s="560">
        <f>'Sources and Uses Budget'!C50</f>
        <v>30000</v>
      </c>
      <c r="C50" s="561"/>
      <c r="D50" s="561"/>
      <c r="E50" s="560">
        <f>'Sources and Uses Budget'!S50</f>
        <v>30000</v>
      </c>
      <c r="F50" s="561"/>
      <c r="G50" s="561"/>
      <c r="H50" s="560">
        <f>'Sources and Uses Budget'!T50</f>
        <v>0</v>
      </c>
      <c r="I50" s="561"/>
      <c r="J50" s="561"/>
      <c r="K50" s="558"/>
    </row>
    <row r="51" spans="1:11" s="559" customFormat="1" ht="11.4">
      <c r="A51" s="563" t="s">
        <v>159</v>
      </c>
      <c r="B51" s="560">
        <f>'Sources and Uses Budget'!C51</f>
        <v>84844</v>
      </c>
      <c r="C51" s="561"/>
      <c r="D51" s="561"/>
      <c r="E51" s="560">
        <f>'Sources and Uses Budget'!S51</f>
        <v>84844</v>
      </c>
      <c r="F51" s="561"/>
      <c r="G51" s="561"/>
      <c r="H51" s="560">
        <f>'Sources and Uses Budget'!T51</f>
        <v>0</v>
      </c>
      <c r="I51" s="561"/>
      <c r="J51" s="561"/>
      <c r="K51" s="558"/>
    </row>
    <row r="52" spans="1:11" s="559" customFormat="1" ht="11.4">
      <c r="A52" s="563" t="s">
        <v>160</v>
      </c>
      <c r="B52" s="560">
        <f>'Sources and Uses Budget'!C52</f>
        <v>290228</v>
      </c>
      <c r="C52" s="561"/>
      <c r="D52" s="561"/>
      <c r="E52" s="560">
        <f>'Sources and Uses Budget'!S52</f>
        <v>290228</v>
      </c>
      <c r="F52" s="561"/>
      <c r="G52" s="561"/>
      <c r="H52" s="560">
        <f>'Sources and Uses Budget'!T52</f>
        <v>0</v>
      </c>
      <c r="I52" s="561"/>
      <c r="J52" s="561"/>
      <c r="K52" s="558"/>
    </row>
    <row r="53" spans="1:11" s="559" customFormat="1" ht="11.4">
      <c r="A53" s="566" t="str">
        <f>'Sources and Uses Budget'!$A53</f>
        <v>Accrued/Deferred Interest</v>
      </c>
      <c r="B53" s="560">
        <f>'Sources and Uses Budget'!C53</f>
        <v>500622</v>
      </c>
      <c r="C53" s="561"/>
      <c r="D53" s="561"/>
      <c r="E53" s="560">
        <f>'Sources and Uses Budget'!S53</f>
        <v>271581</v>
      </c>
      <c r="F53" s="561"/>
      <c r="G53" s="561"/>
      <c r="H53" s="560">
        <f>'Sources and Uses Budget'!T53</f>
        <v>0</v>
      </c>
      <c r="I53" s="561"/>
      <c r="J53" s="561"/>
      <c r="K53" s="558"/>
    </row>
    <row r="54" spans="1:11" s="570" customFormat="1">
      <c r="A54" s="564" t="s">
        <v>162</v>
      </c>
      <c r="B54" s="560">
        <f>'Sources and Uses Budget'!C54</f>
        <v>4874319</v>
      </c>
      <c r="C54" s="567">
        <f>SUM(C45:C53)</f>
        <v>0</v>
      </c>
      <c r="D54" s="567">
        <f>SUM(D45:D53)</f>
        <v>0</v>
      </c>
      <c r="E54" s="560">
        <f>'Sources and Uses Budget'!S54</f>
        <v>2103890</v>
      </c>
      <c r="F54" s="567">
        <f>SUM(F45:F53)</f>
        <v>0</v>
      </c>
      <c r="G54" s="567">
        <f>SUM(G45:G53)</f>
        <v>0</v>
      </c>
      <c r="H54" s="560">
        <f>'Sources and Uses Budget'!T54</f>
        <v>0</v>
      </c>
      <c r="I54" s="567">
        <f>SUM(I45:I53)</f>
        <v>0</v>
      </c>
      <c r="J54" s="567">
        <f>SUM(J45:J53)</f>
        <v>0</v>
      </c>
      <c r="K54" s="569"/>
    </row>
    <row r="55" spans="1:11" s="559" customFormat="1" ht="11.4">
      <c r="A55" s="556" t="s">
        <v>439</v>
      </c>
      <c r="B55" s="557"/>
      <c r="C55" s="557"/>
      <c r="D55" s="557"/>
      <c r="E55" s="557"/>
      <c r="F55" s="557"/>
      <c r="G55" s="557"/>
      <c r="H55" s="557"/>
      <c r="I55" s="557"/>
      <c r="J55" s="557"/>
      <c r="K55" s="558"/>
    </row>
    <row r="56" spans="1:11" s="559" customFormat="1" ht="11.4">
      <c r="A56" s="563" t="s">
        <v>163</v>
      </c>
      <c r="B56" s="560">
        <f>'Sources and Uses Budget'!C56</f>
        <v>106740</v>
      </c>
      <c r="C56" s="561"/>
      <c r="D56" s="561"/>
      <c r="E56" s="562"/>
      <c r="F56" s="562"/>
      <c r="G56" s="562"/>
      <c r="H56" s="562"/>
      <c r="I56" s="562"/>
      <c r="J56" s="562"/>
      <c r="K56" s="558"/>
    </row>
    <row r="57" spans="1:11" s="559" customFormat="1" ht="12" customHeight="1">
      <c r="A57" s="563" t="s">
        <v>157</v>
      </c>
      <c r="B57" s="560">
        <f>'Sources and Uses Budget'!C57</f>
        <v>0</v>
      </c>
      <c r="C57" s="561"/>
      <c r="D57" s="561"/>
      <c r="E57" s="562"/>
      <c r="F57" s="562"/>
      <c r="G57" s="562"/>
      <c r="H57" s="562"/>
      <c r="I57" s="562"/>
      <c r="J57" s="562"/>
      <c r="K57" s="558"/>
    </row>
    <row r="58" spans="1:11" s="559" customFormat="1" ht="11.4">
      <c r="A58" s="563" t="s">
        <v>161</v>
      </c>
      <c r="B58" s="560">
        <f>'Sources and Uses Budget'!C58</f>
        <v>25000</v>
      </c>
      <c r="C58" s="561"/>
      <c r="D58" s="561"/>
      <c r="E58" s="562"/>
      <c r="F58" s="562"/>
      <c r="G58" s="562"/>
      <c r="H58" s="562"/>
      <c r="I58" s="562"/>
      <c r="J58" s="562"/>
      <c r="K58" s="558"/>
    </row>
    <row r="59" spans="1:11" s="559" customFormat="1" ht="11.4">
      <c r="A59" s="563" t="s">
        <v>159</v>
      </c>
      <c r="B59" s="560">
        <f>'Sources and Uses Budget'!C59</f>
        <v>0</v>
      </c>
      <c r="C59" s="561"/>
      <c r="D59" s="561"/>
      <c r="E59" s="562"/>
      <c r="F59" s="562"/>
      <c r="G59" s="562"/>
      <c r="H59" s="562"/>
      <c r="I59" s="562"/>
      <c r="J59" s="562"/>
      <c r="K59" s="558"/>
    </row>
    <row r="60" spans="1:11" s="559" customFormat="1" ht="11.4">
      <c r="A60" s="563" t="s">
        <v>160</v>
      </c>
      <c r="B60" s="560">
        <f>'Sources and Uses Budget'!C60</f>
        <v>0</v>
      </c>
      <c r="C60" s="561"/>
      <c r="D60" s="561"/>
      <c r="E60" s="562"/>
      <c r="F60" s="562"/>
      <c r="G60" s="562"/>
      <c r="H60" s="562"/>
      <c r="I60" s="562"/>
      <c r="J60" s="562"/>
      <c r="K60" s="558"/>
    </row>
    <row r="61" spans="1:11" s="559" customFormat="1" ht="11.4">
      <c r="A61" s="566" t="str">
        <f>'Sources and Uses Budget'!$A61</f>
        <v>Perm Legal/Exp - Lender/Borrower</v>
      </c>
      <c r="B61" s="560">
        <f>'Sources and Uses Budget'!C61</f>
        <v>85000</v>
      </c>
      <c r="C61" s="561"/>
      <c r="D61" s="561"/>
      <c r="E61" s="562"/>
      <c r="F61" s="562"/>
      <c r="G61" s="562"/>
      <c r="H61" s="562"/>
      <c r="I61" s="562"/>
      <c r="J61" s="562"/>
      <c r="K61" s="558"/>
    </row>
    <row r="62" spans="1:11" s="559" customFormat="1" ht="13.8" customHeight="1">
      <c r="A62" s="564" t="s">
        <v>309</v>
      </c>
      <c r="B62" s="560">
        <f>'Sources and Uses Budget'!C62</f>
        <v>216740</v>
      </c>
      <c r="C62" s="560">
        <f>SUM(C56:C61)</f>
        <v>0</v>
      </c>
      <c r="D62" s="560">
        <f>SUM(D56:D61)</f>
        <v>0</v>
      </c>
      <c r="E62" s="562"/>
      <c r="F62" s="562"/>
      <c r="G62" s="562"/>
      <c r="H62" s="562"/>
      <c r="I62" s="562"/>
      <c r="J62" s="562"/>
      <c r="K62" s="558"/>
    </row>
    <row r="63" spans="1:11" s="559" customFormat="1" ht="11.4">
      <c r="A63" s="571" t="s">
        <v>310</v>
      </c>
      <c r="B63" s="560">
        <f>'Sources and Uses Budget'!C63</f>
        <v>78311684</v>
      </c>
      <c r="C63" s="560">
        <f>SUM(C8+C11+C13+C14+C15+C26+C27+C38+C42+C43+C54+C62)</f>
        <v>0</v>
      </c>
      <c r="D63" s="560">
        <f>SUM(D8+D11+D13+D14+D15+D26+D27+D38+D42+D43+D54+D62)</f>
        <v>0</v>
      </c>
      <c r="E63" s="560">
        <f>'Sources and Uses Budget'!S63</f>
        <v>70657240</v>
      </c>
      <c r="F63" s="560">
        <f>SUM(F10+F13+F14+F15+F26+F27+F38+F42+F43+F54)</f>
        <v>0</v>
      </c>
      <c r="G63" s="560">
        <f>SUM(G10+G13+G14+G15+G26+G27+G38+G42+G43+G54)</f>
        <v>0</v>
      </c>
      <c r="H63" s="560">
        <f>'Sources and Uses Budget'!T63</f>
        <v>0</v>
      </c>
      <c r="I63" s="560">
        <f>SUM(I11+I13+I14+I15+I26+I27+I38+I42+I43+I54)</f>
        <v>0</v>
      </c>
      <c r="J63" s="560">
        <f>SUM(J11+J13+J14+J15+J26+J27+J38+J42+J43+J54)</f>
        <v>0</v>
      </c>
      <c r="K63" s="558"/>
    </row>
    <row r="64" spans="1:11" s="559" customFormat="1" ht="22.8">
      <c r="A64" s="211" t="s">
        <v>1996</v>
      </c>
      <c r="B64" s="557"/>
      <c r="C64" s="557"/>
      <c r="D64" s="557"/>
      <c r="E64" s="557"/>
      <c r="F64" s="557"/>
      <c r="G64" s="557"/>
      <c r="H64" s="557"/>
      <c r="I64" s="557"/>
      <c r="J64" s="557"/>
      <c r="K64" s="558"/>
    </row>
    <row r="65" spans="1:11" s="559" customFormat="1" ht="11.4">
      <c r="A65" s="215" t="s">
        <v>176</v>
      </c>
      <c r="B65" s="560">
        <f>'Sources and Uses Budget'!C65</f>
        <v>65000</v>
      </c>
      <c r="C65" s="561"/>
      <c r="D65" s="561"/>
      <c r="E65" s="560">
        <f>'Sources and Uses Budget'!S65</f>
        <v>10472</v>
      </c>
      <c r="F65" s="561"/>
      <c r="G65" s="561"/>
      <c r="H65" s="560">
        <f>'Sources and Uses Budget'!T65</f>
        <v>0</v>
      </c>
      <c r="I65" s="561"/>
      <c r="J65" s="561"/>
      <c r="K65" s="558"/>
    </row>
    <row r="66" spans="1:11" s="559" customFormat="1" ht="22.8">
      <c r="A66" s="435" t="s">
        <v>1993</v>
      </c>
      <c r="B66" s="560">
        <f>'Sources and Uses Budget'!C66</f>
        <v>0</v>
      </c>
      <c r="C66" s="561"/>
      <c r="D66" s="561"/>
      <c r="E66" s="560">
        <f>'Sources and Uses Budget'!S66</f>
        <v>0</v>
      </c>
      <c r="F66" s="561"/>
      <c r="G66" s="561"/>
      <c r="H66" s="560">
        <f>'Sources and Uses Budget'!T66</f>
        <v>0</v>
      </c>
      <c r="I66" s="561"/>
      <c r="J66" s="561"/>
      <c r="K66" s="558"/>
    </row>
    <row r="67" spans="1:11" s="559" customFormat="1" ht="22.8">
      <c r="A67" s="435" t="s">
        <v>1994</v>
      </c>
      <c r="B67" s="560">
        <f>'Sources and Uses Budget'!C67</f>
        <v>0</v>
      </c>
      <c r="C67" s="561"/>
      <c r="D67" s="561"/>
      <c r="E67" s="560">
        <f>'Sources and Uses Budget'!S67</f>
        <v>0</v>
      </c>
      <c r="F67" s="561"/>
      <c r="G67" s="561"/>
      <c r="H67" s="560">
        <f>'Sources and Uses Budget'!T67</f>
        <v>0</v>
      </c>
      <c r="I67" s="561"/>
      <c r="J67" s="561"/>
      <c r="K67" s="558"/>
    </row>
    <row r="68" spans="1:11" s="559" customFormat="1" ht="11.4">
      <c r="A68" s="435" t="s">
        <v>2000</v>
      </c>
      <c r="B68" s="560">
        <f>'Sources and Uses Budget'!C68</f>
        <v>0</v>
      </c>
      <c r="C68" s="561"/>
      <c r="D68" s="561"/>
      <c r="E68" s="560">
        <f>'Sources and Uses Budget'!S68</f>
        <v>0</v>
      </c>
      <c r="F68" s="561"/>
      <c r="G68" s="561"/>
      <c r="H68" s="560">
        <f>'Sources and Uses Budget'!T68</f>
        <v>0</v>
      </c>
      <c r="I68" s="561"/>
      <c r="J68" s="561"/>
      <c r="K68" s="558"/>
    </row>
    <row r="69" spans="1:11" s="559" customFormat="1" ht="11.4">
      <c r="A69" s="566" t="str">
        <f>'Sources and Uses Budget'!$A69</f>
        <v>Construction Legal - Borrower</v>
      </c>
      <c r="B69" s="560">
        <f>'Sources and Uses Budget'!C69</f>
        <v>35000</v>
      </c>
      <c r="C69" s="561"/>
      <c r="D69" s="561"/>
      <c r="E69" s="560">
        <f>'Sources and Uses Budget'!S69</f>
        <v>35000</v>
      </c>
      <c r="F69" s="561"/>
      <c r="G69" s="561"/>
      <c r="H69" s="560">
        <f>'Sources and Uses Budget'!T69</f>
        <v>0</v>
      </c>
      <c r="I69" s="561"/>
      <c r="J69" s="561"/>
      <c r="K69" s="558"/>
    </row>
    <row r="70" spans="1:11" s="559" customFormat="1">
      <c r="A70" s="564" t="s">
        <v>636</v>
      </c>
      <c r="B70" s="560">
        <f>'Sources and Uses Budget'!C70</f>
        <v>100000</v>
      </c>
      <c r="C70" s="560">
        <f>SUM(C64:C69)</f>
        <v>0</v>
      </c>
      <c r="D70" s="560">
        <f>SUM(D64:D69)</f>
        <v>0</v>
      </c>
      <c r="E70" s="560">
        <f>'Sources and Uses Budget'!S70</f>
        <v>45472</v>
      </c>
      <c r="F70" s="567">
        <f>SUM(F65:F69)</f>
        <v>0</v>
      </c>
      <c r="G70" s="567">
        <f>SUM(G65:G69)</f>
        <v>0</v>
      </c>
      <c r="H70" s="560">
        <f>'Sources and Uses Budget'!T70</f>
        <v>0</v>
      </c>
      <c r="I70" s="567">
        <f>SUM(I65:I69)</f>
        <v>0</v>
      </c>
      <c r="J70" s="567">
        <f>SUM(J65:J69)</f>
        <v>0</v>
      </c>
      <c r="K70" s="558"/>
    </row>
    <row r="71" spans="1:11" s="559" customFormat="1" ht="11.4">
      <c r="A71" s="556" t="s">
        <v>637</v>
      </c>
      <c r="B71" s="557"/>
      <c r="C71" s="557"/>
      <c r="D71" s="557"/>
      <c r="E71" s="557"/>
      <c r="F71" s="557"/>
      <c r="G71" s="557"/>
      <c r="H71" s="557"/>
      <c r="I71" s="557"/>
      <c r="J71" s="557"/>
      <c r="K71" s="558"/>
    </row>
    <row r="72" spans="1:11" s="559" customFormat="1" ht="11.4">
      <c r="A72" s="563" t="s">
        <v>638</v>
      </c>
      <c r="B72" s="560">
        <f>'Sources and Uses Budget'!C72</f>
        <v>0</v>
      </c>
      <c r="C72" s="561"/>
      <c r="D72" s="561"/>
      <c r="E72" s="562"/>
      <c r="F72" s="562"/>
      <c r="G72" s="562"/>
      <c r="H72" s="562"/>
      <c r="I72" s="562"/>
      <c r="J72" s="562"/>
      <c r="K72" s="558"/>
    </row>
    <row r="73" spans="1:11" s="559" customFormat="1" ht="11.4">
      <c r="A73" s="563" t="s">
        <v>639</v>
      </c>
      <c r="B73" s="560">
        <f>'Sources and Uses Budget'!C73</f>
        <v>0</v>
      </c>
      <c r="C73" s="561"/>
      <c r="D73" s="561"/>
      <c r="E73" s="562"/>
      <c r="F73" s="562"/>
      <c r="G73" s="562"/>
      <c r="H73" s="562"/>
      <c r="I73" s="562"/>
      <c r="J73" s="562"/>
      <c r="K73" s="558"/>
    </row>
    <row r="74" spans="1:11" s="559" customFormat="1" ht="11.4">
      <c r="A74" s="734" t="s">
        <v>1084</v>
      </c>
      <c r="B74" s="560">
        <f>'Sources and Uses Budget'!C74</f>
        <v>0</v>
      </c>
      <c r="C74" s="561"/>
      <c r="D74" s="561"/>
      <c r="E74" s="562"/>
      <c r="F74" s="562"/>
      <c r="G74" s="562"/>
      <c r="H74" s="562"/>
      <c r="I74" s="562"/>
      <c r="J74" s="562"/>
      <c r="K74" s="558"/>
    </row>
    <row r="75" spans="1:11" s="559" customFormat="1" ht="11.4">
      <c r="A75" s="563" t="s">
        <v>640</v>
      </c>
      <c r="B75" s="560">
        <f>'Sources and Uses Budget'!C75</f>
        <v>551245</v>
      </c>
      <c r="C75" s="561"/>
      <c r="D75" s="561"/>
      <c r="E75" s="562"/>
      <c r="F75" s="562"/>
      <c r="G75" s="562"/>
      <c r="H75" s="562"/>
      <c r="I75" s="562"/>
      <c r="J75" s="562"/>
      <c r="K75" s="558"/>
    </row>
    <row r="76" spans="1:11" s="559" customFormat="1" ht="11.4">
      <c r="A76" s="566" t="str">
        <f>'Sources and Uses Budget'!$A76</f>
        <v>Other: (Specify)</v>
      </c>
      <c r="B76" s="560">
        <f>'Sources and Uses Budget'!C76</f>
        <v>0</v>
      </c>
      <c r="C76" s="561"/>
      <c r="D76" s="561"/>
      <c r="E76" s="562"/>
      <c r="F76" s="562"/>
      <c r="G76" s="562"/>
      <c r="H76" s="562"/>
      <c r="I76" s="562"/>
      <c r="J76" s="562"/>
      <c r="K76" s="558"/>
    </row>
    <row r="77" spans="1:11" s="559" customFormat="1">
      <c r="A77" s="564" t="s">
        <v>641</v>
      </c>
      <c r="B77" s="560">
        <f>'Sources and Uses Budget'!C77</f>
        <v>551245</v>
      </c>
      <c r="C77" s="560">
        <f>SUM(C72:C76)</f>
        <v>0</v>
      </c>
      <c r="D77" s="560">
        <f>SUM(D72:D76)</f>
        <v>0</v>
      </c>
      <c r="E77" s="562"/>
      <c r="F77" s="562"/>
      <c r="G77" s="562"/>
      <c r="H77" s="562"/>
      <c r="I77" s="562"/>
      <c r="J77" s="562"/>
      <c r="K77" s="558"/>
    </row>
    <row r="78" spans="1:11" s="559" customFormat="1" ht="11.4">
      <c r="A78" s="556" t="s">
        <v>1418</v>
      </c>
      <c r="B78" s="557"/>
      <c r="C78" s="557"/>
      <c r="D78" s="557"/>
      <c r="E78" s="557"/>
      <c r="F78" s="557"/>
      <c r="G78" s="557"/>
      <c r="H78" s="557"/>
      <c r="I78" s="557"/>
      <c r="J78" s="557"/>
      <c r="K78" s="558"/>
    </row>
    <row r="79" spans="1:11" s="559" customFormat="1" ht="11.4">
      <c r="A79" s="563" t="s">
        <v>1420</v>
      </c>
      <c r="B79" s="560">
        <f>'Sources and Uses Budget'!C79</f>
        <v>3309169</v>
      </c>
      <c r="C79" s="561"/>
      <c r="D79" s="561"/>
      <c r="E79" s="560">
        <f>'Sources and Uses Budget'!S79</f>
        <v>3309169</v>
      </c>
      <c r="F79" s="561"/>
      <c r="G79" s="561"/>
      <c r="H79" s="560">
        <f>'Sources and Uses Budget'!T79</f>
        <v>0</v>
      </c>
      <c r="I79" s="561"/>
      <c r="J79" s="561"/>
      <c r="K79" s="558"/>
    </row>
    <row r="80" spans="1:11" s="559" customFormat="1" ht="11.4">
      <c r="A80" s="563" t="s">
        <v>61</v>
      </c>
      <c r="B80" s="560">
        <f>'Sources and Uses Budget'!C80</f>
        <v>590000</v>
      </c>
      <c r="C80" s="561"/>
      <c r="D80" s="561"/>
      <c r="E80" s="560">
        <f>'Sources and Uses Budget'!S80</f>
        <v>590000</v>
      </c>
      <c r="F80" s="561"/>
      <c r="G80" s="561"/>
      <c r="H80" s="560">
        <f>'Sources and Uses Budget'!T80</f>
        <v>0</v>
      </c>
      <c r="I80" s="561"/>
      <c r="J80" s="561"/>
      <c r="K80" s="558"/>
    </row>
    <row r="81" spans="1:11" s="559" customFormat="1">
      <c r="A81" s="564" t="s">
        <v>1417</v>
      </c>
      <c r="B81" s="560">
        <f>'Sources and Uses Budget'!C81</f>
        <v>3899169</v>
      </c>
      <c r="C81" s="560">
        <f>SUM(C79:C80)</f>
        <v>0</v>
      </c>
      <c r="D81" s="560">
        <f>SUM(D79:D80)</f>
        <v>0</v>
      </c>
      <c r="E81" s="560">
        <f>'Sources and Uses Budget'!S81</f>
        <v>3899169</v>
      </c>
      <c r="F81" s="560">
        <f>SUM(F79:F80)</f>
        <v>0</v>
      </c>
      <c r="G81" s="560">
        <f>SUM(G79:G80)</f>
        <v>0</v>
      </c>
      <c r="H81" s="560">
        <f>'Sources and Uses Budget'!T81</f>
        <v>0</v>
      </c>
      <c r="I81" s="560">
        <f>SUM(I79:I80)</f>
        <v>0</v>
      </c>
      <c r="J81" s="560">
        <f>SUM(J79:J80)</f>
        <v>0</v>
      </c>
      <c r="K81" s="558"/>
    </row>
    <row r="82" spans="1:11" s="559" customFormat="1" ht="11.4">
      <c r="A82" s="556" t="s">
        <v>823</v>
      </c>
      <c r="B82" s="557"/>
      <c r="C82" s="557"/>
      <c r="D82" s="557"/>
      <c r="E82" s="557"/>
      <c r="F82" s="557"/>
      <c r="G82" s="557"/>
      <c r="H82" s="557"/>
      <c r="I82" s="557"/>
      <c r="J82" s="557"/>
      <c r="K82" s="558"/>
    </row>
    <row r="83" spans="1:11" s="559" customFormat="1" ht="13.8" customHeight="1">
      <c r="A83" s="215" t="s">
        <v>824</v>
      </c>
      <c r="B83" s="560">
        <f>'Sources and Uses Budget'!C83</f>
        <v>129918</v>
      </c>
      <c r="C83" s="561"/>
      <c r="D83" s="561"/>
      <c r="E83" s="562"/>
      <c r="F83" s="562"/>
      <c r="G83" s="562"/>
      <c r="H83" s="562"/>
      <c r="I83" s="562"/>
      <c r="J83" s="562"/>
      <c r="K83" s="558"/>
    </row>
    <row r="84" spans="1:11" s="559" customFormat="1" ht="11.4">
      <c r="A84" s="215" t="s">
        <v>825</v>
      </c>
      <c r="B84" s="560">
        <f>'Sources and Uses Budget'!C84</f>
        <v>650000</v>
      </c>
      <c r="C84" s="561"/>
      <c r="D84" s="561"/>
      <c r="E84" s="560">
        <f>'Sources and Uses Budget'!S84</f>
        <v>650000</v>
      </c>
      <c r="F84" s="561"/>
      <c r="G84" s="561"/>
      <c r="H84" s="560">
        <f>'Sources and Uses Budget'!T84</f>
        <v>0</v>
      </c>
      <c r="I84" s="561"/>
      <c r="J84" s="561"/>
      <c r="K84" s="558"/>
    </row>
    <row r="85" spans="1:11" s="559" customFormat="1" ht="11.4">
      <c r="A85" s="215" t="s">
        <v>826</v>
      </c>
      <c r="B85" s="560">
        <f>'Sources and Uses Budget'!C85</f>
        <v>1439281</v>
      </c>
      <c r="C85" s="561"/>
      <c r="D85" s="561"/>
      <c r="E85" s="560">
        <f>'Sources and Uses Budget'!S85</f>
        <v>1439281</v>
      </c>
      <c r="F85" s="561"/>
      <c r="G85" s="561"/>
      <c r="H85" s="560">
        <f>'Sources and Uses Budget'!T85</f>
        <v>0</v>
      </c>
      <c r="I85" s="561"/>
      <c r="J85" s="561"/>
      <c r="K85" s="558"/>
    </row>
    <row r="86" spans="1:11" s="559" customFormat="1" ht="11.4">
      <c r="A86" s="215" t="s">
        <v>827</v>
      </c>
      <c r="B86" s="560">
        <f>'Sources and Uses Budget'!C86</f>
        <v>1131402</v>
      </c>
      <c r="C86" s="561"/>
      <c r="D86" s="561"/>
      <c r="E86" s="560">
        <f>'Sources and Uses Budget'!S86</f>
        <v>1131402</v>
      </c>
      <c r="F86" s="561"/>
      <c r="G86" s="561"/>
      <c r="H86" s="560">
        <f>'Sources and Uses Budget'!T86</f>
        <v>0</v>
      </c>
      <c r="I86" s="561"/>
      <c r="J86" s="561"/>
      <c r="K86" s="558"/>
    </row>
    <row r="87" spans="1:11" s="559" customFormat="1" ht="11.4">
      <c r="A87" s="215" t="s">
        <v>828</v>
      </c>
      <c r="B87" s="560">
        <f>'Sources and Uses Budget'!C87</f>
        <v>300000</v>
      </c>
      <c r="C87" s="561"/>
      <c r="D87" s="561"/>
      <c r="E87" s="560">
        <f>'Sources and Uses Budget'!S87</f>
        <v>300000</v>
      </c>
      <c r="F87" s="561"/>
      <c r="G87" s="561"/>
      <c r="H87" s="560">
        <f>'Sources and Uses Budget'!T87</f>
        <v>0</v>
      </c>
      <c r="I87" s="561"/>
      <c r="J87" s="561"/>
      <c r="K87" s="558"/>
    </row>
    <row r="88" spans="1:11" s="559" customFormat="1" ht="11.4">
      <c r="A88" s="215" t="s">
        <v>829</v>
      </c>
      <c r="B88" s="560">
        <f>'Sources and Uses Budget'!C88</f>
        <v>200000</v>
      </c>
      <c r="C88" s="561"/>
      <c r="D88" s="561"/>
      <c r="E88" s="562"/>
      <c r="F88" s="562"/>
      <c r="G88" s="562"/>
      <c r="H88" s="562"/>
      <c r="I88" s="562"/>
      <c r="J88" s="562"/>
      <c r="K88" s="558"/>
    </row>
    <row r="89" spans="1:11" s="559" customFormat="1" ht="11.4">
      <c r="A89" s="215" t="s">
        <v>830</v>
      </c>
      <c r="B89" s="560">
        <f>'Sources and Uses Budget'!C89</f>
        <v>200000</v>
      </c>
      <c r="C89" s="561"/>
      <c r="D89" s="561"/>
      <c r="E89" s="560">
        <f>'Sources and Uses Budget'!S89</f>
        <v>200000</v>
      </c>
      <c r="F89" s="561"/>
      <c r="G89" s="561"/>
      <c r="H89" s="560">
        <f>'Sources and Uses Budget'!T89</f>
        <v>0</v>
      </c>
      <c r="I89" s="561"/>
      <c r="J89" s="561"/>
      <c r="K89" s="558"/>
    </row>
    <row r="90" spans="1:11" s="559" customFormat="1" ht="11.4">
      <c r="A90" s="215" t="s">
        <v>831</v>
      </c>
      <c r="B90" s="560">
        <f>'Sources and Uses Budget'!C90</f>
        <v>12500</v>
      </c>
      <c r="C90" s="561"/>
      <c r="D90" s="561"/>
      <c r="E90" s="560">
        <f>'Sources and Uses Budget'!S90</f>
        <v>0</v>
      </c>
      <c r="F90" s="561"/>
      <c r="G90" s="561"/>
      <c r="H90" s="560">
        <f>'Sources and Uses Budget'!T90</f>
        <v>0</v>
      </c>
      <c r="I90" s="561"/>
      <c r="J90" s="561"/>
      <c r="K90" s="558"/>
    </row>
    <row r="91" spans="1:11" s="559" customFormat="1" ht="11.4">
      <c r="A91" s="226" t="s">
        <v>390</v>
      </c>
      <c r="B91" s="560">
        <f>'Sources and Uses Budget'!C91</f>
        <v>0</v>
      </c>
      <c r="C91" s="561"/>
      <c r="D91" s="561"/>
      <c r="E91" s="560">
        <f>'Sources and Uses Budget'!S91</f>
        <v>0</v>
      </c>
      <c r="F91" s="561"/>
      <c r="G91" s="561"/>
      <c r="H91" s="560">
        <f>'Sources and Uses Budget'!T91</f>
        <v>0</v>
      </c>
      <c r="I91" s="561"/>
      <c r="J91" s="561"/>
      <c r="K91" s="558"/>
    </row>
    <row r="92" spans="1:11" s="559" customFormat="1" ht="11.4">
      <c r="A92" s="853" t="s">
        <v>1419</v>
      </c>
      <c r="B92" s="560">
        <f>'Sources and Uses Budget'!C92</f>
        <v>15000</v>
      </c>
      <c r="C92" s="561"/>
      <c r="D92" s="561"/>
      <c r="E92" s="560">
        <f>'Sources and Uses Budget'!S92</f>
        <v>15000</v>
      </c>
      <c r="F92" s="561"/>
      <c r="G92" s="561"/>
      <c r="H92" s="560">
        <f>'Sources and Uses Budget'!T92</f>
        <v>0</v>
      </c>
      <c r="I92" s="561"/>
      <c r="J92" s="561"/>
      <c r="K92" s="558"/>
    </row>
    <row r="93" spans="1:11" s="559" customFormat="1" ht="11.4">
      <c r="A93" s="566" t="str">
        <f>'Sources and Uses Budget'!$A93</f>
        <v>3rd Party Construction Supervision</v>
      </c>
      <c r="B93" s="560">
        <f>'Sources and Uses Budget'!C93</f>
        <v>120000</v>
      </c>
      <c r="C93" s="561"/>
      <c r="D93" s="561"/>
      <c r="E93" s="560">
        <f>'Sources and Uses Budget'!S93</f>
        <v>120000</v>
      </c>
      <c r="F93" s="561"/>
      <c r="G93" s="561"/>
      <c r="H93" s="560">
        <f>'Sources and Uses Budget'!T93</f>
        <v>0</v>
      </c>
      <c r="I93" s="561"/>
      <c r="J93" s="561"/>
      <c r="K93" s="558"/>
    </row>
    <row r="94" spans="1:11" s="559" customFormat="1" ht="11.4">
      <c r="A94" s="566" t="str">
        <f>'Sources and Uses Budget'!$A94</f>
        <v>Other: (Specify)</v>
      </c>
      <c r="B94" s="560">
        <f>'Sources and Uses Budget'!C94</f>
        <v>0</v>
      </c>
      <c r="C94" s="561"/>
      <c r="D94" s="561"/>
      <c r="E94" s="560">
        <f>'Sources and Uses Budget'!S94</f>
        <v>0</v>
      </c>
      <c r="F94" s="561"/>
      <c r="G94" s="561"/>
      <c r="H94" s="560">
        <f>'Sources and Uses Budget'!T94</f>
        <v>0</v>
      </c>
      <c r="I94" s="561"/>
      <c r="J94" s="561"/>
      <c r="K94" s="558"/>
    </row>
    <row r="95" spans="1:11" s="559" customFormat="1" ht="11.4">
      <c r="A95" s="566" t="str">
        <f>'Sources and Uses Budget'!$A95</f>
        <v>Other: (Specify)</v>
      </c>
      <c r="B95" s="560">
        <f>'Sources and Uses Budget'!C95</f>
        <v>0</v>
      </c>
      <c r="C95" s="561"/>
      <c r="D95" s="561"/>
      <c r="E95" s="560">
        <f>'Sources and Uses Budget'!S95</f>
        <v>0</v>
      </c>
      <c r="F95" s="561"/>
      <c r="G95" s="561"/>
      <c r="H95" s="560">
        <f>'Sources and Uses Budget'!T95</f>
        <v>0</v>
      </c>
      <c r="I95" s="561"/>
      <c r="J95" s="561"/>
      <c r="K95" s="558"/>
    </row>
    <row r="96" spans="1:11" s="559" customFormat="1">
      <c r="A96" s="564" t="s">
        <v>832</v>
      </c>
      <c r="B96" s="560">
        <f>'Sources and Uses Budget'!C96</f>
        <v>4198101</v>
      </c>
      <c r="C96" s="560">
        <f>SUM(C83:C95)</f>
        <v>0</v>
      </c>
      <c r="D96" s="560">
        <f>SUM(D83:D95)</f>
        <v>0</v>
      </c>
      <c r="E96" s="560">
        <f>'Sources and Uses Budget'!S96</f>
        <v>3855683</v>
      </c>
      <c r="F96" s="567">
        <f>SUM(F84:F87,F89:F95)</f>
        <v>0</v>
      </c>
      <c r="G96" s="567">
        <f>SUM(G84:G87,G89:G95)</f>
        <v>0</v>
      </c>
      <c r="H96" s="560">
        <f>'Sources and Uses Budget'!T96</f>
        <v>0</v>
      </c>
      <c r="I96" s="560">
        <f>SUM(I84:I87,I89:I95)</f>
        <v>0</v>
      </c>
      <c r="J96" s="560">
        <f>SUM(J84:J87,J89:J95)</f>
        <v>0</v>
      </c>
      <c r="K96" s="558"/>
    </row>
    <row r="97" spans="1:11" s="559" customFormat="1">
      <c r="A97" s="564" t="s">
        <v>1140</v>
      </c>
      <c r="B97" s="560">
        <f>'Sources and Uses Budget'!C97</f>
        <v>87060199</v>
      </c>
      <c r="C97" s="560">
        <f>SUM(C63+C70+C77+C81+C96)</f>
        <v>0</v>
      </c>
      <c r="D97" s="560">
        <f>SUM(D63+D70+D77+D81+D96)</f>
        <v>0</v>
      </c>
      <c r="E97" s="560">
        <f>'Sources and Uses Budget'!S97</f>
        <v>78457564</v>
      </c>
      <c r="F97" s="567">
        <f>SUM(+F63+F70+F81+F96)</f>
        <v>0</v>
      </c>
      <c r="G97" s="567">
        <f>SUM(+G63+G70+G81+G96)</f>
        <v>0</v>
      </c>
      <c r="H97" s="560">
        <f>'Sources and Uses Budget'!T97</f>
        <v>0</v>
      </c>
      <c r="I97" s="567">
        <f>SUM(I63+I70+I81+I96)</f>
        <v>0</v>
      </c>
      <c r="J97" s="567">
        <f>SUM(J63+J70+J81+J96)</f>
        <v>0</v>
      </c>
      <c r="K97" s="558"/>
    </row>
    <row r="98" spans="1:11" s="559" customFormat="1" ht="11.4">
      <c r="A98" s="556" t="s">
        <v>834</v>
      </c>
      <c r="B98" s="557"/>
      <c r="C98" s="557"/>
      <c r="D98" s="557"/>
      <c r="E98" s="557"/>
      <c r="F98" s="557"/>
      <c r="G98" s="557"/>
      <c r="H98" s="557"/>
      <c r="I98" s="557"/>
      <c r="J98" s="557"/>
      <c r="K98" s="558"/>
    </row>
    <row r="99" spans="1:11" s="559" customFormat="1" ht="11.4">
      <c r="A99" s="215" t="s">
        <v>835</v>
      </c>
      <c r="B99" s="560">
        <f>'Sources and Uses Budget'!C99</f>
        <v>11768635</v>
      </c>
      <c r="C99" s="561"/>
      <c r="D99" s="561"/>
      <c r="E99" s="560">
        <f>'Sources and Uses Budget'!S99</f>
        <v>11768635</v>
      </c>
      <c r="F99" s="561"/>
      <c r="G99" s="561"/>
      <c r="H99" s="560">
        <f>'Sources and Uses Budget'!T99</f>
        <v>0</v>
      </c>
      <c r="I99" s="561"/>
      <c r="J99" s="561"/>
      <c r="K99" s="558"/>
    </row>
    <row r="100" spans="1:11" s="559" customFormat="1" ht="11.4">
      <c r="A100" s="435" t="s">
        <v>1998</v>
      </c>
      <c r="B100" s="560">
        <f>'Sources and Uses Budget'!C100</f>
        <v>0</v>
      </c>
      <c r="C100" s="561"/>
      <c r="D100" s="561"/>
      <c r="E100" s="560">
        <f>'Sources and Uses Budget'!S100</f>
        <v>0</v>
      </c>
      <c r="F100" s="561"/>
      <c r="G100" s="561"/>
      <c r="H100" s="560">
        <f>'Sources and Uses Budget'!T100</f>
        <v>0</v>
      </c>
      <c r="I100" s="561"/>
      <c r="J100" s="561"/>
      <c r="K100" s="558"/>
    </row>
    <row r="101" spans="1:11" s="559" customFormat="1" ht="11.4">
      <c r="A101" s="215" t="s">
        <v>836</v>
      </c>
      <c r="B101" s="560">
        <f>'Sources and Uses Budget'!C101</f>
        <v>0</v>
      </c>
      <c r="C101" s="561"/>
      <c r="D101" s="561"/>
      <c r="E101" s="560">
        <f>'Sources and Uses Budget'!S101</f>
        <v>0</v>
      </c>
      <c r="F101" s="561"/>
      <c r="G101" s="561"/>
      <c r="H101" s="560">
        <f>'Sources and Uses Budget'!T101</f>
        <v>0</v>
      </c>
      <c r="I101" s="561"/>
      <c r="J101" s="561"/>
      <c r="K101" s="558"/>
    </row>
    <row r="102" spans="1:11" s="559" customFormat="1" ht="12" customHeight="1">
      <c r="A102" s="435" t="s">
        <v>1999</v>
      </c>
      <c r="B102" s="560">
        <f>'Sources and Uses Budget'!C102</f>
        <v>0</v>
      </c>
      <c r="C102" s="561"/>
      <c r="D102" s="561"/>
      <c r="E102" s="560">
        <f>'Sources and Uses Budget'!S102</f>
        <v>0</v>
      </c>
      <c r="F102" s="561"/>
      <c r="G102" s="561"/>
      <c r="H102" s="560">
        <f>'Sources and Uses Budget'!T102</f>
        <v>0</v>
      </c>
      <c r="I102" s="561"/>
      <c r="J102" s="561"/>
      <c r="K102" s="558"/>
    </row>
    <row r="103" spans="1:11" s="559" customFormat="1" ht="11.4">
      <c r="A103" s="566" t="str">
        <f>'Sources and Uses Budget'!$A103</f>
        <v>Other: (Specify)</v>
      </c>
      <c r="B103" s="560">
        <f>'Sources and Uses Budget'!C103</f>
        <v>0</v>
      </c>
      <c r="C103" s="561"/>
      <c r="D103" s="561"/>
      <c r="E103" s="560">
        <f>'Sources and Uses Budget'!S103</f>
        <v>0</v>
      </c>
      <c r="F103" s="561"/>
      <c r="G103" s="561"/>
      <c r="H103" s="560">
        <f>'Sources and Uses Budget'!T103</f>
        <v>0</v>
      </c>
      <c r="I103" s="561"/>
      <c r="J103" s="561"/>
      <c r="K103" s="558"/>
    </row>
    <row r="104" spans="1:11" s="559" customFormat="1">
      <c r="A104" s="564" t="s">
        <v>837</v>
      </c>
      <c r="B104" s="560">
        <f>'Sources and Uses Budget'!C104</f>
        <v>11768635</v>
      </c>
      <c r="C104" s="560">
        <f>SUM(C99:C103)</f>
        <v>0</v>
      </c>
      <c r="D104" s="560">
        <f>SUM(D99:D103)</f>
        <v>0</v>
      </c>
      <c r="E104" s="560">
        <f>'Sources and Uses Budget'!S104</f>
        <v>11768635</v>
      </c>
      <c r="F104" s="567">
        <f>SUM(F99:F103)</f>
        <v>0</v>
      </c>
      <c r="G104" s="567">
        <f>SUM(G99:G103)</f>
        <v>0</v>
      </c>
      <c r="H104" s="560">
        <f>'Sources and Uses Budget'!T104</f>
        <v>0</v>
      </c>
      <c r="I104" s="567">
        <f>SUM(I99:I103)</f>
        <v>0</v>
      </c>
      <c r="J104" s="567">
        <f>SUM(J99:J103)</f>
        <v>0</v>
      </c>
      <c r="K104" s="558"/>
    </row>
    <row r="105" spans="1:11" s="559" customFormat="1">
      <c r="A105" s="564" t="s">
        <v>1141</v>
      </c>
      <c r="B105" s="560">
        <f>'Sources and Uses Budget'!C105</f>
        <v>98828834</v>
      </c>
      <c r="C105" s="567">
        <f>SUM(C97+C104)</f>
        <v>0</v>
      </c>
      <c r="D105" s="567">
        <f>SUM(D97+D104)</f>
        <v>0</v>
      </c>
      <c r="E105" s="560">
        <f>'Sources and Uses Budget'!S105</f>
        <v>90226199</v>
      </c>
      <c r="F105" s="567">
        <f>F97+F104</f>
        <v>0</v>
      </c>
      <c r="G105" s="567">
        <f>G97+G104</f>
        <v>0</v>
      </c>
      <c r="H105" s="560">
        <f>'Sources and Uses Budget'!T105</f>
        <v>0</v>
      </c>
      <c r="I105" s="567">
        <f>I97+I104</f>
        <v>0</v>
      </c>
      <c r="J105" s="567">
        <f>J97+J104</f>
        <v>0</v>
      </c>
      <c r="K105" s="558"/>
    </row>
    <row r="106" spans="1:11" s="559" customFormat="1">
      <c r="A106" s="572"/>
      <c r="B106" s="573"/>
      <c r="C106" s="573"/>
      <c r="D106" s="573"/>
      <c r="E106" s="560">
        <f>'Sources and Uses Budget'!S106</f>
        <v>0</v>
      </c>
      <c r="F106" s="561"/>
      <c r="G106" s="561"/>
      <c r="H106" s="560">
        <f>'Sources and Uses Budget'!T106</f>
        <v>0</v>
      </c>
      <c r="I106" s="561"/>
      <c r="J106" s="561"/>
      <c r="K106" s="558"/>
    </row>
    <row r="107" spans="1:11" s="559" customFormat="1">
      <c r="A107" s="574"/>
      <c r="B107" s="575"/>
      <c r="C107" s="573"/>
      <c r="D107" s="739" t="s">
        <v>393</v>
      </c>
      <c r="E107" s="560">
        <f>'Sources and Uses Budget'!S107</f>
        <v>90226199</v>
      </c>
      <c r="F107" s="576">
        <f>F105+F106</f>
        <v>0</v>
      </c>
      <c r="G107" s="576">
        <f>G105+G106</f>
        <v>0</v>
      </c>
      <c r="H107" s="560">
        <f>'Sources and Uses Budget'!T107</f>
        <v>0</v>
      </c>
      <c r="I107" s="576">
        <f>I105+I106</f>
        <v>0</v>
      </c>
      <c r="J107" s="576">
        <f>J105+J106</f>
        <v>0</v>
      </c>
      <c r="K107" s="558"/>
    </row>
    <row r="108" spans="1:11" s="559" customFormat="1">
      <c r="A108" s="574"/>
      <c r="B108" s="577"/>
      <c r="C108" s="577"/>
      <c r="D108" s="577"/>
      <c r="J108" s="578"/>
      <c r="K108" s="558"/>
    </row>
    <row r="109" spans="1:11" s="559" customFormat="1">
      <c r="A109" s="574"/>
      <c r="B109" s="577"/>
      <c r="C109" s="577"/>
      <c r="D109" s="577"/>
      <c r="J109" s="578"/>
      <c r="K109" s="558"/>
    </row>
    <row r="110" spans="1:11" s="559" customFormat="1">
      <c r="A110" s="574"/>
      <c r="B110" s="577"/>
      <c r="C110" s="577"/>
      <c r="D110" s="577"/>
      <c r="J110" s="578"/>
      <c r="K110" s="558"/>
    </row>
    <row r="111" spans="1:11" s="559" customFormat="1" ht="13.2">
      <c r="A111" s="579"/>
      <c r="B111" s="577"/>
      <c r="C111" s="577"/>
      <c r="D111" s="577"/>
      <c r="J111" s="578"/>
      <c r="K111" s="558"/>
    </row>
    <row r="112" spans="1:11" s="559" customFormat="1" ht="13.2">
      <c r="A112" s="579"/>
      <c r="B112" s="577"/>
      <c r="C112" s="577"/>
      <c r="D112" s="577"/>
      <c r="J112" s="578"/>
      <c r="K112" s="558"/>
    </row>
    <row r="113" spans="1:11" s="559" customFormat="1" ht="15.6">
      <c r="A113" s="580"/>
      <c r="B113" s="577"/>
      <c r="C113" s="577"/>
      <c r="D113" s="577"/>
      <c r="J113" s="578"/>
      <c r="K113" s="558"/>
    </row>
    <row r="114" spans="1:11" s="559" customFormat="1" ht="13.2">
      <c r="A114" s="579"/>
      <c r="J114" s="578"/>
      <c r="K114" s="558"/>
    </row>
    <row r="115" spans="1:11" s="559" customFormat="1" ht="15.6">
      <c r="A115" s="580"/>
      <c r="J115" s="578"/>
      <c r="K115" s="558"/>
    </row>
    <row r="116" spans="1:11" s="559" customFormat="1" ht="15.6">
      <c r="A116" s="580"/>
      <c r="J116" s="578"/>
      <c r="K116" s="558"/>
    </row>
    <row r="117" spans="1:11" s="559" customFormat="1" ht="11.4">
      <c r="B117" s="577"/>
      <c r="C117" s="577"/>
      <c r="D117" s="577"/>
      <c r="J117" s="578"/>
      <c r="K117" s="558"/>
    </row>
    <row r="118" spans="1:11" s="559" customFormat="1" ht="11.4">
      <c r="J118" s="578"/>
      <c r="K118" s="558"/>
    </row>
    <row r="119" spans="1:11" s="559" customFormat="1" ht="11.4">
      <c r="J119" s="578"/>
      <c r="K119" s="558"/>
    </row>
    <row r="120" spans="1:11" s="559" customFormat="1" ht="11.4">
      <c r="J120" s="578"/>
      <c r="K120" s="558"/>
    </row>
    <row r="121" spans="1:11" s="559" customFormat="1" ht="15.6">
      <c r="A121" s="580"/>
      <c r="J121" s="578"/>
      <c r="K121" s="558"/>
    </row>
    <row r="122" spans="1:11" s="583" customFormat="1" ht="15.6">
      <c r="A122" s="581"/>
      <c r="B122" s="582"/>
      <c r="C122" s="582"/>
      <c r="D122" s="582"/>
      <c r="E122" s="582"/>
      <c r="F122" s="582"/>
      <c r="G122" s="582"/>
      <c r="J122" s="584"/>
      <c r="K122" s="585"/>
    </row>
    <row r="123" spans="1:11" s="559" customFormat="1" ht="11.4">
      <c r="A123" s="586"/>
      <c r="B123" s="587"/>
      <c r="C123" s="587"/>
      <c r="D123" s="587"/>
      <c r="E123" s="587"/>
      <c r="F123" s="587"/>
      <c r="G123" s="587"/>
      <c r="J123" s="578"/>
      <c r="K123" s="558"/>
    </row>
    <row r="124" spans="1:11" s="559" customFormat="1" ht="11.4">
      <c r="A124" s="587"/>
      <c r="B124" s="588"/>
      <c r="C124" s="587"/>
      <c r="D124" s="2577"/>
      <c r="E124" s="2578"/>
      <c r="F124" s="2578"/>
      <c r="G124" s="2578"/>
      <c r="H124" s="2578"/>
      <c r="I124" s="2578"/>
      <c r="J124" s="578"/>
      <c r="K124" s="558"/>
    </row>
    <row r="125" spans="1:11" s="559" customFormat="1" ht="13.2">
      <c r="A125" s="589"/>
      <c r="B125" s="588"/>
      <c r="C125" s="589"/>
      <c r="D125" s="2578"/>
      <c r="E125" s="2578"/>
      <c r="F125" s="2578"/>
      <c r="G125" s="2578"/>
      <c r="H125" s="2578"/>
      <c r="I125" s="2578"/>
      <c r="J125" s="578"/>
      <c r="K125" s="558"/>
    </row>
    <row r="126" spans="1:11" s="559" customFormat="1" ht="13.2">
      <c r="A126" s="589"/>
      <c r="B126" s="588"/>
      <c r="C126" s="589"/>
      <c r="D126" s="2578"/>
      <c r="E126" s="2578"/>
      <c r="F126" s="2578"/>
      <c r="G126" s="2578"/>
      <c r="H126" s="2578"/>
      <c r="I126" s="2578"/>
      <c r="J126" s="578"/>
      <c r="K126" s="558"/>
    </row>
    <row r="127" spans="1:11" s="559" customFormat="1" ht="13.2">
      <c r="A127" s="589"/>
      <c r="B127" s="588"/>
      <c r="C127" s="589"/>
      <c r="D127" s="590"/>
      <c r="E127" s="589"/>
      <c r="F127" s="589"/>
      <c r="G127" s="589"/>
      <c r="J127" s="578"/>
      <c r="K127" s="558"/>
    </row>
    <row r="128" spans="1:11" s="559" customFormat="1" ht="13.2">
      <c r="A128" s="589"/>
      <c r="B128" s="588"/>
      <c r="C128" s="589"/>
      <c r="D128" s="590"/>
      <c r="E128" s="589"/>
      <c r="F128" s="589"/>
      <c r="G128" s="589"/>
      <c r="J128" s="578"/>
      <c r="K128" s="558"/>
    </row>
    <row r="129" spans="1:11" s="559" customFormat="1" ht="13.2">
      <c r="A129" s="589"/>
      <c r="B129" s="588"/>
      <c r="C129" s="589"/>
      <c r="D129" s="589"/>
      <c r="E129" s="589"/>
      <c r="F129" s="589"/>
      <c r="G129" s="589"/>
      <c r="J129" s="578"/>
      <c r="K129" s="558"/>
    </row>
    <row r="130" spans="1:11" s="559" customFormat="1" ht="13.2">
      <c r="A130" s="589"/>
      <c r="B130" s="588"/>
      <c r="C130" s="589"/>
      <c r="D130" s="589"/>
      <c r="E130" s="589"/>
      <c r="F130" s="589"/>
      <c r="G130" s="589"/>
      <c r="J130" s="578"/>
      <c r="K130" s="558"/>
    </row>
    <row r="131" spans="1:11" s="559" customFormat="1" ht="13.2">
      <c r="A131" s="589"/>
      <c r="B131" s="591"/>
      <c r="C131" s="589"/>
      <c r="D131" s="589"/>
      <c r="E131" s="589"/>
      <c r="F131" s="589"/>
      <c r="G131" s="589"/>
      <c r="J131" s="578"/>
      <c r="K131" s="558"/>
    </row>
    <row r="132" spans="1:11" s="559" customFormat="1" ht="13.2">
      <c r="A132" s="592"/>
      <c r="B132" s="593"/>
      <c r="C132" s="589"/>
      <c r="D132" s="594"/>
      <c r="E132" s="589"/>
      <c r="F132" s="589"/>
      <c r="G132" s="589"/>
      <c r="J132" s="578"/>
      <c r="K132" s="558"/>
    </row>
    <row r="133" spans="1:11" s="559" customFormat="1" ht="13.2">
      <c r="A133" s="595"/>
      <c r="B133" s="589"/>
      <c r="C133" s="589"/>
      <c r="D133" s="589"/>
      <c r="E133" s="589"/>
      <c r="F133" s="589"/>
      <c r="G133" s="589"/>
      <c r="J133" s="578"/>
      <c r="K133" s="558"/>
    </row>
    <row r="134" spans="1:11" s="559" customFormat="1" ht="13.2">
      <c r="A134" s="595"/>
      <c r="B134" s="589"/>
      <c r="C134" s="589"/>
      <c r="D134" s="589"/>
      <c r="E134" s="589"/>
      <c r="F134" s="589"/>
      <c r="G134" s="589"/>
      <c r="J134" s="578"/>
      <c r="K134" s="558"/>
    </row>
    <row r="135" spans="1:11" s="559" customFormat="1" ht="13.2">
      <c r="A135" s="596"/>
      <c r="B135" s="589"/>
      <c r="C135" s="589"/>
      <c r="D135" s="589"/>
      <c r="E135" s="589"/>
      <c r="F135" s="589"/>
      <c r="G135" s="589"/>
      <c r="J135" s="578"/>
      <c r="K135" s="558"/>
    </row>
    <row r="136" spans="1:11" s="559" customFormat="1" ht="13.2">
      <c r="A136" s="597"/>
      <c r="B136" s="589"/>
      <c r="C136" s="589"/>
      <c r="D136" s="589"/>
      <c r="E136" s="589"/>
      <c r="F136" s="589"/>
      <c r="G136" s="589"/>
      <c r="J136" s="578"/>
      <c r="K136" s="558"/>
    </row>
    <row r="137" spans="1:11" ht="13.2">
      <c r="A137" s="595"/>
      <c r="B137" s="589"/>
      <c r="C137" s="589"/>
      <c r="D137" s="589"/>
      <c r="E137" s="589"/>
      <c r="F137" s="589"/>
      <c r="G137" s="589"/>
    </row>
    <row r="138" spans="1:11" ht="12" customHeight="1">
      <c r="A138" s="595"/>
      <c r="B138" s="589"/>
      <c r="C138" s="589"/>
      <c r="D138" s="589"/>
      <c r="E138" s="589"/>
      <c r="F138" s="589"/>
      <c r="G138" s="589"/>
    </row>
    <row r="139" spans="1:11" ht="12" customHeight="1">
      <c r="A139" s="2579"/>
      <c r="B139" s="2580"/>
      <c r="C139" s="2580"/>
      <c r="D139" s="601"/>
      <c r="E139" s="589"/>
      <c r="F139" s="589"/>
      <c r="G139" s="589"/>
    </row>
    <row r="140" spans="1:11" ht="12" customHeight="1">
      <c r="A140" s="2581"/>
      <c r="B140" s="2582"/>
      <c r="C140" s="2582"/>
      <c r="D140" s="601"/>
      <c r="E140" s="589"/>
      <c r="F140" s="589"/>
      <c r="G140" s="589"/>
    </row>
    <row r="141" spans="1:11" ht="12" customHeight="1">
      <c r="A141" s="602"/>
      <c r="B141" s="603"/>
      <c r="C141" s="603"/>
      <c r="D141" s="555"/>
      <c r="E141" s="603"/>
      <c r="F141" s="603"/>
      <c r="G141" s="603"/>
      <c r="H141" s="599"/>
      <c r="I141" s="599"/>
    </row>
    <row r="142" spans="1:11" ht="12" customHeight="1">
      <c r="A142" s="604"/>
      <c r="B142" s="555"/>
      <c r="C142" s="555"/>
      <c r="D142" s="555"/>
      <c r="E142" s="603"/>
      <c r="F142" s="603"/>
      <c r="G142" s="603"/>
      <c r="H142" s="599"/>
      <c r="I142" s="599"/>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64" zoomScale="150" zoomScaleNormal="150" zoomScaleSheetLayoutView="100" workbookViewId="0">
      <selection sqref="A1:AN2"/>
    </sheetView>
  </sheetViews>
  <sheetFormatPr defaultColWidth="0" defaultRowHeight="0" customHeight="1" zeroHeight="1"/>
  <cols>
    <col min="1" max="1" width="1.44140625" style="785" customWidth="1"/>
    <col min="2" max="2" width="0.77734375" style="785" customWidth="1"/>
    <col min="3" max="18" width="2.44140625" style="785" customWidth="1"/>
    <col min="19" max="19" width="4" style="785" customWidth="1"/>
    <col min="20" max="39" width="2.77734375" style="785" customWidth="1"/>
    <col min="40" max="40" width="1.44140625" style="785" customWidth="1"/>
    <col min="41" max="76" width="2.44140625" style="785" hidden="1"/>
    <col min="77" max="256" width="2.44140625" style="612" hidden="1"/>
    <col min="257" max="257" width="1.44140625" style="612" hidden="1" customWidth="1"/>
    <col min="258" max="258" width="0.77734375" style="612" hidden="1" customWidth="1"/>
    <col min="259" max="274" width="2.44140625" style="612" hidden="1" customWidth="1"/>
    <col min="275" max="275" width="4" style="612" hidden="1" customWidth="1"/>
    <col min="276" max="295" width="2.44140625" style="612" hidden="1" customWidth="1"/>
    <col min="296" max="296" width="1.44140625" style="612" hidden="1" customWidth="1"/>
    <col min="297" max="512" width="2.44140625" style="612" hidden="1"/>
    <col min="513" max="513" width="1.44140625" style="612" hidden="1" customWidth="1"/>
    <col min="514" max="514" width="0.77734375" style="612" hidden="1" customWidth="1"/>
    <col min="515" max="530" width="2.44140625" style="612" hidden="1" customWidth="1"/>
    <col min="531" max="531" width="4" style="612" hidden="1" customWidth="1"/>
    <col min="532" max="551" width="2.44140625" style="612" hidden="1" customWidth="1"/>
    <col min="552" max="552" width="1.44140625" style="612" hidden="1" customWidth="1"/>
    <col min="553" max="768" width="2.44140625" style="612" hidden="1"/>
    <col min="769" max="769" width="1.44140625" style="612" hidden="1" customWidth="1"/>
    <col min="770" max="770" width="0.77734375" style="612" hidden="1" customWidth="1"/>
    <col min="771" max="786" width="2.44140625" style="612" hidden="1" customWidth="1"/>
    <col min="787" max="787" width="4" style="612" hidden="1" customWidth="1"/>
    <col min="788" max="807" width="2.44140625" style="612" hidden="1" customWidth="1"/>
    <col min="808" max="808" width="1.44140625" style="612" hidden="1" customWidth="1"/>
    <col min="809" max="1024" width="2.44140625" style="612" hidden="1"/>
    <col min="1025" max="1025" width="1.44140625" style="612" hidden="1" customWidth="1"/>
    <col min="1026" max="1026" width="0.77734375" style="612" hidden="1" customWidth="1"/>
    <col min="1027" max="1042" width="2.44140625" style="612" hidden="1" customWidth="1"/>
    <col min="1043" max="1043" width="4" style="612" hidden="1" customWidth="1"/>
    <col min="1044" max="1063" width="2.44140625" style="612" hidden="1" customWidth="1"/>
    <col min="1064" max="1064" width="1.44140625" style="612" hidden="1" customWidth="1"/>
    <col min="1065" max="1280" width="2.44140625" style="612" hidden="1"/>
    <col min="1281" max="1281" width="1.44140625" style="612" hidden="1" customWidth="1"/>
    <col min="1282" max="1282" width="0.77734375" style="612" hidden="1" customWidth="1"/>
    <col min="1283" max="1298" width="2.44140625" style="612" hidden="1" customWidth="1"/>
    <col min="1299" max="1299" width="4" style="612" hidden="1" customWidth="1"/>
    <col min="1300" max="1319" width="2.44140625" style="612" hidden="1" customWidth="1"/>
    <col min="1320" max="1320" width="1.44140625" style="612" hidden="1" customWidth="1"/>
    <col min="1321" max="1536" width="2.44140625" style="612" hidden="1"/>
    <col min="1537" max="1537" width="1.44140625" style="612" hidden="1" customWidth="1"/>
    <col min="1538" max="1538" width="0.77734375" style="612" hidden="1" customWidth="1"/>
    <col min="1539" max="1554" width="2.44140625" style="612" hidden="1" customWidth="1"/>
    <col min="1555" max="1555" width="4" style="612" hidden="1" customWidth="1"/>
    <col min="1556" max="1575" width="2.44140625" style="612" hidden="1" customWidth="1"/>
    <col min="1576" max="1576" width="1.44140625" style="612" hidden="1" customWidth="1"/>
    <col min="1577" max="1792" width="2.44140625" style="612" hidden="1"/>
    <col min="1793" max="1793" width="1.44140625" style="612" hidden="1" customWidth="1"/>
    <col min="1794" max="1794" width="0.77734375" style="612" hidden="1" customWidth="1"/>
    <col min="1795" max="1810" width="2.44140625" style="612" hidden="1" customWidth="1"/>
    <col min="1811" max="1811" width="4" style="612" hidden="1" customWidth="1"/>
    <col min="1812" max="1831" width="2.44140625" style="612" hidden="1" customWidth="1"/>
    <col min="1832" max="1832" width="1.44140625" style="612" hidden="1" customWidth="1"/>
    <col min="1833" max="2048" width="2.44140625" style="612" hidden="1"/>
    <col min="2049" max="2049" width="1.44140625" style="612" hidden="1" customWidth="1"/>
    <col min="2050" max="2050" width="0.77734375" style="612" hidden="1" customWidth="1"/>
    <col min="2051" max="2066" width="2.44140625" style="612" hidden="1" customWidth="1"/>
    <col min="2067" max="2067" width="4" style="612" hidden="1" customWidth="1"/>
    <col min="2068" max="2087" width="2.44140625" style="612" hidden="1" customWidth="1"/>
    <col min="2088" max="2088" width="1.44140625" style="612" hidden="1" customWidth="1"/>
    <col min="2089" max="2304" width="2.44140625" style="612" hidden="1"/>
    <col min="2305" max="2305" width="1.44140625" style="612" hidden="1" customWidth="1"/>
    <col min="2306" max="2306" width="0.77734375" style="612" hidden="1" customWidth="1"/>
    <col min="2307" max="2322" width="2.44140625" style="612" hidden="1" customWidth="1"/>
    <col min="2323" max="2323" width="4" style="612" hidden="1" customWidth="1"/>
    <col min="2324" max="2343" width="2.44140625" style="612" hidden="1" customWidth="1"/>
    <col min="2344" max="2344" width="1.44140625" style="612" hidden="1" customWidth="1"/>
    <col min="2345" max="2560" width="2.44140625" style="612" hidden="1"/>
    <col min="2561" max="2561" width="1.44140625" style="612" hidden="1" customWidth="1"/>
    <col min="2562" max="2562" width="0.77734375" style="612" hidden="1" customWidth="1"/>
    <col min="2563" max="2578" width="2.44140625" style="612" hidden="1" customWidth="1"/>
    <col min="2579" max="2579" width="4" style="612" hidden="1" customWidth="1"/>
    <col min="2580" max="2599" width="2.44140625" style="612" hidden="1" customWidth="1"/>
    <col min="2600" max="2600" width="1.44140625" style="612" hidden="1" customWidth="1"/>
    <col min="2601" max="2816" width="2.44140625" style="612" hidden="1"/>
    <col min="2817" max="2817" width="1.44140625" style="612" hidden="1" customWidth="1"/>
    <col min="2818" max="2818" width="0.77734375" style="612" hidden="1" customWidth="1"/>
    <col min="2819" max="2834" width="2.44140625" style="612" hidden="1" customWidth="1"/>
    <col min="2835" max="2835" width="4" style="612" hidden="1" customWidth="1"/>
    <col min="2836" max="2855" width="2.44140625" style="612" hidden="1" customWidth="1"/>
    <col min="2856" max="2856" width="1.44140625" style="612" hidden="1" customWidth="1"/>
    <col min="2857" max="3072" width="2.44140625" style="612" hidden="1"/>
    <col min="3073" max="3073" width="1.44140625" style="612" hidden="1" customWidth="1"/>
    <col min="3074" max="3074" width="0.77734375" style="612" hidden="1" customWidth="1"/>
    <col min="3075" max="3090" width="2.44140625" style="612" hidden="1" customWidth="1"/>
    <col min="3091" max="3091" width="4" style="612" hidden="1" customWidth="1"/>
    <col min="3092" max="3111" width="2.44140625" style="612" hidden="1" customWidth="1"/>
    <col min="3112" max="3112" width="1.44140625" style="612" hidden="1" customWidth="1"/>
    <col min="3113" max="3328" width="2.44140625" style="612" hidden="1"/>
    <col min="3329" max="3329" width="1.44140625" style="612" hidden="1" customWidth="1"/>
    <col min="3330" max="3330" width="0.77734375" style="612" hidden="1" customWidth="1"/>
    <col min="3331" max="3346" width="2.44140625" style="612" hidden="1" customWidth="1"/>
    <col min="3347" max="3347" width="4" style="612" hidden="1" customWidth="1"/>
    <col min="3348" max="3367" width="2.44140625" style="612" hidden="1" customWidth="1"/>
    <col min="3368" max="3368" width="1.44140625" style="612" hidden="1" customWidth="1"/>
    <col min="3369" max="3584" width="2.44140625" style="612" hidden="1"/>
    <col min="3585" max="3585" width="1.44140625" style="612" hidden="1" customWidth="1"/>
    <col min="3586" max="3586" width="0.77734375" style="612" hidden="1" customWidth="1"/>
    <col min="3587" max="3602" width="2.44140625" style="612" hidden="1" customWidth="1"/>
    <col min="3603" max="3603" width="4" style="612" hidden="1" customWidth="1"/>
    <col min="3604" max="3623" width="2.44140625" style="612" hidden="1" customWidth="1"/>
    <col min="3624" max="3624" width="1.44140625" style="612" hidden="1" customWidth="1"/>
    <col min="3625" max="3840" width="2.44140625" style="612" hidden="1"/>
    <col min="3841" max="3841" width="1.44140625" style="612" hidden="1" customWidth="1"/>
    <col min="3842" max="3842" width="0.77734375" style="612" hidden="1" customWidth="1"/>
    <col min="3843" max="3858" width="2.44140625" style="612" hidden="1" customWidth="1"/>
    <col min="3859" max="3859" width="4" style="612" hidden="1" customWidth="1"/>
    <col min="3860" max="3879" width="2.44140625" style="612" hidden="1" customWidth="1"/>
    <col min="3880" max="3880" width="1.44140625" style="612" hidden="1" customWidth="1"/>
    <col min="3881" max="4096" width="2.44140625" style="612" hidden="1"/>
    <col min="4097" max="4097" width="1.44140625" style="612" hidden="1" customWidth="1"/>
    <col min="4098" max="4098" width="0.77734375" style="612" hidden="1" customWidth="1"/>
    <col min="4099" max="4114" width="2.44140625" style="612" hidden="1" customWidth="1"/>
    <col min="4115" max="4115" width="4" style="612" hidden="1" customWidth="1"/>
    <col min="4116" max="4135" width="2.44140625" style="612" hidden="1" customWidth="1"/>
    <col min="4136" max="4136" width="1.44140625" style="612" hidden="1" customWidth="1"/>
    <col min="4137" max="4352" width="2.44140625" style="612" hidden="1"/>
    <col min="4353" max="4353" width="1.44140625" style="612" hidden="1" customWidth="1"/>
    <col min="4354" max="4354" width="0.77734375" style="612" hidden="1" customWidth="1"/>
    <col min="4355" max="4370" width="2.44140625" style="612" hidden="1" customWidth="1"/>
    <col min="4371" max="4371" width="4" style="612" hidden="1" customWidth="1"/>
    <col min="4372" max="4391" width="2.44140625" style="612" hidden="1" customWidth="1"/>
    <col min="4392" max="4392" width="1.44140625" style="612" hidden="1" customWidth="1"/>
    <col min="4393" max="4608" width="2.44140625" style="612" hidden="1"/>
    <col min="4609" max="4609" width="1.44140625" style="612" hidden="1" customWidth="1"/>
    <col min="4610" max="4610" width="0.77734375" style="612" hidden="1" customWidth="1"/>
    <col min="4611" max="4626" width="2.44140625" style="612" hidden="1" customWidth="1"/>
    <col min="4627" max="4627" width="4" style="612" hidden="1" customWidth="1"/>
    <col min="4628" max="4647" width="2.44140625" style="612" hidden="1" customWidth="1"/>
    <col min="4648" max="4648" width="1.44140625" style="612" hidden="1" customWidth="1"/>
    <col min="4649" max="4864" width="2.44140625" style="612" hidden="1"/>
    <col min="4865" max="4865" width="1.44140625" style="612" hidden="1" customWidth="1"/>
    <col min="4866" max="4866" width="0.77734375" style="612" hidden="1" customWidth="1"/>
    <col min="4867" max="4882" width="2.44140625" style="612" hidden="1" customWidth="1"/>
    <col min="4883" max="4883" width="4" style="612" hidden="1" customWidth="1"/>
    <col min="4884" max="4903" width="2.44140625" style="612" hidden="1" customWidth="1"/>
    <col min="4904" max="4904" width="1.44140625" style="612" hidden="1" customWidth="1"/>
    <col min="4905" max="5120" width="2.44140625" style="612" hidden="1"/>
    <col min="5121" max="5121" width="1.44140625" style="612" hidden="1" customWidth="1"/>
    <col min="5122" max="5122" width="0.77734375" style="612" hidden="1" customWidth="1"/>
    <col min="5123" max="5138" width="2.44140625" style="612" hidden="1" customWidth="1"/>
    <col min="5139" max="5139" width="4" style="612" hidden="1" customWidth="1"/>
    <col min="5140" max="5159" width="2.44140625" style="612" hidden="1" customWidth="1"/>
    <col min="5160" max="5160" width="1.44140625" style="612" hidden="1" customWidth="1"/>
    <col min="5161" max="5376" width="2.44140625" style="612" hidden="1"/>
    <col min="5377" max="5377" width="1.44140625" style="612" hidden="1" customWidth="1"/>
    <col min="5378" max="5378" width="0.77734375" style="612" hidden="1" customWidth="1"/>
    <col min="5379" max="5394" width="2.44140625" style="612" hidden="1" customWidth="1"/>
    <col min="5395" max="5395" width="4" style="612" hidden="1" customWidth="1"/>
    <col min="5396" max="5415" width="2.44140625" style="612" hidden="1" customWidth="1"/>
    <col min="5416" max="5416" width="1.44140625" style="612" hidden="1" customWidth="1"/>
    <col min="5417" max="5632" width="2.44140625" style="612" hidden="1"/>
    <col min="5633" max="5633" width="1.44140625" style="612" hidden="1" customWidth="1"/>
    <col min="5634" max="5634" width="0.77734375" style="612" hidden="1" customWidth="1"/>
    <col min="5635" max="5650" width="2.44140625" style="612" hidden="1" customWidth="1"/>
    <col min="5651" max="5651" width="4" style="612" hidden="1" customWidth="1"/>
    <col min="5652" max="5671" width="2.44140625" style="612" hidden="1" customWidth="1"/>
    <col min="5672" max="5672" width="1.44140625" style="612" hidden="1" customWidth="1"/>
    <col min="5673" max="5888" width="2.44140625" style="612" hidden="1"/>
    <col min="5889" max="5889" width="1.44140625" style="612" hidden="1" customWidth="1"/>
    <col min="5890" max="5890" width="0.77734375" style="612" hidden="1" customWidth="1"/>
    <col min="5891" max="5906" width="2.44140625" style="612" hidden="1" customWidth="1"/>
    <col min="5907" max="5907" width="4" style="612" hidden="1" customWidth="1"/>
    <col min="5908" max="5927" width="2.44140625" style="612" hidden="1" customWidth="1"/>
    <col min="5928" max="5928" width="1.44140625" style="612" hidden="1" customWidth="1"/>
    <col min="5929" max="6144" width="2.44140625" style="612" hidden="1"/>
    <col min="6145" max="6145" width="1.44140625" style="612" hidden="1" customWidth="1"/>
    <col min="6146" max="6146" width="0.77734375" style="612" hidden="1" customWidth="1"/>
    <col min="6147" max="6162" width="2.44140625" style="612" hidden="1" customWidth="1"/>
    <col min="6163" max="6163" width="4" style="612" hidden="1" customWidth="1"/>
    <col min="6164" max="6183" width="2.44140625" style="612" hidden="1" customWidth="1"/>
    <col min="6184" max="6184" width="1.44140625" style="612" hidden="1" customWidth="1"/>
    <col min="6185" max="6400" width="2.44140625" style="612" hidden="1"/>
    <col min="6401" max="6401" width="1.44140625" style="612" hidden="1" customWidth="1"/>
    <col min="6402" max="6402" width="0.77734375" style="612" hidden="1" customWidth="1"/>
    <col min="6403" max="6418" width="2.44140625" style="612" hidden="1" customWidth="1"/>
    <col min="6419" max="6419" width="4" style="612" hidden="1" customWidth="1"/>
    <col min="6420" max="6439" width="2.44140625" style="612" hidden="1" customWidth="1"/>
    <col min="6440" max="6440" width="1.44140625" style="612" hidden="1" customWidth="1"/>
    <col min="6441" max="6656" width="2.44140625" style="612" hidden="1"/>
    <col min="6657" max="6657" width="1.44140625" style="612" hidden="1" customWidth="1"/>
    <col min="6658" max="6658" width="0.77734375" style="612" hidden="1" customWidth="1"/>
    <col min="6659" max="6674" width="2.44140625" style="612" hidden="1" customWidth="1"/>
    <col min="6675" max="6675" width="4" style="612" hidden="1" customWidth="1"/>
    <col min="6676" max="6695" width="2.44140625" style="612" hidden="1" customWidth="1"/>
    <col min="6696" max="6696" width="1.44140625" style="612" hidden="1" customWidth="1"/>
    <col min="6697" max="6912" width="2.44140625" style="612" hidden="1"/>
    <col min="6913" max="6913" width="1.44140625" style="612" hidden="1" customWidth="1"/>
    <col min="6914" max="6914" width="0.77734375" style="612" hidden="1" customWidth="1"/>
    <col min="6915" max="6930" width="2.44140625" style="612" hidden="1" customWidth="1"/>
    <col min="6931" max="6931" width="4" style="612" hidden="1" customWidth="1"/>
    <col min="6932" max="6951" width="2.44140625" style="612" hidden="1" customWidth="1"/>
    <col min="6952" max="6952" width="1.44140625" style="612" hidden="1" customWidth="1"/>
    <col min="6953" max="7168" width="2.44140625" style="612" hidden="1"/>
    <col min="7169" max="7169" width="1.44140625" style="612" hidden="1" customWidth="1"/>
    <col min="7170" max="7170" width="0.77734375" style="612" hidden="1" customWidth="1"/>
    <col min="7171" max="7186" width="2.44140625" style="612" hidden="1" customWidth="1"/>
    <col min="7187" max="7187" width="4" style="612" hidden="1" customWidth="1"/>
    <col min="7188" max="7207" width="2.44140625" style="612" hidden="1" customWidth="1"/>
    <col min="7208" max="7208" width="1.44140625" style="612" hidden="1" customWidth="1"/>
    <col min="7209" max="7424" width="2.44140625" style="612" hidden="1"/>
    <col min="7425" max="7425" width="1.44140625" style="612" hidden="1" customWidth="1"/>
    <col min="7426" max="7426" width="0.77734375" style="612" hidden="1" customWidth="1"/>
    <col min="7427" max="7442" width="2.44140625" style="612" hidden="1" customWidth="1"/>
    <col min="7443" max="7443" width="4" style="612" hidden="1" customWidth="1"/>
    <col min="7444" max="7463" width="2.44140625" style="612" hidden="1" customWidth="1"/>
    <col min="7464" max="7464" width="1.44140625" style="612" hidden="1" customWidth="1"/>
    <col min="7465" max="7680" width="2.44140625" style="612" hidden="1"/>
    <col min="7681" max="7681" width="1.44140625" style="612" hidden="1" customWidth="1"/>
    <col min="7682" max="7682" width="0.77734375" style="612" hidden="1" customWidth="1"/>
    <col min="7683" max="7698" width="2.44140625" style="612" hidden="1" customWidth="1"/>
    <col min="7699" max="7699" width="4" style="612" hidden="1" customWidth="1"/>
    <col min="7700" max="7719" width="2.44140625" style="612" hidden="1" customWidth="1"/>
    <col min="7720" max="7720" width="1.44140625" style="612" hidden="1" customWidth="1"/>
    <col min="7721" max="7936" width="2.44140625" style="612" hidden="1"/>
    <col min="7937" max="7937" width="1.44140625" style="612" hidden="1" customWidth="1"/>
    <col min="7938" max="7938" width="0.77734375" style="612" hidden="1" customWidth="1"/>
    <col min="7939" max="7954" width="2.44140625" style="612" hidden="1" customWidth="1"/>
    <col min="7955" max="7955" width="4" style="612" hidden="1" customWidth="1"/>
    <col min="7956" max="7975" width="2.44140625" style="612" hidden="1" customWidth="1"/>
    <col min="7976" max="7976" width="1.44140625" style="612" hidden="1" customWidth="1"/>
    <col min="7977" max="8192" width="2.44140625" style="612" hidden="1"/>
    <col min="8193" max="8193" width="1.44140625" style="612" hidden="1" customWidth="1"/>
    <col min="8194" max="8194" width="0.77734375" style="612" hidden="1" customWidth="1"/>
    <col min="8195" max="8210" width="2.44140625" style="612" hidden="1" customWidth="1"/>
    <col min="8211" max="8211" width="4" style="612" hidden="1" customWidth="1"/>
    <col min="8212" max="8231" width="2.44140625" style="612" hidden="1" customWidth="1"/>
    <col min="8232" max="8232" width="1.44140625" style="612" hidden="1" customWidth="1"/>
    <col min="8233" max="8448" width="2.44140625" style="612" hidden="1"/>
    <col min="8449" max="8449" width="1.44140625" style="612" hidden="1" customWidth="1"/>
    <col min="8450" max="8450" width="0.77734375" style="612" hidden="1" customWidth="1"/>
    <col min="8451" max="8466" width="2.44140625" style="612" hidden="1" customWidth="1"/>
    <col min="8467" max="8467" width="4" style="612" hidden="1" customWidth="1"/>
    <col min="8468" max="8487" width="2.44140625" style="612" hidden="1" customWidth="1"/>
    <col min="8488" max="8488" width="1.44140625" style="612" hidden="1" customWidth="1"/>
    <col min="8489" max="8704" width="2.44140625" style="612" hidden="1"/>
    <col min="8705" max="8705" width="1.44140625" style="612" hidden="1" customWidth="1"/>
    <col min="8706" max="8706" width="0.77734375" style="612" hidden="1" customWidth="1"/>
    <col min="8707" max="8722" width="2.44140625" style="612" hidden="1" customWidth="1"/>
    <col min="8723" max="8723" width="4" style="612" hidden="1" customWidth="1"/>
    <col min="8724" max="8743" width="2.44140625" style="612" hidden="1" customWidth="1"/>
    <col min="8744" max="8744" width="1.44140625" style="612" hidden="1" customWidth="1"/>
    <col min="8745" max="8960" width="2.44140625" style="612" hidden="1"/>
    <col min="8961" max="8961" width="1.44140625" style="612" hidden="1" customWidth="1"/>
    <col min="8962" max="8962" width="0.77734375" style="612" hidden="1" customWidth="1"/>
    <col min="8963" max="8978" width="2.44140625" style="612" hidden="1" customWidth="1"/>
    <col min="8979" max="8979" width="4" style="612" hidden="1" customWidth="1"/>
    <col min="8980" max="8999" width="2.44140625" style="612" hidden="1" customWidth="1"/>
    <col min="9000" max="9000" width="1.44140625" style="612" hidden="1" customWidth="1"/>
    <col min="9001" max="9216" width="2.44140625" style="612" hidden="1"/>
    <col min="9217" max="9217" width="1.44140625" style="612" hidden="1" customWidth="1"/>
    <col min="9218" max="9218" width="0.77734375" style="612" hidden="1" customWidth="1"/>
    <col min="9219" max="9234" width="2.44140625" style="612" hidden="1" customWidth="1"/>
    <col min="9235" max="9235" width="4" style="612" hidden="1" customWidth="1"/>
    <col min="9236" max="9255" width="2.44140625" style="612" hidden="1" customWidth="1"/>
    <col min="9256" max="9256" width="1.44140625" style="612" hidden="1" customWidth="1"/>
    <col min="9257" max="9472" width="2.44140625" style="612" hidden="1"/>
    <col min="9473" max="9473" width="1.44140625" style="612" hidden="1" customWidth="1"/>
    <col min="9474" max="9474" width="0.77734375" style="612" hidden="1" customWidth="1"/>
    <col min="9475" max="9490" width="2.44140625" style="612" hidden="1" customWidth="1"/>
    <col min="9491" max="9491" width="4" style="612" hidden="1" customWidth="1"/>
    <col min="9492" max="9511" width="2.44140625" style="612" hidden="1" customWidth="1"/>
    <col min="9512" max="9512" width="1.44140625" style="612" hidden="1" customWidth="1"/>
    <col min="9513" max="9728" width="2.44140625" style="612" hidden="1"/>
    <col min="9729" max="9729" width="1.44140625" style="612" hidden="1" customWidth="1"/>
    <col min="9730" max="9730" width="0.77734375" style="612" hidden="1" customWidth="1"/>
    <col min="9731" max="9746" width="2.44140625" style="612" hidden="1" customWidth="1"/>
    <col min="9747" max="9747" width="4" style="612" hidden="1" customWidth="1"/>
    <col min="9748" max="9767" width="2.44140625" style="612" hidden="1" customWidth="1"/>
    <col min="9768" max="9768" width="1.44140625" style="612" hidden="1" customWidth="1"/>
    <col min="9769" max="9984" width="2.44140625" style="612" hidden="1"/>
    <col min="9985" max="9985" width="1.44140625" style="612" hidden="1" customWidth="1"/>
    <col min="9986" max="9986" width="0.77734375" style="612" hidden="1" customWidth="1"/>
    <col min="9987" max="10002" width="2.44140625" style="612" hidden="1" customWidth="1"/>
    <col min="10003" max="10003" width="4" style="612" hidden="1" customWidth="1"/>
    <col min="10004" max="10023" width="2.44140625" style="612" hidden="1" customWidth="1"/>
    <col min="10024" max="10024" width="1.44140625" style="612" hidden="1" customWidth="1"/>
    <col min="10025" max="10240" width="2.44140625" style="612" hidden="1"/>
    <col min="10241" max="10241" width="1.44140625" style="612" hidden="1" customWidth="1"/>
    <col min="10242" max="10242" width="0.77734375" style="612" hidden="1" customWidth="1"/>
    <col min="10243" max="10258" width="2.44140625" style="612" hidden="1" customWidth="1"/>
    <col min="10259" max="10259" width="4" style="612" hidden="1" customWidth="1"/>
    <col min="10260" max="10279" width="2.44140625" style="612" hidden="1" customWidth="1"/>
    <col min="10280" max="10280" width="1.44140625" style="612" hidden="1" customWidth="1"/>
    <col min="10281" max="10496" width="2.44140625" style="612" hidden="1"/>
    <col min="10497" max="10497" width="1.44140625" style="612" hidden="1" customWidth="1"/>
    <col min="10498" max="10498" width="0.77734375" style="612" hidden="1" customWidth="1"/>
    <col min="10499" max="10514" width="2.44140625" style="612" hidden="1" customWidth="1"/>
    <col min="10515" max="10515" width="4" style="612" hidden="1" customWidth="1"/>
    <col min="10516" max="10535" width="2.44140625" style="612" hidden="1" customWidth="1"/>
    <col min="10536" max="10536" width="1.44140625" style="612" hidden="1" customWidth="1"/>
    <col min="10537" max="10752" width="2.44140625" style="612" hidden="1"/>
    <col min="10753" max="10753" width="1.44140625" style="612" hidden="1" customWidth="1"/>
    <col min="10754" max="10754" width="0.77734375" style="612" hidden="1" customWidth="1"/>
    <col min="10755" max="10770" width="2.44140625" style="612" hidden="1" customWidth="1"/>
    <col min="10771" max="10771" width="4" style="612" hidden="1" customWidth="1"/>
    <col min="10772" max="10791" width="2.44140625" style="612" hidden="1" customWidth="1"/>
    <col min="10792" max="10792" width="1.44140625" style="612" hidden="1" customWidth="1"/>
    <col min="10793" max="11008" width="2.44140625" style="612" hidden="1"/>
    <col min="11009" max="11009" width="1.44140625" style="612" hidden="1" customWidth="1"/>
    <col min="11010" max="11010" width="0.77734375" style="612" hidden="1" customWidth="1"/>
    <col min="11011" max="11026" width="2.44140625" style="612" hidden="1" customWidth="1"/>
    <col min="11027" max="11027" width="4" style="612" hidden="1" customWidth="1"/>
    <col min="11028" max="11047" width="2.44140625" style="612" hidden="1" customWidth="1"/>
    <col min="11048" max="11048" width="1.44140625" style="612" hidden="1" customWidth="1"/>
    <col min="11049" max="11264" width="2.44140625" style="612" hidden="1"/>
    <col min="11265" max="11265" width="1.44140625" style="612" hidden="1" customWidth="1"/>
    <col min="11266" max="11266" width="0.77734375" style="612" hidden="1" customWidth="1"/>
    <col min="11267" max="11282" width="2.44140625" style="612" hidden="1" customWidth="1"/>
    <col min="11283" max="11283" width="4" style="612" hidden="1" customWidth="1"/>
    <col min="11284" max="11303" width="2.44140625" style="612" hidden="1" customWidth="1"/>
    <col min="11304" max="11304" width="1.44140625" style="612" hidden="1" customWidth="1"/>
    <col min="11305" max="11520" width="2.44140625" style="612" hidden="1"/>
    <col min="11521" max="11521" width="1.44140625" style="612" hidden="1" customWidth="1"/>
    <col min="11522" max="11522" width="0.77734375" style="612" hidden="1" customWidth="1"/>
    <col min="11523" max="11538" width="2.44140625" style="612" hidden="1" customWidth="1"/>
    <col min="11539" max="11539" width="4" style="612" hidden="1" customWidth="1"/>
    <col min="11540" max="11559" width="2.44140625" style="612" hidden="1" customWidth="1"/>
    <col min="11560" max="11560" width="1.44140625" style="612" hidden="1" customWidth="1"/>
    <col min="11561" max="11776" width="2.44140625" style="612" hidden="1"/>
    <col min="11777" max="11777" width="1.44140625" style="612" hidden="1" customWidth="1"/>
    <col min="11778" max="11778" width="0.77734375" style="612" hidden="1" customWidth="1"/>
    <col min="11779" max="11794" width="2.44140625" style="612" hidden="1" customWidth="1"/>
    <col min="11795" max="11795" width="4" style="612" hidden="1" customWidth="1"/>
    <col min="11796" max="11815" width="2.44140625" style="612" hidden="1" customWidth="1"/>
    <col min="11816" max="11816" width="1.44140625" style="612" hidden="1" customWidth="1"/>
    <col min="11817" max="12032" width="2.44140625" style="612" hidden="1"/>
    <col min="12033" max="12033" width="1.44140625" style="612" hidden="1" customWidth="1"/>
    <col min="12034" max="12034" width="0.77734375" style="612" hidden="1" customWidth="1"/>
    <col min="12035" max="12050" width="2.44140625" style="612" hidden="1" customWidth="1"/>
    <col min="12051" max="12051" width="4" style="612" hidden="1" customWidth="1"/>
    <col min="12052" max="12071" width="2.44140625" style="612" hidden="1" customWidth="1"/>
    <col min="12072" max="12072" width="1.44140625" style="612" hidden="1" customWidth="1"/>
    <col min="12073" max="12288" width="2.44140625" style="612" hidden="1"/>
    <col min="12289" max="12289" width="1.44140625" style="612" hidden="1" customWidth="1"/>
    <col min="12290" max="12290" width="0.77734375" style="612" hidden="1" customWidth="1"/>
    <col min="12291" max="12306" width="2.44140625" style="612" hidden="1" customWidth="1"/>
    <col min="12307" max="12307" width="4" style="612" hidden="1" customWidth="1"/>
    <col min="12308" max="12327" width="2.44140625" style="612" hidden="1" customWidth="1"/>
    <col min="12328" max="12328" width="1.44140625" style="612" hidden="1" customWidth="1"/>
    <col min="12329" max="12544" width="2.44140625" style="612" hidden="1"/>
    <col min="12545" max="12545" width="1.44140625" style="612" hidden="1" customWidth="1"/>
    <col min="12546" max="12546" width="0.77734375" style="612" hidden="1" customWidth="1"/>
    <col min="12547" max="12562" width="2.44140625" style="612" hidden="1" customWidth="1"/>
    <col min="12563" max="12563" width="4" style="612" hidden="1" customWidth="1"/>
    <col min="12564" max="12583" width="2.44140625" style="612" hidden="1" customWidth="1"/>
    <col min="12584" max="12584" width="1.44140625" style="612" hidden="1" customWidth="1"/>
    <col min="12585" max="12800" width="2.44140625" style="612" hidden="1"/>
    <col min="12801" max="12801" width="1.44140625" style="612" hidden="1" customWidth="1"/>
    <col min="12802" max="12802" width="0.77734375" style="612" hidden="1" customWidth="1"/>
    <col min="12803" max="12818" width="2.44140625" style="612" hidden="1" customWidth="1"/>
    <col min="12819" max="12819" width="4" style="612" hidden="1" customWidth="1"/>
    <col min="12820" max="12839" width="2.44140625" style="612" hidden="1" customWidth="1"/>
    <col min="12840" max="12840" width="1.44140625" style="612" hidden="1" customWidth="1"/>
    <col min="12841" max="13056" width="2.44140625" style="612" hidden="1"/>
    <col min="13057" max="13057" width="1.44140625" style="612" hidden="1" customWidth="1"/>
    <col min="13058" max="13058" width="0.77734375" style="612" hidden="1" customWidth="1"/>
    <col min="13059" max="13074" width="2.44140625" style="612" hidden="1" customWidth="1"/>
    <col min="13075" max="13075" width="4" style="612" hidden="1" customWidth="1"/>
    <col min="13076" max="13095" width="2.44140625" style="612" hidden="1" customWidth="1"/>
    <col min="13096" max="13096" width="1.44140625" style="612" hidden="1" customWidth="1"/>
    <col min="13097" max="13312" width="2.44140625" style="612" hidden="1"/>
    <col min="13313" max="13313" width="1.44140625" style="612" hidden="1" customWidth="1"/>
    <col min="13314" max="13314" width="0.77734375" style="612" hidden="1" customWidth="1"/>
    <col min="13315" max="13330" width="2.44140625" style="612" hidden="1" customWidth="1"/>
    <col min="13331" max="13331" width="4" style="612" hidden="1" customWidth="1"/>
    <col min="13332" max="13351" width="2.44140625" style="612" hidden="1" customWidth="1"/>
    <col min="13352" max="13352" width="1.44140625" style="612" hidden="1" customWidth="1"/>
    <col min="13353" max="13568" width="2.44140625" style="612" hidden="1"/>
    <col min="13569" max="13569" width="1.44140625" style="612" hidden="1" customWidth="1"/>
    <col min="13570" max="13570" width="0.77734375" style="612" hidden="1" customWidth="1"/>
    <col min="13571" max="13586" width="2.44140625" style="612" hidden="1" customWidth="1"/>
    <col min="13587" max="13587" width="4" style="612" hidden="1" customWidth="1"/>
    <col min="13588" max="13607" width="2.44140625" style="612" hidden="1" customWidth="1"/>
    <col min="13608" max="13608" width="1.44140625" style="612" hidden="1" customWidth="1"/>
    <col min="13609" max="13824" width="2.44140625" style="612" hidden="1"/>
    <col min="13825" max="13825" width="1.44140625" style="612" hidden="1" customWidth="1"/>
    <col min="13826" max="13826" width="0.77734375" style="612" hidden="1" customWidth="1"/>
    <col min="13827" max="13842" width="2.44140625" style="612" hidden="1" customWidth="1"/>
    <col min="13843" max="13843" width="4" style="612" hidden="1" customWidth="1"/>
    <col min="13844" max="13863" width="2.44140625" style="612" hidden="1" customWidth="1"/>
    <col min="13864" max="13864" width="1.44140625" style="612" hidden="1" customWidth="1"/>
    <col min="13865" max="14080" width="2.44140625" style="612" hidden="1"/>
    <col min="14081" max="14081" width="1.44140625" style="612" hidden="1" customWidth="1"/>
    <col min="14082" max="14082" width="0.77734375" style="612" hidden="1" customWidth="1"/>
    <col min="14083" max="14098" width="2.44140625" style="612" hidden="1" customWidth="1"/>
    <col min="14099" max="14099" width="4" style="612" hidden="1" customWidth="1"/>
    <col min="14100" max="14119" width="2.44140625" style="612" hidden="1" customWidth="1"/>
    <col min="14120" max="14120" width="1.44140625" style="612" hidden="1" customWidth="1"/>
    <col min="14121" max="14336" width="2.44140625" style="612" hidden="1"/>
    <col min="14337" max="14337" width="1.44140625" style="612" hidden="1" customWidth="1"/>
    <col min="14338" max="14338" width="0.77734375" style="612" hidden="1" customWidth="1"/>
    <col min="14339" max="14354" width="2.44140625" style="612" hidden="1" customWidth="1"/>
    <col min="14355" max="14355" width="4" style="612" hidden="1" customWidth="1"/>
    <col min="14356" max="14375" width="2.44140625" style="612" hidden="1" customWidth="1"/>
    <col min="14376" max="14376" width="1.44140625" style="612" hidden="1" customWidth="1"/>
    <col min="14377" max="14592" width="2.44140625" style="612" hidden="1"/>
    <col min="14593" max="14593" width="1.44140625" style="612" hidden="1" customWidth="1"/>
    <col min="14594" max="14594" width="0.77734375" style="612" hidden="1" customWidth="1"/>
    <col min="14595" max="14610" width="2.44140625" style="612" hidden="1" customWidth="1"/>
    <col min="14611" max="14611" width="4" style="612" hidden="1" customWidth="1"/>
    <col min="14612" max="14631" width="2.44140625" style="612" hidden="1" customWidth="1"/>
    <col min="14632" max="14632" width="1.44140625" style="612" hidden="1" customWidth="1"/>
    <col min="14633" max="14848" width="2.44140625" style="612" hidden="1"/>
    <col min="14849" max="14849" width="1.44140625" style="612" hidden="1" customWidth="1"/>
    <col min="14850" max="14850" width="0.77734375" style="612" hidden="1" customWidth="1"/>
    <col min="14851" max="14866" width="2.44140625" style="612" hidden="1" customWidth="1"/>
    <col min="14867" max="14867" width="4" style="612" hidden="1" customWidth="1"/>
    <col min="14868" max="14887" width="2.44140625" style="612" hidden="1" customWidth="1"/>
    <col min="14888" max="14888" width="1.44140625" style="612" hidden="1" customWidth="1"/>
    <col min="14889" max="15104" width="2.44140625" style="612" hidden="1"/>
    <col min="15105" max="15105" width="1.44140625" style="612" hidden="1" customWidth="1"/>
    <col min="15106" max="15106" width="0.77734375" style="612" hidden="1" customWidth="1"/>
    <col min="15107" max="15122" width="2.44140625" style="612" hidden="1" customWidth="1"/>
    <col min="15123" max="15123" width="4" style="612" hidden="1" customWidth="1"/>
    <col min="15124" max="15143" width="2.44140625" style="612" hidden="1" customWidth="1"/>
    <col min="15144" max="15144" width="1.44140625" style="612" hidden="1" customWidth="1"/>
    <col min="15145" max="15360" width="2.44140625" style="612" hidden="1"/>
    <col min="15361" max="15361" width="1.44140625" style="612" hidden="1" customWidth="1"/>
    <col min="15362" max="15362" width="0.77734375" style="612" hidden="1" customWidth="1"/>
    <col min="15363" max="15378" width="2.44140625" style="612" hidden="1" customWidth="1"/>
    <col min="15379" max="15379" width="4" style="612" hidden="1" customWidth="1"/>
    <col min="15380" max="15399" width="2.44140625" style="612" hidden="1" customWidth="1"/>
    <col min="15400" max="15400" width="1.44140625" style="612" hidden="1" customWidth="1"/>
    <col min="15401" max="15616" width="2.44140625" style="612" hidden="1"/>
    <col min="15617" max="15617" width="1.44140625" style="612" hidden="1" customWidth="1"/>
    <col min="15618" max="15618" width="0.77734375" style="612" hidden="1" customWidth="1"/>
    <col min="15619" max="15634" width="2.44140625" style="612" hidden="1" customWidth="1"/>
    <col min="15635" max="15635" width="4" style="612" hidden="1" customWidth="1"/>
    <col min="15636" max="15655" width="2.44140625" style="612" hidden="1" customWidth="1"/>
    <col min="15656" max="15656" width="1.44140625" style="612" hidden="1" customWidth="1"/>
    <col min="15657" max="15872" width="2.44140625" style="612" hidden="1"/>
    <col min="15873" max="15873" width="1.44140625" style="612" hidden="1" customWidth="1"/>
    <col min="15874" max="15874" width="0.77734375" style="612" hidden="1" customWidth="1"/>
    <col min="15875" max="15890" width="2.44140625" style="612" hidden="1" customWidth="1"/>
    <col min="15891" max="15891" width="4" style="612" hidden="1" customWidth="1"/>
    <col min="15892" max="15911" width="2.44140625" style="612" hidden="1" customWidth="1"/>
    <col min="15912" max="15912" width="1.44140625" style="612" hidden="1" customWidth="1"/>
    <col min="15913" max="16128" width="2.44140625" style="612" hidden="1"/>
    <col min="16129" max="16129" width="1.44140625" style="612" hidden="1" customWidth="1"/>
    <col min="16130" max="16130" width="0.77734375" style="612" hidden="1" customWidth="1"/>
    <col min="16131" max="16146" width="2.44140625" style="612" hidden="1" customWidth="1"/>
    <col min="16147" max="16147" width="4" style="612" hidden="1" customWidth="1"/>
    <col min="16148" max="16167" width="2.44140625" style="612" hidden="1" customWidth="1"/>
    <col min="16168" max="16168" width="1.44140625" style="612" hidden="1" customWidth="1"/>
    <col min="16169" max="16384" width="2.44140625" style="612" hidden="1"/>
  </cols>
  <sheetData>
    <row r="1" spans="1:98" ht="12.75" customHeight="1">
      <c r="A1" s="2628" t="s">
        <v>1521</v>
      </c>
      <c r="B1" s="2628"/>
      <c r="C1" s="2628"/>
      <c r="D1" s="2628"/>
      <c r="E1" s="2628"/>
      <c r="F1" s="2628"/>
      <c r="G1" s="2628"/>
      <c r="H1" s="2628"/>
      <c r="I1" s="2628"/>
      <c r="J1" s="2628"/>
      <c r="K1" s="2628"/>
      <c r="L1" s="2628"/>
      <c r="M1" s="2628"/>
      <c r="N1" s="2628"/>
      <c r="O1" s="2628"/>
      <c r="P1" s="2628"/>
      <c r="Q1" s="2628"/>
      <c r="R1" s="2628"/>
      <c r="S1" s="2628"/>
      <c r="T1" s="2628"/>
      <c r="U1" s="2628"/>
      <c r="V1" s="2628"/>
      <c r="W1" s="2628"/>
      <c r="X1" s="2628"/>
      <c r="Y1" s="2628"/>
      <c r="Z1" s="2628"/>
      <c r="AA1" s="2628"/>
      <c r="AB1" s="2628"/>
      <c r="AC1" s="2628"/>
      <c r="AD1" s="2628"/>
      <c r="AE1" s="2628"/>
      <c r="AF1" s="2628"/>
      <c r="AG1" s="2628"/>
      <c r="AH1" s="2628"/>
      <c r="AI1" s="2628"/>
      <c r="AJ1" s="2628"/>
      <c r="AK1" s="2628"/>
      <c r="AL1" s="2628"/>
      <c r="AM1" s="2628"/>
      <c r="AN1" s="2628"/>
      <c r="AO1" s="611"/>
      <c r="AP1" s="611"/>
      <c r="AQ1" s="611"/>
      <c r="AR1" s="611"/>
      <c r="AS1" s="611"/>
      <c r="AT1" s="611"/>
      <c r="AU1" s="611"/>
      <c r="AV1" s="611"/>
      <c r="AW1" s="611"/>
      <c r="AX1" s="611"/>
      <c r="AY1" s="611"/>
      <c r="AZ1" s="611"/>
      <c r="BA1" s="611"/>
      <c r="BB1" s="611"/>
      <c r="BC1" s="611"/>
      <c r="BD1" s="611"/>
      <c r="BE1" s="611"/>
      <c r="BF1" s="611"/>
      <c r="BG1" s="611"/>
      <c r="BH1" s="611"/>
      <c r="BI1" s="611"/>
      <c r="BJ1" s="611"/>
      <c r="BK1" s="611"/>
      <c r="BL1" s="611"/>
      <c r="BM1" s="611"/>
      <c r="BN1" s="611"/>
      <c r="BO1" s="611"/>
      <c r="BP1" s="611"/>
      <c r="BQ1" s="611"/>
      <c r="BR1" s="611"/>
      <c r="BS1" s="611"/>
      <c r="BT1" s="611"/>
      <c r="BU1" s="611"/>
      <c r="BV1" s="611"/>
      <c r="BW1" s="611"/>
      <c r="BX1" s="611"/>
      <c r="BY1" s="611"/>
      <c r="BZ1" s="611"/>
      <c r="CA1" s="611"/>
      <c r="CB1" s="611"/>
      <c r="CC1" s="611"/>
      <c r="CD1" s="611"/>
      <c r="CE1" s="611"/>
      <c r="CF1" s="611"/>
      <c r="CG1" s="611"/>
      <c r="CH1" s="611"/>
      <c r="CI1" s="611"/>
      <c r="CJ1" s="611"/>
      <c r="CK1" s="611"/>
      <c r="CL1" s="611"/>
      <c r="CM1" s="611"/>
      <c r="CN1" s="611"/>
      <c r="CO1" s="611"/>
      <c r="CP1" s="611"/>
      <c r="CQ1" s="611"/>
      <c r="CR1" s="611"/>
      <c r="CS1" s="611"/>
      <c r="CT1" s="611"/>
    </row>
    <row r="2" spans="1:98" ht="13.8" thickBot="1">
      <c r="A2" s="2629"/>
      <c r="B2" s="2629"/>
      <c r="C2" s="2629"/>
      <c r="D2" s="2629"/>
      <c r="E2" s="2629"/>
      <c r="F2" s="2629"/>
      <c r="G2" s="2629"/>
      <c r="H2" s="2629"/>
      <c r="I2" s="2629"/>
      <c r="J2" s="2629"/>
      <c r="K2" s="2629"/>
      <c r="L2" s="2629"/>
      <c r="M2" s="2629"/>
      <c r="N2" s="2629"/>
      <c r="O2" s="2629"/>
      <c r="P2" s="2629"/>
      <c r="Q2" s="2629"/>
      <c r="R2" s="2629"/>
      <c r="S2" s="2629"/>
      <c r="T2" s="2629"/>
      <c r="U2" s="2629"/>
      <c r="V2" s="2629"/>
      <c r="W2" s="2629"/>
      <c r="X2" s="2629"/>
      <c r="Y2" s="2629"/>
      <c r="Z2" s="2629"/>
      <c r="AA2" s="2629"/>
      <c r="AB2" s="2629"/>
      <c r="AC2" s="2629"/>
      <c r="AD2" s="2629"/>
      <c r="AE2" s="2629"/>
      <c r="AF2" s="2629"/>
      <c r="AG2" s="2629"/>
      <c r="AH2" s="2629"/>
      <c r="AI2" s="2629"/>
      <c r="AJ2" s="2629"/>
      <c r="AK2" s="2629"/>
      <c r="AL2" s="2629"/>
      <c r="AM2" s="2629"/>
      <c r="AN2" s="2629"/>
      <c r="AO2" s="611"/>
      <c r="AP2" s="611"/>
      <c r="AQ2" s="611"/>
      <c r="AR2" s="611"/>
      <c r="AS2" s="611"/>
      <c r="AT2" s="611"/>
      <c r="AU2" s="611"/>
      <c r="AV2" s="611"/>
      <c r="AW2" s="611"/>
      <c r="AX2" s="611"/>
      <c r="AY2" s="611"/>
      <c r="AZ2" s="611"/>
      <c r="BA2" s="611"/>
      <c r="BB2" s="611"/>
      <c r="BC2" s="611"/>
      <c r="BD2" s="611"/>
      <c r="BE2" s="611"/>
      <c r="BF2" s="611"/>
      <c r="BG2" s="611"/>
      <c r="BH2" s="611"/>
      <c r="BI2" s="611"/>
      <c r="BJ2" s="611"/>
      <c r="BK2" s="611"/>
      <c r="BL2" s="611"/>
      <c r="BM2" s="611"/>
      <c r="BN2" s="611"/>
      <c r="BO2" s="611"/>
      <c r="BP2" s="611"/>
      <c r="BQ2" s="611"/>
      <c r="BR2" s="611"/>
      <c r="BS2" s="611"/>
      <c r="BT2" s="611"/>
      <c r="BU2" s="611"/>
      <c r="BV2" s="611"/>
      <c r="BW2" s="611"/>
      <c r="BX2" s="611"/>
      <c r="BY2" s="611"/>
      <c r="BZ2" s="611"/>
      <c r="CA2" s="611"/>
      <c r="CB2" s="611"/>
      <c r="CC2" s="611"/>
      <c r="CD2" s="611"/>
      <c r="CE2" s="611"/>
      <c r="CF2" s="611"/>
      <c r="CG2" s="611"/>
      <c r="CH2" s="611"/>
      <c r="CI2" s="611"/>
      <c r="CJ2" s="611"/>
      <c r="CK2" s="611"/>
      <c r="CL2" s="611"/>
      <c r="CM2" s="611"/>
      <c r="CN2" s="611"/>
      <c r="CO2" s="611"/>
      <c r="CP2" s="611"/>
      <c r="CQ2" s="611"/>
      <c r="CR2" s="611"/>
      <c r="CS2" s="611"/>
      <c r="CT2" s="611"/>
    </row>
    <row r="3" spans="1:98" s="613" customFormat="1" ht="13.8" thickTop="1">
      <c r="A3" s="613" t="str">
        <f>+A1</f>
        <v>V. BASIS AND CREDITS : 4% FEDERAL AND STATE CREDIT</v>
      </c>
      <c r="B3" s="614"/>
      <c r="C3" s="157"/>
      <c r="D3" s="157"/>
      <c r="E3" s="157"/>
      <c r="F3" s="157"/>
      <c r="G3" s="157"/>
      <c r="H3" s="157"/>
      <c r="I3" s="157"/>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5"/>
      <c r="AM3" s="615"/>
      <c r="AN3" s="615"/>
      <c r="AO3" s="616"/>
      <c r="AP3" s="616"/>
      <c r="AQ3" s="616"/>
      <c r="AR3" s="616"/>
      <c r="AS3" s="616"/>
      <c r="AT3" s="616"/>
      <c r="AU3" s="616"/>
      <c r="AV3" s="616"/>
      <c r="AW3" s="616"/>
      <c r="AX3" s="616"/>
      <c r="AY3" s="616"/>
      <c r="AZ3" s="616"/>
      <c r="BA3" s="616"/>
      <c r="BB3" s="616"/>
      <c r="BC3" s="616"/>
      <c r="BD3" s="616"/>
      <c r="BE3" s="616"/>
      <c r="BF3" s="616"/>
      <c r="BG3" s="616"/>
      <c r="BH3" s="616"/>
      <c r="BI3" s="616"/>
      <c r="BJ3" s="616"/>
      <c r="BK3" s="616"/>
      <c r="BL3" s="616"/>
      <c r="BM3" s="616"/>
      <c r="BN3" s="616"/>
      <c r="BO3" s="616"/>
      <c r="BP3" s="616"/>
      <c r="BQ3" s="616"/>
      <c r="BR3" s="616"/>
      <c r="BS3" s="616"/>
      <c r="BT3" s="616"/>
      <c r="BU3" s="616"/>
      <c r="BV3" s="616"/>
      <c r="BW3" s="616"/>
      <c r="BX3" s="616"/>
      <c r="BY3" s="616"/>
      <c r="BZ3" s="616"/>
      <c r="CA3" s="616"/>
      <c r="CB3" s="616"/>
      <c r="CC3" s="616"/>
      <c r="CD3" s="616"/>
      <c r="CE3" s="616"/>
      <c r="CF3" s="616"/>
      <c r="CG3" s="616"/>
      <c r="CH3" s="616"/>
      <c r="CI3" s="616"/>
      <c r="CJ3" s="616"/>
      <c r="CK3" s="616"/>
      <c r="CL3" s="616"/>
      <c r="CM3" s="616"/>
      <c r="CN3" s="616"/>
      <c r="CO3" s="616"/>
      <c r="CP3" s="616"/>
      <c r="CQ3" s="616"/>
      <c r="CR3" s="616"/>
      <c r="CS3" s="616"/>
      <c r="CT3" s="616"/>
    </row>
    <row r="4" spans="1:98" ht="13.2">
      <c r="A4" s="617"/>
      <c r="B4" s="612"/>
      <c r="C4" s="612"/>
      <c r="D4" s="612"/>
      <c r="E4" s="612"/>
      <c r="F4" s="612"/>
      <c r="G4" s="612"/>
      <c r="H4" s="612"/>
      <c r="I4" s="612"/>
      <c r="J4" s="612"/>
      <c r="K4" s="612"/>
      <c r="L4" s="612"/>
      <c r="M4" s="612"/>
      <c r="N4" s="612"/>
      <c r="O4" s="612"/>
      <c r="P4" s="612"/>
      <c r="Q4" s="612"/>
      <c r="R4" s="612"/>
      <c r="S4" s="612"/>
      <c r="T4" s="612"/>
      <c r="U4" s="612"/>
      <c r="V4" s="612"/>
      <c r="W4" s="612"/>
      <c r="X4" s="612"/>
      <c r="Y4" s="612"/>
      <c r="Z4" s="612"/>
      <c r="AA4" s="612"/>
      <c r="AB4" s="612"/>
      <c r="AC4" s="612"/>
      <c r="AD4" s="612"/>
      <c r="AE4" s="612"/>
      <c r="AF4" s="612"/>
      <c r="AG4" s="612"/>
      <c r="AH4" s="612"/>
      <c r="AI4" s="612"/>
      <c r="AJ4" s="612"/>
      <c r="AK4" s="612"/>
      <c r="AL4" s="612"/>
      <c r="AM4" s="612"/>
      <c r="AN4" s="612"/>
      <c r="AO4" s="611"/>
      <c r="AP4" s="611"/>
      <c r="AQ4" s="611"/>
      <c r="AR4" s="611"/>
      <c r="AS4" s="611"/>
      <c r="AT4" s="611"/>
      <c r="AU4" s="611"/>
      <c r="AV4" s="611"/>
      <c r="AW4" s="611"/>
      <c r="AX4" s="611"/>
      <c r="AY4" s="611"/>
      <c r="AZ4" s="611"/>
      <c r="BA4" s="611"/>
      <c r="BB4" s="611"/>
      <c r="BC4" s="611"/>
      <c r="BD4" s="611"/>
      <c r="BE4" s="611"/>
      <c r="BF4" s="611"/>
      <c r="BG4" s="611"/>
      <c r="BH4" s="611"/>
      <c r="BI4" s="611"/>
      <c r="BJ4" s="611"/>
      <c r="BK4" s="611"/>
      <c r="BL4" s="611"/>
      <c r="BM4" s="611"/>
      <c r="BN4" s="611"/>
      <c r="BO4" s="611"/>
      <c r="BP4" s="611"/>
      <c r="BQ4" s="611"/>
      <c r="BR4" s="611"/>
      <c r="BS4" s="611"/>
      <c r="BT4" s="611"/>
      <c r="BU4" s="611"/>
      <c r="BV4" s="611"/>
      <c r="BW4" s="611"/>
      <c r="BX4" s="611"/>
      <c r="BY4" s="611"/>
      <c r="BZ4" s="611"/>
      <c r="CA4" s="611"/>
      <c r="CB4" s="611"/>
      <c r="CC4" s="611"/>
      <c r="CD4" s="611"/>
      <c r="CE4" s="611"/>
      <c r="CF4" s="611"/>
      <c r="CG4" s="611"/>
      <c r="CH4" s="611"/>
      <c r="CI4" s="611"/>
      <c r="CJ4" s="611"/>
      <c r="CK4" s="611"/>
      <c r="CL4" s="611"/>
      <c r="CM4" s="611"/>
      <c r="CN4" s="611"/>
      <c r="CO4" s="611"/>
      <c r="CP4" s="611"/>
      <c r="CQ4" s="611"/>
      <c r="CR4" s="611"/>
      <c r="CS4" s="611"/>
      <c r="CT4" s="611"/>
    </row>
    <row r="5" spans="1:98" ht="13.2">
      <c r="A5" s="617" t="s">
        <v>328</v>
      </c>
      <c r="B5" s="717"/>
      <c r="C5" s="617" t="s">
        <v>127</v>
      </c>
      <c r="D5" s="612"/>
      <c r="E5" s="612"/>
      <c r="F5" s="617"/>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2"/>
      <c r="AO5" s="611"/>
      <c r="AP5" s="611"/>
      <c r="AQ5" s="611"/>
      <c r="AR5" s="611"/>
      <c r="AS5" s="611"/>
      <c r="AT5" s="611"/>
      <c r="AU5" s="611"/>
      <c r="AV5" s="611"/>
      <c r="AW5" s="611"/>
      <c r="AX5" s="611"/>
      <c r="AY5" s="611"/>
      <c r="AZ5" s="611"/>
      <c r="BA5" s="611"/>
      <c r="BB5" s="611"/>
      <c r="BC5" s="611"/>
      <c r="BD5" s="611"/>
      <c r="BE5" s="611"/>
      <c r="BF5" s="611"/>
      <c r="BG5" s="611"/>
      <c r="BH5" s="611"/>
      <c r="BI5" s="611"/>
      <c r="BJ5" s="611"/>
      <c r="BK5" s="611"/>
      <c r="BL5" s="611"/>
      <c r="BM5" s="611"/>
      <c r="BN5" s="611"/>
      <c r="BO5" s="611"/>
      <c r="BP5" s="611"/>
      <c r="BQ5" s="611"/>
      <c r="BR5" s="611"/>
      <c r="BS5" s="611"/>
      <c r="BT5" s="611"/>
      <c r="BU5" s="611"/>
      <c r="BV5" s="611"/>
      <c r="BW5" s="611"/>
      <c r="BX5" s="611"/>
      <c r="BY5" s="611"/>
      <c r="BZ5" s="611"/>
      <c r="CA5" s="611"/>
      <c r="CB5" s="611"/>
      <c r="CC5" s="611"/>
      <c r="CD5" s="611"/>
      <c r="CE5" s="611"/>
      <c r="CF5" s="611"/>
      <c r="CG5" s="611"/>
      <c r="CH5" s="611"/>
      <c r="CI5" s="611"/>
      <c r="CJ5" s="611"/>
      <c r="CK5" s="611"/>
      <c r="CL5" s="611"/>
      <c r="CM5" s="611"/>
      <c r="CN5" s="611"/>
      <c r="CO5" s="611"/>
      <c r="CP5" s="611"/>
      <c r="CQ5" s="611"/>
      <c r="CR5" s="611"/>
      <c r="CS5" s="611"/>
      <c r="CT5" s="611"/>
    </row>
    <row r="6" spans="1:98" ht="13.2">
      <c r="A6" s="617"/>
      <c r="B6" s="612"/>
      <c r="C6" s="667" t="s">
        <v>1451</v>
      </c>
      <c r="D6" s="612"/>
      <c r="E6" s="612"/>
      <c r="F6" s="612"/>
      <c r="G6" s="612"/>
      <c r="H6" s="612"/>
      <c r="I6" s="612"/>
      <c r="J6" s="612"/>
      <c r="K6" s="612"/>
      <c r="L6" s="612"/>
      <c r="M6" s="612"/>
      <c r="N6" s="612"/>
      <c r="O6" s="612"/>
      <c r="P6" s="612"/>
      <c r="Q6" s="612"/>
      <c r="R6" s="612"/>
      <c r="S6" s="612"/>
      <c r="T6" s="612"/>
      <c r="U6" s="612"/>
      <c r="V6" s="612"/>
      <c r="W6" s="612"/>
      <c r="X6" s="612"/>
      <c r="Y6" s="612"/>
      <c r="Z6" s="612"/>
      <c r="AA6" s="613"/>
      <c r="AB6" s="612"/>
      <c r="AC6" s="612"/>
      <c r="AD6" s="612"/>
      <c r="AE6" s="612"/>
      <c r="AF6" s="612"/>
      <c r="AG6" s="612"/>
      <c r="AH6" s="612"/>
      <c r="AI6" s="612"/>
      <c r="AJ6" s="612"/>
      <c r="AK6" s="612"/>
      <c r="AL6" s="612"/>
      <c r="AM6" s="612"/>
      <c r="AN6" s="612"/>
      <c r="AO6" s="611"/>
      <c r="AP6" s="611"/>
      <c r="AQ6" s="611"/>
      <c r="AR6" s="611"/>
      <c r="AS6" s="611"/>
      <c r="AT6" s="611"/>
      <c r="AU6" s="611"/>
      <c r="AV6" s="611"/>
      <c r="AW6" s="611"/>
      <c r="AX6" s="611"/>
      <c r="AY6" s="611"/>
      <c r="AZ6" s="611"/>
      <c r="BA6" s="611"/>
      <c r="BB6" s="611"/>
      <c r="BC6" s="611"/>
      <c r="BD6" s="611"/>
      <c r="BE6" s="611"/>
      <c r="BF6" s="611"/>
      <c r="BG6" s="611"/>
      <c r="BH6" s="611"/>
      <c r="BI6" s="611"/>
      <c r="BJ6" s="611"/>
      <c r="BK6" s="611"/>
      <c r="BL6" s="611"/>
      <c r="BM6" s="611"/>
      <c r="BN6" s="611"/>
      <c r="BO6" s="611"/>
      <c r="BP6" s="611"/>
      <c r="BQ6" s="611"/>
      <c r="BR6" s="611"/>
      <c r="BS6" s="611"/>
      <c r="BT6" s="611"/>
      <c r="BU6" s="611"/>
      <c r="BV6" s="611"/>
      <c r="BW6" s="611"/>
      <c r="BX6" s="611"/>
      <c r="BY6" s="611"/>
      <c r="BZ6" s="611"/>
      <c r="CA6" s="611"/>
      <c r="CB6" s="611"/>
      <c r="CC6" s="611"/>
      <c r="CD6" s="611"/>
      <c r="CE6" s="611"/>
      <c r="CF6" s="611"/>
      <c r="CG6" s="611"/>
      <c r="CH6" s="611"/>
      <c r="CI6" s="611"/>
      <c r="CJ6" s="611"/>
      <c r="CK6" s="611"/>
      <c r="CL6" s="611"/>
      <c r="CM6" s="611"/>
      <c r="CN6" s="611"/>
      <c r="CO6" s="611"/>
      <c r="CP6" s="611"/>
      <c r="CQ6" s="611"/>
      <c r="CR6" s="611"/>
      <c r="CS6" s="611"/>
      <c r="CT6" s="611"/>
    </row>
    <row r="7" spans="1:98" ht="13.2" customHeight="1">
      <c r="A7" s="612"/>
      <c r="B7" s="618"/>
      <c r="C7" s="619"/>
      <c r="D7" s="619"/>
      <c r="E7" s="619"/>
      <c r="F7" s="619"/>
      <c r="G7" s="619"/>
      <c r="H7" s="619"/>
      <c r="I7" s="619"/>
      <c r="J7" s="619"/>
      <c r="K7" s="619"/>
      <c r="L7" s="619"/>
      <c r="M7" s="619"/>
      <c r="N7" s="619"/>
      <c r="O7" s="619"/>
      <c r="P7" s="619"/>
      <c r="Q7" s="619"/>
      <c r="R7" s="619"/>
      <c r="S7" s="619"/>
      <c r="T7" s="2630" t="str">
        <f xml:space="preserve"> IF(T25=100%,'Sources and Basis Breakdown'!G2,'Sources and Basis Breakdown'!F2)</f>
        <v>30% PVC for New Const/
Rehabilitation
DDA/QCT
Building(s)</v>
      </c>
      <c r="U7" s="2630"/>
      <c r="V7" s="2630"/>
      <c r="W7" s="2630"/>
      <c r="X7" s="2630"/>
      <c r="Y7" s="2630" t="str">
        <f>IF(T25=100%," ",'Sources and Basis Breakdown'!G2)</f>
        <v>30% PVC for New Const/
Rehabilitation
NON-DDA/
NON-QCT Building(s)</v>
      </c>
      <c r="Z7" s="2630"/>
      <c r="AA7" s="2630"/>
      <c r="AB7" s="2630"/>
      <c r="AC7" s="2630"/>
      <c r="AD7" s="2630" t="str">
        <f xml:space="preserve"> IF(T25=100%, 'Sources and Basis Breakdown'!J2,'Sources and Basis Breakdown'!I2)</f>
        <v>30% PVC for Acquisition
DDA/QCT Building(s)</v>
      </c>
      <c r="AE7" s="2630"/>
      <c r="AF7" s="2630"/>
      <c r="AG7" s="2630"/>
      <c r="AH7" s="2630"/>
      <c r="AI7" s="2630" t="str">
        <f>IF(T25=100%," ",'Sources and Basis Breakdown'!J2)</f>
        <v>30% PVC for Acquisition
NON-DDA/
NON-QCT Building(s)</v>
      </c>
      <c r="AJ7" s="2630"/>
      <c r="AK7" s="2630"/>
      <c r="AL7" s="2630"/>
      <c r="AM7" s="2630"/>
      <c r="AN7" s="612"/>
      <c r="AO7" s="611"/>
      <c r="AP7" s="611"/>
      <c r="AQ7" s="611"/>
      <c r="AR7" s="611"/>
      <c r="AS7" s="611"/>
      <c r="AT7" s="611"/>
      <c r="AU7" s="611"/>
      <c r="AV7" s="611"/>
      <c r="AW7" s="611"/>
      <c r="AX7" s="611"/>
      <c r="AY7" s="611"/>
      <c r="AZ7" s="611"/>
      <c r="BA7" s="611"/>
      <c r="BB7" s="611"/>
      <c r="BC7" s="611"/>
      <c r="BD7" s="611"/>
      <c r="BE7" s="611"/>
      <c r="BF7" s="611"/>
      <c r="BG7" s="611"/>
      <c r="BH7" s="611"/>
      <c r="BI7" s="611"/>
      <c r="BJ7" s="611"/>
      <c r="BK7" s="611"/>
      <c r="BL7" s="611"/>
      <c r="BM7" s="611"/>
      <c r="BN7" s="611"/>
      <c r="BO7" s="611"/>
      <c r="BP7" s="611"/>
      <c r="BQ7" s="611"/>
      <c r="BR7" s="611"/>
      <c r="BS7" s="611"/>
      <c r="BT7" s="611"/>
      <c r="BU7" s="611"/>
      <c r="BV7" s="611"/>
      <c r="BW7" s="611"/>
      <c r="BX7" s="611"/>
      <c r="BY7" s="611"/>
      <c r="BZ7" s="611"/>
      <c r="CA7" s="611"/>
      <c r="CB7" s="611"/>
      <c r="CC7" s="611"/>
      <c r="CD7" s="611"/>
      <c r="CE7" s="611"/>
      <c r="CF7" s="611"/>
      <c r="CG7" s="611"/>
      <c r="CH7" s="611"/>
      <c r="CI7" s="611"/>
      <c r="CJ7" s="611"/>
      <c r="CK7" s="611"/>
      <c r="CL7" s="611"/>
      <c r="CM7" s="611"/>
      <c r="CN7" s="611"/>
      <c r="CO7" s="611"/>
      <c r="CP7" s="611"/>
      <c r="CQ7" s="611"/>
      <c r="CR7" s="611"/>
      <c r="CS7" s="611"/>
      <c r="CT7" s="611"/>
    </row>
    <row r="8" spans="1:98" ht="12.75" customHeight="1">
      <c r="A8" s="612"/>
      <c r="B8" s="620"/>
      <c r="C8" s="621"/>
      <c r="D8" s="621"/>
      <c r="E8" s="621"/>
      <c r="F8" s="621"/>
      <c r="G8" s="621"/>
      <c r="H8" s="621"/>
      <c r="I8" s="621"/>
      <c r="J8" s="621"/>
      <c r="K8" s="621"/>
      <c r="L8" s="621"/>
      <c r="M8" s="621"/>
      <c r="N8" s="621"/>
      <c r="O8" s="621"/>
      <c r="P8" s="621"/>
      <c r="Q8" s="621"/>
      <c r="R8" s="621"/>
      <c r="S8" s="621"/>
      <c r="T8" s="2630"/>
      <c r="U8" s="2630"/>
      <c r="V8" s="2630"/>
      <c r="W8" s="2630"/>
      <c r="X8" s="2630"/>
      <c r="Y8" s="2630"/>
      <c r="Z8" s="2630"/>
      <c r="AA8" s="2630"/>
      <c r="AB8" s="2630"/>
      <c r="AC8" s="2630"/>
      <c r="AD8" s="2630"/>
      <c r="AE8" s="2630"/>
      <c r="AF8" s="2630"/>
      <c r="AG8" s="2630"/>
      <c r="AH8" s="2630"/>
      <c r="AI8" s="2630"/>
      <c r="AJ8" s="2630"/>
      <c r="AK8" s="2630"/>
      <c r="AL8" s="2630"/>
      <c r="AM8" s="2630"/>
      <c r="AN8" s="612"/>
      <c r="AO8" s="611"/>
      <c r="AP8" s="611"/>
      <c r="AQ8" s="611"/>
      <c r="AR8" s="611"/>
      <c r="AS8" s="611"/>
      <c r="AT8" s="611"/>
      <c r="AU8" s="611"/>
      <c r="AV8" s="611"/>
      <c r="AW8" s="611"/>
      <c r="AX8" s="611"/>
      <c r="AY8" s="611"/>
      <c r="AZ8" s="611"/>
      <c r="BA8" s="611"/>
      <c r="BB8" s="611"/>
      <c r="BC8" s="611"/>
      <c r="BD8" s="611"/>
      <c r="BE8" s="611"/>
      <c r="BF8" s="611"/>
      <c r="BG8" s="611"/>
      <c r="BH8" s="611"/>
      <c r="BI8" s="611"/>
      <c r="BJ8" s="611"/>
      <c r="BK8" s="611"/>
      <c r="BL8" s="611"/>
      <c r="BM8" s="611"/>
      <c r="BN8" s="611"/>
      <c r="BO8" s="611"/>
      <c r="BP8" s="611"/>
      <c r="BQ8" s="611"/>
      <c r="BR8" s="611"/>
      <c r="BS8" s="611"/>
      <c r="BT8" s="611"/>
      <c r="BU8" s="611"/>
      <c r="BV8" s="611"/>
      <c r="BW8" s="611"/>
      <c r="BX8" s="611"/>
      <c r="BY8" s="611"/>
      <c r="BZ8" s="611"/>
      <c r="CA8" s="611"/>
      <c r="CB8" s="611"/>
      <c r="CC8" s="611"/>
      <c r="CD8" s="611"/>
      <c r="CE8" s="611"/>
      <c r="CF8" s="611"/>
      <c r="CG8" s="611"/>
      <c r="CH8" s="611"/>
      <c r="CI8" s="611"/>
      <c r="CJ8" s="611"/>
      <c r="CK8" s="611"/>
      <c r="CL8" s="611"/>
      <c r="CM8" s="611"/>
      <c r="CN8" s="611"/>
      <c r="CO8" s="611"/>
      <c r="CP8" s="611"/>
      <c r="CQ8" s="611"/>
      <c r="CR8" s="611"/>
      <c r="CS8" s="611"/>
      <c r="CT8" s="611"/>
    </row>
    <row r="9" spans="1:98" ht="13.2">
      <c r="A9" s="612"/>
      <c r="B9" s="620"/>
      <c r="C9" s="621"/>
      <c r="D9" s="621"/>
      <c r="E9" s="621"/>
      <c r="F9" s="621"/>
      <c r="G9" s="621"/>
      <c r="H9" s="621"/>
      <c r="I9" s="621"/>
      <c r="J9" s="621"/>
      <c r="K9" s="621"/>
      <c r="L9" s="621"/>
      <c r="M9" s="621"/>
      <c r="N9" s="621"/>
      <c r="O9" s="621"/>
      <c r="P9" s="621"/>
      <c r="Q9" s="621"/>
      <c r="R9" s="621"/>
      <c r="S9" s="621"/>
      <c r="T9" s="2630"/>
      <c r="U9" s="2630"/>
      <c r="V9" s="2630"/>
      <c r="W9" s="2630"/>
      <c r="X9" s="2630"/>
      <c r="Y9" s="2630"/>
      <c r="Z9" s="2630"/>
      <c r="AA9" s="2630"/>
      <c r="AB9" s="2630"/>
      <c r="AC9" s="2630"/>
      <c r="AD9" s="2630"/>
      <c r="AE9" s="2630"/>
      <c r="AF9" s="2630"/>
      <c r="AG9" s="2630"/>
      <c r="AH9" s="2630"/>
      <c r="AI9" s="2630"/>
      <c r="AJ9" s="2630"/>
      <c r="AK9" s="2630"/>
      <c r="AL9" s="2630"/>
      <c r="AM9" s="2630"/>
      <c r="AN9" s="612"/>
      <c r="AO9" s="611"/>
      <c r="AP9" s="611"/>
      <c r="AQ9" s="611"/>
      <c r="AR9" s="611"/>
      <c r="AS9" s="611"/>
      <c r="AT9" s="611"/>
      <c r="AU9" s="611"/>
      <c r="AV9" s="611"/>
      <c r="AW9" s="611"/>
      <c r="AX9" s="611"/>
      <c r="AY9" s="611"/>
      <c r="AZ9" s="611"/>
      <c r="BA9" s="611"/>
      <c r="BB9" s="611"/>
      <c r="BC9" s="611"/>
      <c r="BD9" s="611"/>
      <c r="BE9" s="611"/>
      <c r="BF9" s="611"/>
      <c r="BG9" s="611"/>
      <c r="BH9" s="611"/>
      <c r="BI9" s="611"/>
      <c r="BJ9" s="611"/>
      <c r="BK9" s="611"/>
      <c r="BL9" s="611"/>
      <c r="BM9" s="611"/>
      <c r="BN9" s="611"/>
      <c r="BO9" s="611"/>
      <c r="BP9" s="611"/>
      <c r="BQ9" s="611"/>
      <c r="BR9" s="611"/>
      <c r="BS9" s="611"/>
      <c r="BT9" s="611"/>
      <c r="BU9" s="611"/>
      <c r="BV9" s="611"/>
      <c r="BW9" s="611"/>
      <c r="BX9" s="611"/>
      <c r="BY9" s="611"/>
      <c r="BZ9" s="611"/>
      <c r="CA9" s="611"/>
      <c r="CB9" s="611"/>
      <c r="CC9" s="611"/>
      <c r="CD9" s="611"/>
      <c r="CE9" s="611"/>
      <c r="CF9" s="611"/>
      <c r="CG9" s="611"/>
      <c r="CH9" s="611"/>
      <c r="CI9" s="611"/>
      <c r="CJ9" s="611"/>
      <c r="CK9" s="611"/>
      <c r="CL9" s="611"/>
      <c r="CM9" s="611"/>
      <c r="CN9" s="611"/>
      <c r="CO9" s="611"/>
      <c r="CP9" s="611"/>
      <c r="CQ9" s="611"/>
      <c r="CR9" s="611"/>
      <c r="CS9" s="611"/>
      <c r="CT9" s="611"/>
    </row>
    <row r="10" spans="1:98" ht="44.7" customHeight="1">
      <c r="A10" s="612"/>
      <c r="B10" s="622"/>
      <c r="C10" s="623"/>
      <c r="D10" s="623"/>
      <c r="E10" s="623"/>
      <c r="F10" s="623"/>
      <c r="G10" s="623"/>
      <c r="H10" s="623"/>
      <c r="I10" s="623"/>
      <c r="J10" s="623"/>
      <c r="K10" s="623"/>
      <c r="L10" s="623"/>
      <c r="M10" s="623"/>
      <c r="N10" s="623"/>
      <c r="O10" s="623"/>
      <c r="P10" s="623"/>
      <c r="Q10" s="623"/>
      <c r="R10" s="623"/>
      <c r="S10" s="623"/>
      <c r="T10" s="2630"/>
      <c r="U10" s="2630"/>
      <c r="V10" s="2630"/>
      <c r="W10" s="2630"/>
      <c r="X10" s="2630"/>
      <c r="Y10" s="2630"/>
      <c r="Z10" s="2630"/>
      <c r="AA10" s="2630"/>
      <c r="AB10" s="2630"/>
      <c r="AC10" s="2630"/>
      <c r="AD10" s="2630"/>
      <c r="AE10" s="2630"/>
      <c r="AF10" s="2630"/>
      <c r="AG10" s="2630"/>
      <c r="AH10" s="2630"/>
      <c r="AI10" s="2630"/>
      <c r="AJ10" s="2630"/>
      <c r="AK10" s="2630"/>
      <c r="AL10" s="2630"/>
      <c r="AM10" s="2630"/>
      <c r="AN10" s="612"/>
      <c r="AO10" s="611"/>
      <c r="AP10" s="611"/>
      <c r="AQ10" s="611"/>
      <c r="AR10" s="611"/>
      <c r="AS10" s="611"/>
      <c r="AT10" s="611"/>
      <c r="AU10" s="611"/>
      <c r="AV10" s="611"/>
      <c r="AW10" s="611"/>
      <c r="AX10" s="611"/>
      <c r="AY10" s="611"/>
      <c r="AZ10" s="611"/>
      <c r="BA10" s="611"/>
      <c r="BB10" s="611"/>
      <c r="BC10" s="611"/>
      <c r="BD10" s="611"/>
      <c r="BE10" s="611"/>
      <c r="BF10" s="611"/>
      <c r="BG10" s="611"/>
      <c r="BH10" s="611"/>
      <c r="BI10" s="611"/>
      <c r="BJ10" s="611"/>
      <c r="BK10" s="611"/>
      <c r="BL10" s="611"/>
      <c r="BM10" s="611"/>
      <c r="BN10" s="611"/>
      <c r="BO10" s="611"/>
      <c r="BP10" s="611"/>
      <c r="BQ10" s="611"/>
      <c r="BR10" s="611"/>
      <c r="BS10" s="611"/>
      <c r="BT10" s="611"/>
      <c r="BU10" s="611"/>
      <c r="BV10" s="611"/>
      <c r="BW10" s="611"/>
      <c r="BX10" s="611"/>
      <c r="BY10" s="611"/>
      <c r="BZ10" s="611"/>
      <c r="CA10" s="611"/>
      <c r="CB10" s="611"/>
      <c r="CC10" s="611"/>
      <c r="CD10" s="611"/>
      <c r="CE10" s="611"/>
      <c r="CF10" s="611"/>
      <c r="CG10" s="611"/>
      <c r="CH10" s="611"/>
      <c r="CI10" s="611"/>
      <c r="CJ10" s="611"/>
      <c r="CK10" s="611"/>
      <c r="CL10" s="611"/>
      <c r="CM10" s="611"/>
      <c r="CN10" s="611"/>
      <c r="CO10" s="611"/>
      <c r="CP10" s="611"/>
      <c r="CQ10" s="611"/>
      <c r="CR10" s="611"/>
      <c r="CS10" s="611"/>
      <c r="CT10" s="611"/>
    </row>
    <row r="11" spans="1:98" ht="13.2">
      <c r="A11" s="612"/>
      <c r="B11" s="2598" t="s">
        <v>393</v>
      </c>
      <c r="C11" s="2599"/>
      <c r="D11" s="2599"/>
      <c r="E11" s="2599"/>
      <c r="F11" s="2599"/>
      <c r="G11" s="2599"/>
      <c r="H11" s="2599"/>
      <c r="I11" s="2599"/>
      <c r="J11" s="2599"/>
      <c r="K11" s="2599"/>
      <c r="L11" s="2599"/>
      <c r="M11" s="2599"/>
      <c r="N11" s="2599"/>
      <c r="O11" s="2599"/>
      <c r="P11" s="2599"/>
      <c r="Q11" s="2599"/>
      <c r="R11" s="2599"/>
      <c r="S11" s="2600"/>
      <c r="T11" s="2631">
        <f>IF('Sources and Basis Breakdown'!F107=0,'Sources and Basis Breakdown'!E107,'Sources and Basis Breakdown'!F107)</f>
        <v>90226199</v>
      </c>
      <c r="U11" s="2632"/>
      <c r="V11" s="2632"/>
      <c r="W11" s="2632"/>
      <c r="X11" s="2632"/>
      <c r="Y11" s="2631">
        <f>IF(Y7=" ",0,IF('Sources and Basis Breakdown'!G107+'Sources and Basis Breakdown'!F107='Sources and Basis Breakdown'!E107,'Sources and Basis Breakdown'!G107,0))</f>
        <v>0</v>
      </c>
      <c r="Z11" s="2632"/>
      <c r="AA11" s="2632"/>
      <c r="AB11" s="2632"/>
      <c r="AC11" s="2632"/>
      <c r="AD11" s="2632">
        <f>IF('Sources and Basis Breakdown'!I107=0,'Sources and Basis Breakdown'!H107,'Sources and Basis Breakdown'!I107)</f>
        <v>0</v>
      </c>
      <c r="AE11" s="2632"/>
      <c r="AF11" s="2632"/>
      <c r="AG11" s="2632"/>
      <c r="AH11" s="2632"/>
      <c r="AI11" s="2632">
        <f>IF(Y7=" ",0,IF('Sources and Basis Breakdown'!I107+'Sources and Basis Breakdown'!J107='Sources and Basis Breakdown'!H107,'Sources and Basis Breakdown'!J107,0))</f>
        <v>0</v>
      </c>
      <c r="AJ11" s="2632"/>
      <c r="AK11" s="2632"/>
      <c r="AL11" s="2632"/>
      <c r="AM11" s="2632"/>
      <c r="AN11" s="612"/>
      <c r="AO11" s="611"/>
      <c r="AP11" s="611"/>
      <c r="AQ11" s="611"/>
      <c r="AR11" s="611"/>
      <c r="AS11" s="611"/>
      <c r="AT11" s="611"/>
      <c r="AU11" s="611"/>
      <c r="AV11" s="611"/>
      <c r="AW11" s="611"/>
      <c r="AX11" s="611"/>
      <c r="AY11" s="611"/>
      <c r="AZ11" s="611"/>
      <c r="BA11" s="611"/>
      <c r="BB11" s="611"/>
      <c r="BC11" s="611"/>
      <c r="BD11" s="611"/>
      <c r="BE11" s="611"/>
      <c r="BF11" s="611"/>
      <c r="BG11" s="611"/>
      <c r="BH11" s="611"/>
      <c r="BI11" s="611"/>
      <c r="BJ11" s="611"/>
      <c r="BK11" s="611"/>
      <c r="BL11" s="611"/>
      <c r="BM11" s="611"/>
      <c r="BN11" s="611"/>
      <c r="BO11" s="611"/>
      <c r="BP11" s="611"/>
      <c r="BQ11" s="611"/>
      <c r="BR11" s="611"/>
      <c r="BS11" s="611"/>
      <c r="BT11" s="611"/>
      <c r="BU11" s="611"/>
      <c r="BV11" s="611"/>
      <c r="BW11" s="611"/>
      <c r="BX11" s="611"/>
      <c r="BY11" s="611"/>
      <c r="BZ11" s="611"/>
      <c r="CA11" s="611"/>
      <c r="CB11" s="611"/>
      <c r="CC11" s="611"/>
      <c r="CD11" s="611"/>
      <c r="CE11" s="611"/>
      <c r="CF11" s="611"/>
      <c r="CG11" s="611"/>
      <c r="CH11" s="611"/>
      <c r="CI11" s="611"/>
      <c r="CJ11" s="611"/>
      <c r="CK11" s="611"/>
      <c r="CL11" s="611"/>
      <c r="CM11" s="611"/>
      <c r="CN11" s="611"/>
      <c r="CO11" s="611"/>
      <c r="CP11" s="611"/>
      <c r="CQ11" s="611"/>
      <c r="CR11" s="611"/>
      <c r="CS11" s="611"/>
      <c r="CT11" s="611"/>
    </row>
    <row r="12" spans="1:98" ht="13.2">
      <c r="A12" s="612"/>
      <c r="B12" s="2623" t="s">
        <v>530</v>
      </c>
      <c r="C12" s="2624"/>
      <c r="D12" s="2624"/>
      <c r="E12" s="2624"/>
      <c r="F12" s="2624"/>
      <c r="G12" s="2624"/>
      <c r="H12" s="2624"/>
      <c r="I12" s="2624"/>
      <c r="J12" s="2624"/>
      <c r="K12" s="2624"/>
      <c r="L12" s="2624"/>
      <c r="M12" s="2624"/>
      <c r="N12" s="2624"/>
      <c r="O12" s="2624"/>
      <c r="P12" s="2624"/>
      <c r="Q12" s="2624"/>
      <c r="R12" s="2624"/>
      <c r="S12" s="2625"/>
      <c r="T12" s="2586"/>
      <c r="U12" s="2587"/>
      <c r="V12" s="2587"/>
      <c r="W12" s="2587"/>
      <c r="X12" s="2588"/>
      <c r="Y12" s="2586"/>
      <c r="Z12" s="2587"/>
      <c r="AA12" s="2587"/>
      <c r="AB12" s="2587"/>
      <c r="AC12" s="2588"/>
      <c r="AD12" s="2586"/>
      <c r="AE12" s="2587"/>
      <c r="AF12" s="2587"/>
      <c r="AG12" s="2587"/>
      <c r="AH12" s="2588"/>
      <c r="AI12" s="2586"/>
      <c r="AJ12" s="2587"/>
      <c r="AK12" s="2587"/>
      <c r="AL12" s="2587"/>
      <c r="AM12" s="2588"/>
      <c r="AN12" s="612"/>
      <c r="AO12" s="611"/>
      <c r="AP12" s="611"/>
      <c r="AQ12" s="611"/>
      <c r="AR12" s="611"/>
      <c r="AS12" s="611"/>
      <c r="AT12" s="611"/>
      <c r="AU12" s="611"/>
      <c r="AV12" s="611"/>
      <c r="AW12" s="611"/>
      <c r="AX12" s="611"/>
      <c r="AY12" s="611"/>
      <c r="AZ12" s="611"/>
      <c r="BA12" s="611"/>
      <c r="BB12" s="611"/>
      <c r="BC12" s="611"/>
      <c r="BD12" s="611"/>
      <c r="BE12" s="611"/>
      <c r="BF12" s="611"/>
      <c r="BG12" s="611"/>
      <c r="BH12" s="611"/>
      <c r="BI12" s="611"/>
      <c r="BJ12" s="611"/>
      <c r="BK12" s="611"/>
      <c r="BL12" s="611"/>
      <c r="BM12" s="611"/>
      <c r="BN12" s="611"/>
      <c r="BO12" s="611"/>
      <c r="BP12" s="611"/>
      <c r="BQ12" s="611"/>
      <c r="BR12" s="611"/>
      <c r="BS12" s="611"/>
      <c r="BT12" s="611"/>
      <c r="BU12" s="611"/>
      <c r="BV12" s="611"/>
      <c r="BW12" s="611"/>
      <c r="BX12" s="611"/>
      <c r="BY12" s="611"/>
      <c r="BZ12" s="611"/>
      <c r="CA12" s="611"/>
      <c r="CB12" s="611"/>
      <c r="CC12" s="611"/>
      <c r="CD12" s="611"/>
      <c r="CE12" s="611"/>
      <c r="CF12" s="611"/>
      <c r="CG12" s="611"/>
      <c r="CH12" s="611"/>
      <c r="CI12" s="611"/>
      <c r="CJ12" s="611"/>
      <c r="CK12" s="611"/>
      <c r="CL12" s="611"/>
      <c r="CM12" s="611"/>
      <c r="CN12" s="611"/>
      <c r="CO12" s="611"/>
      <c r="CP12" s="611"/>
      <c r="CQ12" s="611"/>
      <c r="CR12" s="611"/>
      <c r="CS12" s="611"/>
      <c r="CT12" s="611"/>
    </row>
    <row r="13" spans="1:98" ht="13.2">
      <c r="A13" s="612"/>
      <c r="B13" s="664"/>
      <c r="C13" s="2626" t="s">
        <v>531</v>
      </c>
      <c r="D13" s="2626"/>
      <c r="E13" s="2626"/>
      <c r="F13" s="2626"/>
      <c r="G13" s="2626"/>
      <c r="H13" s="2626"/>
      <c r="I13" s="2626"/>
      <c r="J13" s="2626"/>
      <c r="K13" s="2626"/>
      <c r="L13" s="2626"/>
      <c r="M13" s="2626"/>
      <c r="N13" s="2626"/>
      <c r="O13" s="2626"/>
      <c r="P13" s="2626"/>
      <c r="Q13" s="2626"/>
      <c r="R13" s="2626"/>
      <c r="S13" s="2627"/>
      <c r="T13" s="2633"/>
      <c r="U13" s="2634"/>
      <c r="V13" s="2634"/>
      <c r="W13" s="2634"/>
      <c r="X13" s="2634"/>
      <c r="Y13" s="2633"/>
      <c r="Z13" s="2634"/>
      <c r="AA13" s="2634"/>
      <c r="AB13" s="2634"/>
      <c r="AC13" s="2634"/>
      <c r="AD13" s="2634"/>
      <c r="AE13" s="2634"/>
      <c r="AF13" s="2634"/>
      <c r="AG13" s="2634"/>
      <c r="AH13" s="2634"/>
      <c r="AI13" s="2634"/>
      <c r="AJ13" s="2634"/>
      <c r="AK13" s="2634"/>
      <c r="AL13" s="2634"/>
      <c r="AM13" s="2634"/>
      <c r="AN13" s="612"/>
      <c r="AO13" s="611"/>
      <c r="AP13" s="611"/>
      <c r="AQ13" s="611"/>
      <c r="AR13" s="611"/>
      <c r="AS13" s="611"/>
      <c r="AT13" s="611"/>
      <c r="AU13" s="611"/>
      <c r="AV13" s="611"/>
      <c r="AW13" s="611"/>
      <c r="AX13" s="611"/>
      <c r="AY13" s="611"/>
      <c r="AZ13" s="611"/>
      <c r="BA13" s="611"/>
      <c r="BB13" s="611"/>
      <c r="BC13" s="611"/>
      <c r="BD13" s="611"/>
      <c r="BE13" s="611"/>
      <c r="BF13" s="611"/>
      <c r="BG13" s="611"/>
      <c r="BH13" s="611"/>
      <c r="BI13" s="611"/>
      <c r="BJ13" s="611"/>
      <c r="BK13" s="611"/>
      <c r="BL13" s="611"/>
      <c r="BM13" s="611"/>
      <c r="BN13" s="611"/>
      <c r="BO13" s="611"/>
      <c r="BP13" s="611"/>
      <c r="BQ13" s="611"/>
      <c r="BR13" s="611"/>
      <c r="BS13" s="611"/>
      <c r="BT13" s="611"/>
      <c r="BU13" s="611"/>
      <c r="BV13" s="611"/>
      <c r="BW13" s="611"/>
      <c r="BX13" s="611"/>
      <c r="BY13" s="611"/>
      <c r="BZ13" s="611"/>
      <c r="CA13" s="611"/>
      <c r="CB13" s="611"/>
      <c r="CC13" s="611"/>
      <c r="CD13" s="611"/>
      <c r="CE13" s="611"/>
      <c r="CF13" s="611"/>
      <c r="CG13" s="611"/>
      <c r="CH13" s="611"/>
      <c r="CI13" s="611"/>
      <c r="CJ13" s="611"/>
      <c r="CK13" s="611"/>
      <c r="CL13" s="611"/>
      <c r="CM13" s="611"/>
      <c r="CN13" s="611"/>
      <c r="CO13" s="611"/>
      <c r="CP13" s="611"/>
      <c r="CQ13" s="611"/>
      <c r="CR13" s="611"/>
      <c r="CS13" s="611"/>
      <c r="CT13" s="611"/>
    </row>
    <row r="14" spans="1:98" ht="13.2">
      <c r="A14" s="612"/>
      <c r="B14" s="664"/>
      <c r="C14" s="2626" t="s">
        <v>532</v>
      </c>
      <c r="D14" s="2626"/>
      <c r="E14" s="2626"/>
      <c r="F14" s="2626"/>
      <c r="G14" s="2626"/>
      <c r="H14" s="2626"/>
      <c r="I14" s="2626"/>
      <c r="J14" s="2626"/>
      <c r="K14" s="2626"/>
      <c r="L14" s="2626"/>
      <c r="M14" s="2626"/>
      <c r="N14" s="2626"/>
      <c r="O14" s="2626"/>
      <c r="P14" s="2626"/>
      <c r="Q14" s="2626"/>
      <c r="R14" s="2626"/>
      <c r="S14" s="2627"/>
      <c r="T14" s="2589"/>
      <c r="U14" s="2590"/>
      <c r="V14" s="2590"/>
      <c r="W14" s="2590"/>
      <c r="X14" s="2590"/>
      <c r="Y14" s="2589"/>
      <c r="Z14" s="2590"/>
      <c r="AA14" s="2590"/>
      <c r="AB14" s="2590"/>
      <c r="AC14" s="2590"/>
      <c r="AD14" s="2590"/>
      <c r="AE14" s="2590"/>
      <c r="AF14" s="2590"/>
      <c r="AG14" s="2590"/>
      <c r="AH14" s="2590"/>
      <c r="AI14" s="2590"/>
      <c r="AJ14" s="2590"/>
      <c r="AK14" s="2590"/>
      <c r="AL14" s="2590"/>
      <c r="AM14" s="2590"/>
      <c r="AN14" s="612"/>
      <c r="AO14" s="611"/>
      <c r="AP14" s="611"/>
      <c r="AQ14" s="611"/>
      <c r="AR14" s="611"/>
      <c r="AS14" s="611"/>
      <c r="AT14" s="611"/>
      <c r="AU14" s="611"/>
      <c r="AV14" s="611"/>
      <c r="AW14" s="611"/>
      <c r="AX14" s="611"/>
      <c r="AY14" s="611"/>
      <c r="AZ14" s="611"/>
      <c r="BA14" s="611"/>
      <c r="BB14" s="611"/>
      <c r="BC14" s="611"/>
      <c r="BD14" s="611"/>
      <c r="BE14" s="611"/>
      <c r="BF14" s="611"/>
      <c r="BG14" s="611"/>
      <c r="BH14" s="611"/>
      <c r="BI14" s="611"/>
      <c r="BJ14" s="611"/>
      <c r="BK14" s="611"/>
      <c r="BL14" s="611"/>
      <c r="BM14" s="611"/>
      <c r="BN14" s="611"/>
      <c r="BO14" s="611"/>
      <c r="BP14" s="611"/>
      <c r="BQ14" s="611"/>
      <c r="BR14" s="611"/>
      <c r="BS14" s="611"/>
      <c r="BT14" s="611"/>
      <c r="BU14" s="611"/>
      <c r="BV14" s="611"/>
      <c r="BW14" s="611"/>
      <c r="BX14" s="611"/>
      <c r="BY14" s="611"/>
      <c r="BZ14" s="611"/>
      <c r="CA14" s="611"/>
      <c r="CB14" s="611"/>
      <c r="CC14" s="611"/>
      <c r="CD14" s="611"/>
      <c r="CE14" s="611"/>
      <c r="CF14" s="611"/>
      <c r="CG14" s="611"/>
      <c r="CH14" s="611"/>
      <c r="CI14" s="611"/>
      <c r="CJ14" s="611"/>
      <c r="CK14" s="611"/>
      <c r="CL14" s="611"/>
      <c r="CM14" s="611"/>
      <c r="CN14" s="611"/>
      <c r="CO14" s="611"/>
      <c r="CP14" s="611"/>
      <c r="CQ14" s="611"/>
      <c r="CR14" s="611"/>
      <c r="CS14" s="611"/>
      <c r="CT14" s="611"/>
    </row>
    <row r="15" spans="1:98" ht="13.2">
      <c r="A15" s="612"/>
      <c r="B15" s="664"/>
      <c r="C15" s="2626" t="s">
        <v>533</v>
      </c>
      <c r="D15" s="2626"/>
      <c r="E15" s="2626"/>
      <c r="F15" s="2626"/>
      <c r="G15" s="2626"/>
      <c r="H15" s="2626"/>
      <c r="I15" s="2626"/>
      <c r="J15" s="2626"/>
      <c r="K15" s="2626"/>
      <c r="L15" s="2626"/>
      <c r="M15" s="2626"/>
      <c r="N15" s="2626"/>
      <c r="O15" s="2626"/>
      <c r="P15" s="2626"/>
      <c r="Q15" s="2626"/>
      <c r="R15" s="2626"/>
      <c r="S15" s="2627"/>
      <c r="T15" s="2589"/>
      <c r="U15" s="2590"/>
      <c r="V15" s="2590"/>
      <c r="W15" s="2590"/>
      <c r="X15" s="2590"/>
      <c r="Y15" s="2589"/>
      <c r="Z15" s="2590"/>
      <c r="AA15" s="2590"/>
      <c r="AB15" s="2590"/>
      <c r="AC15" s="2590"/>
      <c r="AD15" s="2590"/>
      <c r="AE15" s="2590"/>
      <c r="AF15" s="2590"/>
      <c r="AG15" s="2590"/>
      <c r="AH15" s="2590"/>
      <c r="AI15" s="2590"/>
      <c r="AJ15" s="2590"/>
      <c r="AK15" s="2590"/>
      <c r="AL15" s="2590"/>
      <c r="AM15" s="2590"/>
      <c r="AN15" s="612"/>
      <c r="AO15" s="611"/>
      <c r="AP15" s="611"/>
      <c r="AQ15" s="611"/>
      <c r="AR15" s="611"/>
      <c r="AS15" s="611"/>
      <c r="AT15" s="611"/>
      <c r="AU15" s="611"/>
      <c r="AV15" s="611"/>
      <c r="AW15" s="611"/>
      <c r="AX15" s="611"/>
      <c r="AY15" s="611"/>
      <c r="AZ15" s="611"/>
      <c r="BA15" s="611"/>
      <c r="BB15" s="611"/>
      <c r="BC15" s="611"/>
      <c r="BD15" s="611"/>
      <c r="BE15" s="611"/>
      <c r="BF15" s="611"/>
      <c r="BG15" s="611"/>
      <c r="BH15" s="611"/>
      <c r="BI15" s="611"/>
      <c r="BJ15" s="611"/>
      <c r="BK15" s="611"/>
      <c r="BL15" s="611"/>
      <c r="BM15" s="611"/>
      <c r="BN15" s="611"/>
      <c r="BO15" s="611"/>
      <c r="BP15" s="611"/>
      <c r="BQ15" s="611"/>
      <c r="BR15" s="611"/>
      <c r="BS15" s="611"/>
      <c r="BT15" s="611"/>
      <c r="BU15" s="611"/>
      <c r="BV15" s="611"/>
      <c r="BW15" s="611"/>
      <c r="BX15" s="611"/>
      <c r="BY15" s="611"/>
      <c r="BZ15" s="611"/>
      <c r="CA15" s="611"/>
      <c r="CB15" s="611"/>
      <c r="CC15" s="611"/>
      <c r="CD15" s="611"/>
      <c r="CE15" s="611"/>
      <c r="CF15" s="611"/>
      <c r="CG15" s="611"/>
      <c r="CH15" s="611"/>
      <c r="CI15" s="611"/>
      <c r="CJ15" s="611"/>
      <c r="CK15" s="611"/>
      <c r="CL15" s="611"/>
      <c r="CM15" s="611"/>
      <c r="CN15" s="611"/>
      <c r="CO15" s="611"/>
      <c r="CP15" s="611"/>
      <c r="CQ15" s="611"/>
      <c r="CR15" s="611"/>
      <c r="CS15" s="611"/>
      <c r="CT15" s="611"/>
    </row>
    <row r="16" spans="1:98" ht="13.2">
      <c r="A16" s="612"/>
      <c r="B16" s="664"/>
      <c r="C16" s="2626" t="s">
        <v>864</v>
      </c>
      <c r="D16" s="2626"/>
      <c r="E16" s="2626"/>
      <c r="F16" s="2626"/>
      <c r="G16" s="2626"/>
      <c r="H16" s="2626"/>
      <c r="I16" s="2626"/>
      <c r="J16" s="2626"/>
      <c r="K16" s="2626"/>
      <c r="L16" s="2626"/>
      <c r="M16" s="2626"/>
      <c r="N16" s="2626"/>
      <c r="O16" s="2626"/>
      <c r="P16" s="2626"/>
      <c r="Q16" s="2626"/>
      <c r="R16" s="2626"/>
      <c r="S16" s="2627"/>
      <c r="T16" s="2589"/>
      <c r="U16" s="2590"/>
      <c r="V16" s="2590"/>
      <c r="W16" s="2590"/>
      <c r="X16" s="2590"/>
      <c r="Y16" s="2589"/>
      <c r="Z16" s="2590"/>
      <c r="AA16" s="2590"/>
      <c r="AB16" s="2590"/>
      <c r="AC16" s="2590"/>
      <c r="AD16" s="2590"/>
      <c r="AE16" s="2590"/>
      <c r="AF16" s="2590"/>
      <c r="AG16" s="2590"/>
      <c r="AH16" s="2590"/>
      <c r="AI16" s="2590"/>
      <c r="AJ16" s="2590"/>
      <c r="AK16" s="2590"/>
      <c r="AL16" s="2590"/>
      <c r="AM16" s="2590"/>
      <c r="AN16" s="612"/>
      <c r="AO16" s="611"/>
      <c r="AP16" s="611"/>
      <c r="AQ16" s="611"/>
      <c r="AR16" s="611"/>
      <c r="AS16" s="611"/>
      <c r="AT16" s="611"/>
      <c r="AU16" s="611"/>
      <c r="AV16" s="611"/>
      <c r="AW16" s="611"/>
      <c r="AX16" s="611"/>
      <c r="AY16" s="611"/>
      <c r="AZ16" s="611"/>
      <c r="BA16" s="611"/>
      <c r="BB16" s="611"/>
      <c r="BC16" s="611"/>
      <c r="BD16" s="611"/>
      <c r="BE16" s="611"/>
      <c r="BF16" s="611"/>
      <c r="BG16" s="611"/>
      <c r="BH16" s="611"/>
      <c r="BI16" s="611"/>
      <c r="BJ16" s="611"/>
      <c r="BK16" s="611"/>
      <c r="BL16" s="611"/>
      <c r="BM16" s="611"/>
      <c r="BN16" s="611"/>
      <c r="BO16" s="611"/>
      <c r="BP16" s="611"/>
      <c r="BQ16" s="611"/>
      <c r="BR16" s="611"/>
      <c r="BS16" s="611"/>
      <c r="BT16" s="611"/>
      <c r="BU16" s="611"/>
      <c r="BV16" s="611"/>
      <c r="BW16" s="611"/>
      <c r="BX16" s="611"/>
      <c r="BY16" s="611"/>
      <c r="BZ16" s="611"/>
      <c r="CA16" s="611"/>
      <c r="CB16" s="611"/>
      <c r="CC16" s="611"/>
      <c r="CD16" s="611"/>
      <c r="CE16" s="611"/>
      <c r="CF16" s="611"/>
      <c r="CG16" s="611"/>
      <c r="CH16" s="611"/>
      <c r="CI16" s="611"/>
      <c r="CJ16" s="611"/>
      <c r="CK16" s="611"/>
      <c r="CL16" s="611"/>
      <c r="CM16" s="611"/>
      <c r="CN16" s="611"/>
      <c r="CO16" s="611"/>
      <c r="CP16" s="611"/>
      <c r="CQ16" s="611"/>
      <c r="CR16" s="611"/>
      <c r="CS16" s="611"/>
      <c r="CT16" s="611"/>
    </row>
    <row r="17" spans="1:98" ht="13.2">
      <c r="A17" s="612"/>
      <c r="B17" s="664"/>
      <c r="C17" s="2626" t="s">
        <v>534</v>
      </c>
      <c r="D17" s="2626"/>
      <c r="E17" s="2626"/>
      <c r="F17" s="2626"/>
      <c r="G17" s="2626"/>
      <c r="H17" s="2626"/>
      <c r="I17" s="2626"/>
      <c r="J17" s="2626"/>
      <c r="K17" s="2626"/>
      <c r="L17" s="2626"/>
      <c r="M17" s="2626"/>
      <c r="N17" s="2626"/>
      <c r="O17" s="2626"/>
      <c r="P17" s="2626"/>
      <c r="Q17" s="2626"/>
      <c r="R17" s="2626"/>
      <c r="S17" s="2627"/>
      <c r="T17" s="2589"/>
      <c r="U17" s="2590"/>
      <c r="V17" s="2590"/>
      <c r="W17" s="2590"/>
      <c r="X17" s="2590"/>
      <c r="Y17" s="2589"/>
      <c r="Z17" s="2590"/>
      <c r="AA17" s="2590"/>
      <c r="AB17" s="2590"/>
      <c r="AC17" s="2590"/>
      <c r="AD17" s="2590"/>
      <c r="AE17" s="2590"/>
      <c r="AF17" s="2590"/>
      <c r="AG17" s="2590"/>
      <c r="AH17" s="2590"/>
      <c r="AI17" s="2590"/>
      <c r="AJ17" s="2590"/>
      <c r="AK17" s="2590"/>
      <c r="AL17" s="2590"/>
      <c r="AM17" s="2590"/>
      <c r="AN17" s="612"/>
      <c r="AO17" s="611"/>
      <c r="AP17" s="611"/>
      <c r="AQ17" s="611"/>
      <c r="AR17" s="611"/>
      <c r="AS17" s="611"/>
      <c r="AT17" s="611"/>
      <c r="AU17" s="611"/>
      <c r="AV17" s="611"/>
      <c r="AW17" s="611"/>
      <c r="AX17" s="611"/>
      <c r="AY17" s="611"/>
      <c r="AZ17" s="611"/>
      <c r="BA17" s="611"/>
      <c r="BB17" s="611"/>
      <c r="BC17" s="611"/>
      <c r="BD17" s="611"/>
      <c r="BE17" s="611"/>
      <c r="BF17" s="611"/>
      <c r="BG17" s="611"/>
      <c r="BH17" s="611"/>
      <c r="BI17" s="611"/>
      <c r="BJ17" s="611"/>
      <c r="BK17" s="611"/>
      <c r="BL17" s="611"/>
      <c r="BM17" s="611"/>
      <c r="BN17" s="611"/>
      <c r="BO17" s="611"/>
      <c r="BP17" s="611"/>
      <c r="BQ17" s="611"/>
      <c r="BR17" s="611"/>
      <c r="BS17" s="611"/>
      <c r="BT17" s="611"/>
      <c r="BU17" s="611"/>
      <c r="BV17" s="611"/>
      <c r="BW17" s="611"/>
      <c r="BX17" s="611"/>
      <c r="BY17" s="611"/>
      <c r="BZ17" s="611"/>
      <c r="CA17" s="611"/>
      <c r="CB17" s="611"/>
      <c r="CC17" s="611"/>
      <c r="CD17" s="611"/>
      <c r="CE17" s="611"/>
      <c r="CF17" s="611"/>
      <c r="CG17" s="611"/>
      <c r="CH17" s="611"/>
      <c r="CI17" s="611"/>
      <c r="CJ17" s="611"/>
      <c r="CK17" s="611"/>
      <c r="CL17" s="611"/>
      <c r="CM17" s="611"/>
      <c r="CN17" s="611"/>
      <c r="CO17" s="611"/>
      <c r="CP17" s="611"/>
      <c r="CQ17" s="611"/>
      <c r="CR17" s="611"/>
      <c r="CS17" s="611"/>
      <c r="CT17" s="611"/>
    </row>
    <row r="18" spans="1:98" ht="13.2">
      <c r="A18" s="612"/>
      <c r="B18" s="665"/>
      <c r="C18" s="2621" t="s">
        <v>1037</v>
      </c>
      <c r="D18" s="2621"/>
      <c r="E18" s="2621"/>
      <c r="F18" s="2621"/>
      <c r="G18" s="2621"/>
      <c r="H18" s="2621"/>
      <c r="I18" s="2621"/>
      <c r="J18" s="2621"/>
      <c r="K18" s="2621"/>
      <c r="L18" s="2621"/>
      <c r="M18" s="2621"/>
      <c r="N18" s="2621"/>
      <c r="O18" s="2621"/>
      <c r="P18" s="2621"/>
      <c r="Q18" s="2621"/>
      <c r="R18" s="2621"/>
      <c r="S18" s="2622"/>
      <c r="T18" s="2589"/>
      <c r="U18" s="2590"/>
      <c r="V18" s="2590"/>
      <c r="W18" s="2590"/>
      <c r="X18" s="2590"/>
      <c r="Y18" s="2589"/>
      <c r="Z18" s="2590"/>
      <c r="AA18" s="2590"/>
      <c r="AB18" s="2590"/>
      <c r="AC18" s="2590"/>
      <c r="AD18" s="2590"/>
      <c r="AE18" s="2590"/>
      <c r="AF18" s="2590"/>
      <c r="AG18" s="2590"/>
      <c r="AH18" s="2590"/>
      <c r="AI18" s="2590"/>
      <c r="AJ18" s="2590"/>
      <c r="AK18" s="2590"/>
      <c r="AL18" s="2590"/>
      <c r="AM18" s="2590"/>
      <c r="AN18" s="612"/>
      <c r="AO18" s="611"/>
      <c r="AP18" s="611"/>
      <c r="AQ18" s="611"/>
      <c r="AR18" s="611"/>
      <c r="AS18" s="611"/>
      <c r="AT18" s="611"/>
      <c r="AU18" s="611"/>
      <c r="AV18" s="611"/>
      <c r="AW18" s="611"/>
      <c r="AX18" s="611"/>
      <c r="AY18" s="611"/>
      <c r="AZ18" s="611"/>
      <c r="BA18" s="611"/>
      <c r="BB18" s="611"/>
      <c r="BC18" s="611"/>
      <c r="BD18" s="611"/>
      <c r="BE18" s="611"/>
      <c r="BF18" s="611"/>
      <c r="BG18" s="611"/>
      <c r="BH18" s="611"/>
      <c r="BI18" s="611"/>
      <c r="BJ18" s="611"/>
      <c r="BK18" s="611"/>
      <c r="BL18" s="611"/>
      <c r="BM18" s="611"/>
      <c r="BN18" s="611"/>
      <c r="BO18" s="611"/>
      <c r="BP18" s="611"/>
      <c r="BQ18" s="611"/>
      <c r="BR18" s="611"/>
      <c r="BS18" s="611"/>
      <c r="BT18" s="611"/>
      <c r="BU18" s="611"/>
      <c r="BV18" s="611"/>
      <c r="BW18" s="611"/>
      <c r="BX18" s="611"/>
      <c r="BY18" s="611"/>
      <c r="BZ18" s="611"/>
      <c r="CA18" s="611"/>
      <c r="CB18" s="611"/>
      <c r="CC18" s="611"/>
      <c r="CD18" s="611"/>
      <c r="CE18" s="611"/>
      <c r="CF18" s="611"/>
      <c r="CG18" s="611"/>
      <c r="CH18" s="611"/>
      <c r="CI18" s="611"/>
      <c r="CJ18" s="611"/>
      <c r="CK18" s="611"/>
      <c r="CL18" s="611"/>
      <c r="CM18" s="611"/>
      <c r="CN18" s="611"/>
      <c r="CO18" s="611"/>
      <c r="CP18" s="611"/>
      <c r="CQ18" s="611"/>
      <c r="CR18" s="611"/>
      <c r="CS18" s="611"/>
      <c r="CT18" s="611"/>
    </row>
    <row r="19" spans="1:98" ht="13.2">
      <c r="A19" s="612"/>
      <c r="B19" s="665"/>
      <c r="C19" s="2621" t="s">
        <v>1037</v>
      </c>
      <c r="D19" s="2621"/>
      <c r="E19" s="2621"/>
      <c r="F19" s="2621"/>
      <c r="G19" s="2621"/>
      <c r="H19" s="2621"/>
      <c r="I19" s="2621"/>
      <c r="J19" s="2621"/>
      <c r="K19" s="2621"/>
      <c r="L19" s="2621"/>
      <c r="M19" s="2621"/>
      <c r="N19" s="2621"/>
      <c r="O19" s="2621"/>
      <c r="P19" s="2621"/>
      <c r="Q19" s="2621"/>
      <c r="R19" s="2621"/>
      <c r="S19" s="2622"/>
      <c r="T19" s="2589"/>
      <c r="U19" s="2590"/>
      <c r="V19" s="2590"/>
      <c r="W19" s="2590"/>
      <c r="X19" s="2590"/>
      <c r="Y19" s="2589"/>
      <c r="Z19" s="2590"/>
      <c r="AA19" s="2590"/>
      <c r="AB19" s="2590"/>
      <c r="AC19" s="2590"/>
      <c r="AD19" s="2590"/>
      <c r="AE19" s="2590"/>
      <c r="AF19" s="2590"/>
      <c r="AG19" s="2590"/>
      <c r="AH19" s="2590"/>
      <c r="AI19" s="2590"/>
      <c r="AJ19" s="2590"/>
      <c r="AK19" s="2590"/>
      <c r="AL19" s="2590"/>
      <c r="AM19" s="2590"/>
      <c r="AN19" s="612"/>
      <c r="AO19" s="611"/>
      <c r="AP19" s="611"/>
      <c r="AQ19" s="611"/>
      <c r="AR19" s="611"/>
      <c r="AS19" s="611"/>
      <c r="AT19" s="611"/>
      <c r="AU19" s="611"/>
      <c r="AV19" s="611"/>
      <c r="AW19" s="611"/>
      <c r="AX19" s="611"/>
      <c r="AY19" s="611"/>
      <c r="AZ19" s="611"/>
      <c r="BA19" s="611"/>
      <c r="BB19" s="611"/>
      <c r="BC19" s="611"/>
      <c r="BD19" s="611"/>
      <c r="BE19" s="611"/>
      <c r="BF19" s="611"/>
      <c r="BG19" s="611"/>
      <c r="BH19" s="611"/>
      <c r="BI19" s="611"/>
      <c r="BJ19" s="611"/>
      <c r="BK19" s="611"/>
      <c r="BL19" s="611"/>
      <c r="BM19" s="611"/>
      <c r="BN19" s="611"/>
      <c r="BO19" s="611"/>
      <c r="BP19" s="611"/>
      <c r="BQ19" s="611"/>
      <c r="BR19" s="611"/>
      <c r="BS19" s="611"/>
      <c r="BT19" s="611"/>
      <c r="BU19" s="611"/>
      <c r="BV19" s="611"/>
      <c r="BW19" s="611"/>
      <c r="BX19" s="611"/>
      <c r="BY19" s="611"/>
      <c r="BZ19" s="611"/>
      <c r="CA19" s="611"/>
      <c r="CB19" s="611"/>
      <c r="CC19" s="611"/>
      <c r="CD19" s="611"/>
      <c r="CE19" s="611"/>
      <c r="CF19" s="611"/>
      <c r="CG19" s="611"/>
      <c r="CH19" s="611"/>
      <c r="CI19" s="611"/>
      <c r="CJ19" s="611"/>
      <c r="CK19" s="611"/>
      <c r="CL19" s="611"/>
      <c r="CM19" s="611"/>
      <c r="CN19" s="611"/>
      <c r="CO19" s="611"/>
      <c r="CP19" s="611"/>
      <c r="CQ19" s="611"/>
      <c r="CR19" s="611"/>
      <c r="CS19" s="611"/>
      <c r="CT19" s="611"/>
    </row>
    <row r="20" spans="1:98" ht="13.2">
      <c r="A20" s="612"/>
      <c r="B20" s="2598" t="s">
        <v>535</v>
      </c>
      <c r="C20" s="2599"/>
      <c r="D20" s="2599"/>
      <c r="E20" s="2599"/>
      <c r="F20" s="2599"/>
      <c r="G20" s="2599"/>
      <c r="H20" s="2599"/>
      <c r="I20" s="2599"/>
      <c r="J20" s="2599"/>
      <c r="K20" s="2599"/>
      <c r="L20" s="2599"/>
      <c r="M20" s="2599"/>
      <c r="N20" s="2599"/>
      <c r="O20" s="2599"/>
      <c r="P20" s="2599"/>
      <c r="Q20" s="2599"/>
      <c r="R20" s="2599"/>
      <c r="S20" s="2600"/>
      <c r="T20" s="2591">
        <f>SUM(T13:X19)</f>
        <v>0</v>
      </c>
      <c r="U20" s="2592"/>
      <c r="V20" s="2592"/>
      <c r="W20" s="2592"/>
      <c r="X20" s="2592"/>
      <c r="Y20" s="2591">
        <f>SUM(Y13:AC19)</f>
        <v>0</v>
      </c>
      <c r="Z20" s="2592"/>
      <c r="AA20" s="2592"/>
      <c r="AB20" s="2592"/>
      <c r="AC20" s="2592"/>
      <c r="AD20" s="2593">
        <f>SUM(AD13:AH19)</f>
        <v>0</v>
      </c>
      <c r="AE20" s="2594"/>
      <c r="AF20" s="2594"/>
      <c r="AG20" s="2594"/>
      <c r="AH20" s="2591"/>
      <c r="AI20" s="2593">
        <f>SUM(AI13:AM19)</f>
        <v>0</v>
      </c>
      <c r="AJ20" s="2594"/>
      <c r="AK20" s="2594"/>
      <c r="AL20" s="2594"/>
      <c r="AM20" s="2591"/>
      <c r="AN20" s="612"/>
      <c r="AO20" s="611"/>
      <c r="AP20" s="611"/>
      <c r="AQ20" s="611"/>
      <c r="AR20" s="611"/>
      <c r="AS20" s="611"/>
      <c r="AT20" s="611"/>
      <c r="AU20" s="611"/>
      <c r="AV20" s="611"/>
      <c r="AW20" s="611"/>
      <c r="AX20" s="611"/>
      <c r="AY20" s="611"/>
      <c r="AZ20" s="611"/>
      <c r="BA20" s="611"/>
      <c r="BB20" s="611"/>
      <c r="BC20" s="611"/>
      <c r="BD20" s="611"/>
      <c r="BE20" s="611"/>
      <c r="BF20" s="611"/>
      <c r="BG20" s="611"/>
      <c r="BH20" s="611"/>
      <c r="BI20" s="611"/>
      <c r="BJ20" s="611"/>
      <c r="BK20" s="611"/>
      <c r="BL20" s="611"/>
      <c r="BM20" s="611"/>
      <c r="BN20" s="611"/>
      <c r="BO20" s="611"/>
      <c r="BP20" s="611"/>
      <c r="BQ20" s="611"/>
      <c r="BR20" s="611"/>
      <c r="BS20" s="611"/>
      <c r="BT20" s="611"/>
      <c r="BU20" s="611"/>
      <c r="BV20" s="611"/>
      <c r="BW20" s="611"/>
      <c r="BX20" s="611"/>
      <c r="BY20" s="611"/>
      <c r="BZ20" s="611"/>
      <c r="CA20" s="611"/>
      <c r="CB20" s="611"/>
      <c r="CC20" s="611"/>
      <c r="CD20" s="611"/>
      <c r="CE20" s="611"/>
      <c r="CF20" s="611"/>
      <c r="CG20" s="611"/>
      <c r="CH20" s="611"/>
      <c r="CI20" s="611"/>
      <c r="CJ20" s="611"/>
      <c r="CK20" s="611"/>
      <c r="CL20" s="611"/>
      <c r="CM20" s="611"/>
      <c r="CN20" s="611"/>
      <c r="CO20" s="611"/>
      <c r="CP20" s="611"/>
      <c r="CQ20" s="611"/>
      <c r="CR20" s="611"/>
      <c r="CS20" s="611"/>
      <c r="CT20" s="611"/>
    </row>
    <row r="21" spans="1:98" ht="13.2">
      <c r="A21" s="612"/>
      <c r="B21" s="2598" t="s">
        <v>1493</v>
      </c>
      <c r="C21" s="2599"/>
      <c r="D21" s="2599"/>
      <c r="E21" s="2599"/>
      <c r="F21" s="2599"/>
      <c r="G21" s="2599"/>
      <c r="H21" s="2599"/>
      <c r="I21" s="2599"/>
      <c r="J21" s="2599"/>
      <c r="K21" s="2599"/>
      <c r="L21" s="2599"/>
      <c r="M21" s="2599"/>
      <c r="N21" s="2599"/>
      <c r="O21" s="2599"/>
      <c r="P21" s="2599"/>
      <c r="Q21" s="2599"/>
      <c r="R21" s="2599"/>
      <c r="S21" s="2600"/>
      <c r="T21" s="2589"/>
      <c r="U21" s="2590"/>
      <c r="V21" s="2590"/>
      <c r="W21" s="2590"/>
      <c r="X21" s="2590"/>
      <c r="Y21" s="2589"/>
      <c r="Z21" s="2590"/>
      <c r="AA21" s="2590"/>
      <c r="AB21" s="2590"/>
      <c r="AC21" s="2590"/>
      <c r="AD21" s="2586"/>
      <c r="AE21" s="2587"/>
      <c r="AF21" s="2587"/>
      <c r="AG21" s="2587"/>
      <c r="AH21" s="2588"/>
      <c r="AI21" s="2586"/>
      <c r="AJ21" s="2587"/>
      <c r="AK21" s="2587"/>
      <c r="AL21" s="2587"/>
      <c r="AM21" s="2588"/>
      <c r="AN21" s="612"/>
      <c r="AO21" s="611"/>
      <c r="AP21" s="611"/>
      <c r="AQ21" s="611"/>
      <c r="AR21" s="611"/>
      <c r="AS21" s="611"/>
      <c r="AT21" s="611"/>
      <c r="AU21" s="611"/>
      <c r="AV21" s="611"/>
      <c r="AW21" s="611"/>
      <c r="AX21" s="611"/>
      <c r="AY21" s="611"/>
      <c r="AZ21" s="611"/>
      <c r="BA21" s="611"/>
      <c r="BB21" s="611"/>
      <c r="BC21" s="611"/>
      <c r="BD21" s="611"/>
      <c r="BE21" s="611"/>
      <c r="BF21" s="611"/>
      <c r="BG21" s="611"/>
      <c r="BH21" s="611"/>
      <c r="BI21" s="611"/>
      <c r="BJ21" s="611"/>
      <c r="BK21" s="611"/>
      <c r="BL21" s="611"/>
      <c r="BM21" s="611"/>
      <c r="BN21" s="611"/>
      <c r="BO21" s="611"/>
      <c r="BP21" s="611"/>
      <c r="BQ21" s="611"/>
      <c r="BR21" s="611"/>
      <c r="BS21" s="611"/>
      <c r="BT21" s="611"/>
      <c r="BU21" s="611"/>
      <c r="BV21" s="611"/>
      <c r="BW21" s="611"/>
      <c r="BX21" s="611"/>
      <c r="BY21" s="611"/>
      <c r="BZ21" s="611"/>
      <c r="CA21" s="611"/>
      <c r="CB21" s="611"/>
      <c r="CC21" s="611"/>
      <c r="CD21" s="611"/>
      <c r="CE21" s="611"/>
      <c r="CF21" s="611"/>
      <c r="CG21" s="611"/>
      <c r="CH21" s="611"/>
      <c r="CI21" s="611"/>
      <c r="CJ21" s="611"/>
      <c r="CK21" s="611"/>
      <c r="CL21" s="611"/>
      <c r="CM21" s="611"/>
      <c r="CN21" s="611"/>
      <c r="CO21" s="611"/>
      <c r="CP21" s="611"/>
      <c r="CQ21" s="611"/>
      <c r="CR21" s="611"/>
      <c r="CS21" s="611"/>
      <c r="CT21" s="611"/>
    </row>
    <row r="22" spans="1:98" ht="13.2">
      <c r="A22" s="612"/>
      <c r="B22" s="2598" t="s">
        <v>536</v>
      </c>
      <c r="C22" s="2599"/>
      <c r="D22" s="2599"/>
      <c r="E22" s="2599"/>
      <c r="F22" s="2599"/>
      <c r="G22" s="2599"/>
      <c r="H22" s="2599"/>
      <c r="I22" s="2599"/>
      <c r="J22" s="2599"/>
      <c r="K22" s="2599"/>
      <c r="L22" s="2599"/>
      <c r="M22" s="2599"/>
      <c r="N22" s="2599"/>
      <c r="O22" s="2599"/>
      <c r="P22" s="2599"/>
      <c r="Q22" s="2599"/>
      <c r="R22" s="2599"/>
      <c r="S22" s="2600"/>
      <c r="T22" s="2635">
        <f>(T20+T21)*-1</f>
        <v>0</v>
      </c>
      <c r="U22" s="2636"/>
      <c r="V22" s="2636"/>
      <c r="W22" s="2636"/>
      <c r="X22" s="2636"/>
      <c r="Y22" s="2635">
        <f>(Y20+Y21)*-1</f>
        <v>0</v>
      </c>
      <c r="Z22" s="2636"/>
      <c r="AA22" s="2636"/>
      <c r="AB22" s="2636"/>
      <c r="AC22" s="2636"/>
      <c r="AD22" s="2637">
        <f>(AD20)*-1</f>
        <v>0</v>
      </c>
      <c r="AE22" s="2638"/>
      <c r="AF22" s="2638"/>
      <c r="AG22" s="2638"/>
      <c r="AH22" s="2635"/>
      <c r="AI22" s="2637">
        <f>(AI20)*-1</f>
        <v>0</v>
      </c>
      <c r="AJ22" s="2638"/>
      <c r="AK22" s="2638"/>
      <c r="AL22" s="2638"/>
      <c r="AM22" s="2635"/>
      <c r="AN22" s="612"/>
      <c r="AO22" s="611"/>
      <c r="AP22" s="611"/>
      <c r="AQ22" s="611"/>
      <c r="AR22" s="611"/>
      <c r="AS22" s="611"/>
      <c r="AT22" s="611"/>
      <c r="AU22" s="611"/>
      <c r="AV22" s="611"/>
      <c r="AW22" s="611"/>
      <c r="AX22" s="611"/>
      <c r="AY22" s="611"/>
      <c r="AZ22" s="611"/>
      <c r="BA22" s="611"/>
      <c r="BB22" s="611"/>
      <c r="BC22" s="611"/>
      <c r="BD22" s="611"/>
      <c r="BE22" s="611"/>
      <c r="BF22" s="611"/>
      <c r="BG22" s="611"/>
      <c r="BH22" s="611"/>
      <c r="BI22" s="611"/>
      <c r="BJ22" s="611"/>
      <c r="BK22" s="611"/>
      <c r="BL22" s="611"/>
      <c r="BM22" s="611"/>
      <c r="BN22" s="611"/>
      <c r="BO22" s="611"/>
      <c r="BP22" s="611"/>
      <c r="BQ22" s="611"/>
      <c r="BR22" s="611"/>
      <c r="BS22" s="611"/>
      <c r="BT22" s="611"/>
      <c r="BU22" s="611"/>
      <c r="BV22" s="611"/>
      <c r="BW22" s="611"/>
      <c r="BX22" s="611"/>
      <c r="BY22" s="611"/>
      <c r="BZ22" s="611"/>
      <c r="CA22" s="611"/>
      <c r="CB22" s="611"/>
      <c r="CC22" s="611"/>
      <c r="CD22" s="611"/>
      <c r="CE22" s="611"/>
      <c r="CF22" s="611"/>
      <c r="CG22" s="611"/>
      <c r="CH22" s="611"/>
      <c r="CI22" s="611"/>
      <c r="CJ22" s="611"/>
      <c r="CK22" s="611"/>
      <c r="CL22" s="611"/>
      <c r="CM22" s="611"/>
      <c r="CN22" s="611"/>
      <c r="CO22" s="611"/>
      <c r="CP22" s="611"/>
      <c r="CQ22" s="611"/>
      <c r="CR22" s="611"/>
      <c r="CS22" s="611"/>
      <c r="CT22" s="611"/>
    </row>
    <row r="23" spans="1:98" ht="13.2">
      <c r="A23" s="613"/>
      <c r="B23" s="2601" t="s">
        <v>537</v>
      </c>
      <c r="C23" s="2602"/>
      <c r="D23" s="2602"/>
      <c r="E23" s="2602"/>
      <c r="F23" s="2602"/>
      <c r="G23" s="2602"/>
      <c r="H23" s="2602"/>
      <c r="I23" s="2602"/>
      <c r="J23" s="2602"/>
      <c r="K23" s="2602"/>
      <c r="L23" s="2602"/>
      <c r="M23" s="2602"/>
      <c r="N23" s="2602"/>
      <c r="O23" s="2602"/>
      <c r="P23" s="2602"/>
      <c r="Q23" s="2602"/>
      <c r="R23" s="2602"/>
      <c r="S23" s="2603"/>
      <c r="T23" s="2591">
        <f>T11+T22</f>
        <v>90226199</v>
      </c>
      <c r="U23" s="2592"/>
      <c r="V23" s="2592"/>
      <c r="W23" s="2592"/>
      <c r="X23" s="2592"/>
      <c r="Y23" s="2591">
        <f>Y11+Y22</f>
        <v>0</v>
      </c>
      <c r="Z23" s="2592"/>
      <c r="AA23" s="2592"/>
      <c r="AB23" s="2592"/>
      <c r="AC23" s="2592"/>
      <c r="AD23" s="2591">
        <f>AD11+AD22</f>
        <v>0</v>
      </c>
      <c r="AE23" s="2592"/>
      <c r="AF23" s="2592"/>
      <c r="AG23" s="2592"/>
      <c r="AH23" s="2592"/>
      <c r="AI23" s="2591">
        <f>AI11+AI22</f>
        <v>0</v>
      </c>
      <c r="AJ23" s="2592"/>
      <c r="AK23" s="2592"/>
      <c r="AL23" s="2592"/>
      <c r="AM23" s="2592"/>
      <c r="AN23" s="612"/>
      <c r="AO23" s="611"/>
      <c r="AP23" s="611"/>
      <c r="AQ23" s="611"/>
      <c r="AR23" s="611"/>
      <c r="AS23" s="611"/>
      <c r="AT23" s="611"/>
      <c r="AU23" s="611"/>
      <c r="AV23" s="611"/>
      <c r="AW23" s="611"/>
      <c r="AX23" s="611"/>
      <c r="AY23" s="611"/>
      <c r="AZ23" s="611"/>
      <c r="BA23" s="611"/>
      <c r="BB23" s="611"/>
      <c r="BC23" s="611"/>
      <c r="BD23" s="611"/>
      <c r="BE23" s="611"/>
      <c r="BF23" s="611"/>
      <c r="BG23" s="611"/>
      <c r="BH23" s="611"/>
      <c r="BI23" s="611"/>
      <c r="BJ23" s="611"/>
      <c r="BK23" s="611"/>
      <c r="BL23" s="611"/>
      <c r="BM23" s="611"/>
      <c r="BN23" s="611"/>
      <c r="BO23" s="611"/>
      <c r="BP23" s="611"/>
      <c r="BQ23" s="611"/>
      <c r="BR23" s="611"/>
      <c r="BS23" s="611"/>
      <c r="BT23" s="611"/>
      <c r="BU23" s="611"/>
      <c r="BV23" s="611"/>
      <c r="BW23" s="611"/>
      <c r="BX23" s="611"/>
      <c r="BY23" s="611"/>
      <c r="BZ23" s="611"/>
      <c r="CA23" s="611"/>
      <c r="CB23" s="611"/>
      <c r="CC23" s="611"/>
      <c r="CD23" s="611"/>
      <c r="CE23" s="611"/>
      <c r="CF23" s="611"/>
      <c r="CG23" s="611"/>
      <c r="CH23" s="611"/>
      <c r="CI23" s="611"/>
      <c r="CJ23" s="611"/>
      <c r="CK23" s="611"/>
      <c r="CL23" s="611"/>
      <c r="CM23" s="611"/>
      <c r="CN23" s="611"/>
      <c r="CO23" s="611"/>
      <c r="CP23" s="611"/>
      <c r="CQ23" s="611"/>
      <c r="CR23" s="611"/>
      <c r="CS23" s="611"/>
      <c r="CT23" s="611"/>
    </row>
    <row r="24" spans="1:98" ht="13.2">
      <c r="A24" s="612"/>
      <c r="B24" s="2598" t="s">
        <v>1038</v>
      </c>
      <c r="C24" s="2599"/>
      <c r="D24" s="2599"/>
      <c r="E24" s="2599"/>
      <c r="F24" s="2599"/>
      <c r="G24" s="2599"/>
      <c r="H24" s="2599"/>
      <c r="I24" s="2599"/>
      <c r="J24" s="2599"/>
      <c r="K24" s="2599"/>
      <c r="L24" s="2599"/>
      <c r="M24" s="2599"/>
      <c r="N24" s="2599"/>
      <c r="O24" s="2599"/>
      <c r="P24" s="2599"/>
      <c r="Q24" s="2599"/>
      <c r="R24" s="2599"/>
      <c r="S24" s="2600"/>
      <c r="T24" s="2593">
        <f>Application!AJ1032</f>
        <v>131231380.70999999</v>
      </c>
      <c r="U24" s="2594"/>
      <c r="V24" s="2594"/>
      <c r="W24" s="2594"/>
      <c r="X24" s="2594"/>
      <c r="Y24" s="2594"/>
      <c r="Z24" s="2594"/>
      <c r="AA24" s="2594"/>
      <c r="AB24" s="2594"/>
      <c r="AC24" s="2594"/>
      <c r="AD24" s="2594"/>
      <c r="AE24" s="2594"/>
      <c r="AF24" s="2594"/>
      <c r="AG24" s="2594"/>
      <c r="AH24" s="2594"/>
      <c r="AI24" s="2594"/>
      <c r="AJ24" s="2594"/>
      <c r="AK24" s="2594"/>
      <c r="AL24" s="2594"/>
      <c r="AM24" s="2591"/>
      <c r="AN24" s="612"/>
      <c r="AO24" s="611"/>
      <c r="AP24" s="611"/>
      <c r="AQ24" s="611"/>
      <c r="AR24" s="611"/>
      <c r="AS24" s="611"/>
      <c r="AT24" s="611"/>
      <c r="AU24" s="611"/>
      <c r="AV24" s="611"/>
      <c r="AW24" s="611"/>
      <c r="AX24" s="611"/>
      <c r="AY24" s="611"/>
      <c r="AZ24" s="611"/>
      <c r="BA24" s="611"/>
      <c r="BB24" s="611"/>
      <c r="BC24" s="611"/>
      <c r="BD24" s="611"/>
      <c r="BE24" s="611"/>
      <c r="BF24" s="611"/>
      <c r="BG24" s="611"/>
      <c r="BH24" s="611"/>
      <c r="BI24" s="611"/>
      <c r="BJ24" s="611"/>
      <c r="BK24" s="611"/>
      <c r="BL24" s="611"/>
      <c r="BM24" s="611"/>
      <c r="BN24" s="611"/>
      <c r="BO24" s="611"/>
      <c r="BP24" s="611"/>
      <c r="BQ24" s="611"/>
      <c r="BR24" s="611"/>
      <c r="BS24" s="611"/>
      <c r="BT24" s="611"/>
      <c r="BU24" s="611"/>
      <c r="BV24" s="611"/>
      <c r="BW24" s="611"/>
      <c r="BX24" s="611"/>
      <c r="BY24" s="611"/>
      <c r="BZ24" s="611"/>
      <c r="CA24" s="611"/>
      <c r="CB24" s="611"/>
      <c r="CC24" s="611"/>
      <c r="CD24" s="611"/>
      <c r="CE24" s="611"/>
      <c r="CF24" s="611"/>
      <c r="CG24" s="611"/>
      <c r="CH24" s="611"/>
      <c r="CI24" s="611"/>
      <c r="CJ24" s="611"/>
      <c r="CK24" s="611"/>
      <c r="CL24" s="611"/>
      <c r="CM24" s="611"/>
      <c r="CN24" s="611"/>
      <c r="CO24" s="611"/>
      <c r="CP24" s="611"/>
      <c r="CQ24" s="611"/>
      <c r="CR24" s="611"/>
      <c r="CS24" s="611"/>
      <c r="CT24" s="611"/>
    </row>
    <row r="25" spans="1:98" ht="13.2">
      <c r="A25" s="612"/>
      <c r="B25" s="2605" t="s">
        <v>1494</v>
      </c>
      <c r="C25" s="2606"/>
      <c r="D25" s="2606"/>
      <c r="E25" s="2606"/>
      <c r="F25" s="2606"/>
      <c r="G25" s="2606"/>
      <c r="H25" s="2606"/>
      <c r="I25" s="2606"/>
      <c r="J25" s="2606"/>
      <c r="K25" s="2606"/>
      <c r="L25" s="2606"/>
      <c r="M25" s="2606"/>
      <c r="N25" s="2606"/>
      <c r="O25" s="2606"/>
      <c r="P25" s="2606"/>
      <c r="Q25" s="2606"/>
      <c r="R25" s="2606"/>
      <c r="S25" s="2607"/>
      <c r="T25" s="2639">
        <f>IF(OR(Application!T195="yes",Application!T194="yes"),1.3,1)</f>
        <v>1.3</v>
      </c>
      <c r="U25" s="2640"/>
      <c r="V25" s="2640"/>
      <c r="W25" s="2640"/>
      <c r="X25" s="2640"/>
      <c r="Y25" s="2639">
        <v>1</v>
      </c>
      <c r="Z25" s="2640"/>
      <c r="AA25" s="2640"/>
      <c r="AB25" s="2640"/>
      <c r="AC25" s="2640"/>
      <c r="AD25" s="2639">
        <v>1</v>
      </c>
      <c r="AE25" s="2640"/>
      <c r="AF25" s="2640"/>
      <c r="AG25" s="2640"/>
      <c r="AH25" s="2641"/>
      <c r="AI25" s="2639">
        <v>1</v>
      </c>
      <c r="AJ25" s="2640"/>
      <c r="AK25" s="2640"/>
      <c r="AL25" s="2640"/>
      <c r="AM25" s="2641"/>
      <c r="AN25" s="612"/>
      <c r="AO25" s="611"/>
      <c r="AP25" s="611"/>
      <c r="AQ25" s="611"/>
      <c r="AR25" s="611"/>
      <c r="AS25" s="611"/>
      <c r="AT25" s="611"/>
      <c r="AU25" s="611"/>
      <c r="AV25" s="611"/>
      <c r="AW25" s="611"/>
      <c r="AX25" s="611"/>
      <c r="AY25" s="611"/>
      <c r="AZ25" s="611"/>
      <c r="BA25" s="611"/>
      <c r="BB25" s="611"/>
      <c r="BC25" s="611"/>
      <c r="BD25" s="611"/>
      <c r="BE25" s="611"/>
      <c r="BF25" s="611"/>
      <c r="BG25" s="611"/>
      <c r="BH25" s="611"/>
      <c r="BI25" s="611"/>
      <c r="BJ25" s="611"/>
      <c r="BK25" s="611"/>
      <c r="BL25" s="611"/>
      <c r="BM25" s="611"/>
      <c r="BN25" s="611"/>
      <c r="BO25" s="611"/>
      <c r="BP25" s="611"/>
      <c r="BQ25" s="611"/>
      <c r="BR25" s="611"/>
      <c r="BS25" s="611"/>
      <c r="BT25" s="611"/>
      <c r="BU25" s="611"/>
      <c r="BV25" s="611"/>
      <c r="BW25" s="611"/>
      <c r="BX25" s="611"/>
      <c r="BY25" s="611"/>
      <c r="BZ25" s="611"/>
      <c r="CA25" s="611"/>
      <c r="CB25" s="611"/>
      <c r="CC25" s="611"/>
      <c r="CD25" s="611"/>
      <c r="CE25" s="611"/>
      <c r="CF25" s="611"/>
      <c r="CG25" s="611"/>
      <c r="CH25" s="611"/>
      <c r="CI25" s="611"/>
      <c r="CJ25" s="611"/>
      <c r="CK25" s="611"/>
      <c r="CL25" s="611"/>
      <c r="CM25" s="611"/>
      <c r="CN25" s="611"/>
      <c r="CO25" s="611"/>
      <c r="CP25" s="611"/>
      <c r="CQ25" s="611"/>
      <c r="CR25" s="611"/>
      <c r="CS25" s="611"/>
      <c r="CT25" s="611"/>
    </row>
    <row r="26" spans="1:98" ht="13.2">
      <c r="A26" s="612"/>
      <c r="B26" s="2598" t="s">
        <v>538</v>
      </c>
      <c r="C26" s="2599"/>
      <c r="D26" s="2599"/>
      <c r="E26" s="2599"/>
      <c r="F26" s="2599"/>
      <c r="G26" s="2599"/>
      <c r="H26" s="2599"/>
      <c r="I26" s="2599"/>
      <c r="J26" s="2599"/>
      <c r="K26" s="2599"/>
      <c r="L26" s="2599"/>
      <c r="M26" s="2599"/>
      <c r="N26" s="2599"/>
      <c r="O26" s="2599"/>
      <c r="P26" s="2599"/>
      <c r="Q26" s="2599"/>
      <c r="R26" s="2599"/>
      <c r="S26" s="2600"/>
      <c r="T26" s="2642">
        <f>T23*T25</f>
        <v>117294058.7</v>
      </c>
      <c r="U26" s="2643"/>
      <c r="V26" s="2643"/>
      <c r="W26" s="2643"/>
      <c r="X26" s="2643"/>
      <c r="Y26" s="2642">
        <f>Y23*Y25</f>
        <v>0</v>
      </c>
      <c r="Z26" s="2643"/>
      <c r="AA26" s="2643"/>
      <c r="AB26" s="2643"/>
      <c r="AC26" s="2643"/>
      <c r="AD26" s="2642">
        <f>AD23*AD25</f>
        <v>0</v>
      </c>
      <c r="AE26" s="2643"/>
      <c r="AF26" s="2643"/>
      <c r="AG26" s="2643"/>
      <c r="AH26" s="2643"/>
      <c r="AI26" s="2642">
        <f>AI23*AI25</f>
        <v>0</v>
      </c>
      <c r="AJ26" s="2643"/>
      <c r="AK26" s="2643"/>
      <c r="AL26" s="2643"/>
      <c r="AM26" s="2643"/>
      <c r="AN26" s="612"/>
      <c r="AO26" s="611"/>
      <c r="AP26" s="611"/>
      <c r="AQ26" s="611"/>
      <c r="AR26" s="611"/>
      <c r="AS26" s="611"/>
      <c r="AT26" s="611"/>
      <c r="AU26" s="611"/>
      <c r="AV26" s="611"/>
      <c r="AW26" s="611"/>
      <c r="AX26" s="611"/>
      <c r="AY26" s="611"/>
      <c r="AZ26" s="611"/>
      <c r="BA26" s="611"/>
      <c r="BB26" s="611"/>
      <c r="BC26" s="611"/>
      <c r="BD26" s="611"/>
      <c r="BE26" s="611"/>
      <c r="BF26" s="611"/>
      <c r="BG26" s="611"/>
      <c r="BH26" s="611"/>
      <c r="BI26" s="611"/>
      <c r="BJ26" s="611"/>
      <c r="BK26" s="611"/>
      <c r="BL26" s="611"/>
      <c r="BM26" s="611"/>
      <c r="BN26" s="611"/>
      <c r="BO26" s="611"/>
      <c r="BP26" s="611"/>
      <c r="BQ26" s="611"/>
      <c r="BR26" s="611"/>
      <c r="BS26" s="611"/>
      <c r="BT26" s="611"/>
      <c r="BU26" s="611"/>
      <c r="BV26" s="611"/>
      <c r="BW26" s="611"/>
      <c r="BX26" s="611"/>
      <c r="BY26" s="611"/>
      <c r="BZ26" s="611"/>
      <c r="CA26" s="611"/>
      <c r="CB26" s="611"/>
      <c r="CC26" s="611"/>
      <c r="CD26" s="611"/>
      <c r="CE26" s="611"/>
      <c r="CF26" s="611"/>
      <c r="CG26" s="611"/>
      <c r="CH26" s="611"/>
      <c r="CI26" s="611"/>
      <c r="CJ26" s="611"/>
      <c r="CK26" s="611"/>
      <c r="CL26" s="611"/>
      <c r="CM26" s="611"/>
      <c r="CN26" s="611"/>
      <c r="CO26" s="611"/>
      <c r="CP26" s="611"/>
      <c r="CQ26" s="611"/>
      <c r="CR26" s="611"/>
      <c r="CS26" s="611"/>
      <c r="CT26" s="611"/>
    </row>
    <row r="27" spans="1:98" ht="13.2">
      <c r="A27" s="624"/>
      <c r="B27" s="2608" t="s">
        <v>447</v>
      </c>
      <c r="C27" s="2609"/>
      <c r="D27" s="2609"/>
      <c r="E27" s="2609"/>
      <c r="F27" s="2609"/>
      <c r="G27" s="2609"/>
      <c r="H27" s="2609"/>
      <c r="I27" s="2609"/>
      <c r="J27" s="2609"/>
      <c r="K27" s="2609"/>
      <c r="L27" s="2609"/>
      <c r="M27" s="2609"/>
      <c r="N27" s="2609"/>
      <c r="O27" s="2609"/>
      <c r="P27" s="2609"/>
      <c r="Q27" s="2609"/>
      <c r="R27" s="2609"/>
      <c r="S27" s="2610"/>
      <c r="T27" s="2619">
        <f>Application!$AG$444</f>
        <v>1</v>
      </c>
      <c r="U27" s="2620"/>
      <c r="V27" s="2620"/>
      <c r="W27" s="2620"/>
      <c r="X27" s="2620"/>
      <c r="Y27" s="2619">
        <f>Application!$AG$444</f>
        <v>1</v>
      </c>
      <c r="Z27" s="2620"/>
      <c r="AA27" s="2620"/>
      <c r="AB27" s="2620"/>
      <c r="AC27" s="2620"/>
      <c r="AD27" s="2619">
        <f>Application!$AG$444</f>
        <v>1</v>
      </c>
      <c r="AE27" s="2620"/>
      <c r="AF27" s="2620"/>
      <c r="AG27" s="2620"/>
      <c r="AH27" s="2620"/>
      <c r="AI27" s="2619">
        <f>Application!$AG$444</f>
        <v>1</v>
      </c>
      <c r="AJ27" s="2620"/>
      <c r="AK27" s="2620"/>
      <c r="AL27" s="2620"/>
      <c r="AM27" s="2620"/>
      <c r="AN27" s="612"/>
      <c r="AO27" s="611"/>
      <c r="AP27" s="611"/>
      <c r="AQ27" s="611"/>
      <c r="AR27" s="611"/>
      <c r="AS27" s="611"/>
      <c r="AT27" s="611"/>
      <c r="AU27" s="611"/>
      <c r="AV27" s="611"/>
      <c r="AW27" s="611"/>
      <c r="AX27" s="611"/>
      <c r="AY27" s="611"/>
      <c r="AZ27" s="611"/>
      <c r="BA27" s="611"/>
      <c r="BB27" s="611"/>
      <c r="BC27" s="611"/>
      <c r="BD27" s="611"/>
      <c r="BE27" s="611"/>
      <c r="BF27" s="611"/>
      <c r="BG27" s="611"/>
      <c r="BH27" s="611"/>
      <c r="BI27" s="611"/>
      <c r="BJ27" s="611"/>
      <c r="BK27" s="611"/>
      <c r="BL27" s="611"/>
      <c r="BM27" s="611"/>
      <c r="BN27" s="611"/>
      <c r="BO27" s="611"/>
      <c r="BP27" s="611"/>
      <c r="BQ27" s="611"/>
      <c r="BR27" s="611"/>
      <c r="BS27" s="611"/>
      <c r="BT27" s="611"/>
      <c r="BU27" s="611"/>
      <c r="BV27" s="611"/>
      <c r="BW27" s="611"/>
      <c r="BX27" s="611"/>
      <c r="BY27" s="611"/>
      <c r="BZ27" s="611"/>
      <c r="CA27" s="611"/>
      <c r="CB27" s="611"/>
      <c r="CC27" s="611"/>
      <c r="CD27" s="611"/>
      <c r="CE27" s="611"/>
      <c r="CF27" s="611"/>
      <c r="CG27" s="611"/>
      <c r="CH27" s="611"/>
      <c r="CI27" s="611"/>
      <c r="CJ27" s="611"/>
      <c r="CK27" s="611"/>
      <c r="CL27" s="611"/>
      <c r="CM27" s="611"/>
      <c r="CN27" s="611"/>
      <c r="CO27" s="611"/>
      <c r="CP27" s="611"/>
      <c r="CQ27" s="611"/>
      <c r="CR27" s="611"/>
      <c r="CS27" s="611"/>
      <c r="CT27" s="611"/>
    </row>
    <row r="28" spans="1:98" ht="12.75" customHeight="1">
      <c r="A28" s="617"/>
      <c r="B28" s="2598" t="s">
        <v>539</v>
      </c>
      <c r="C28" s="2599"/>
      <c r="D28" s="2599"/>
      <c r="E28" s="2599"/>
      <c r="F28" s="2599"/>
      <c r="G28" s="2599"/>
      <c r="H28" s="2599"/>
      <c r="I28" s="2599"/>
      <c r="J28" s="2599"/>
      <c r="K28" s="2599"/>
      <c r="L28" s="2599"/>
      <c r="M28" s="2599"/>
      <c r="N28" s="2599"/>
      <c r="O28" s="2599"/>
      <c r="P28" s="2599"/>
      <c r="Q28" s="2599"/>
      <c r="R28" s="2599"/>
      <c r="S28" s="2600"/>
      <c r="T28" s="2611">
        <f>IF(ISERROR((T26*T27)),0,(T26*T27))</f>
        <v>117294058.7</v>
      </c>
      <c r="U28" s="2612"/>
      <c r="V28" s="2612"/>
      <c r="W28" s="2612"/>
      <c r="X28" s="2612"/>
      <c r="Y28" s="2611">
        <f>IF(ISERROR((Y26*Y27)),0,(Y26*Y27))</f>
        <v>0</v>
      </c>
      <c r="Z28" s="2612"/>
      <c r="AA28" s="2612"/>
      <c r="AB28" s="2612"/>
      <c r="AC28" s="2612"/>
      <c r="AD28" s="2611">
        <f>IF(ISERROR((AD26*AD27)),0,(AD26*AD27))</f>
        <v>0</v>
      </c>
      <c r="AE28" s="2612"/>
      <c r="AF28" s="2612"/>
      <c r="AG28" s="2612"/>
      <c r="AH28" s="2612"/>
      <c r="AI28" s="2611">
        <f>IF(ISERROR((AI26*AI27)),0,(AI26*AI27))</f>
        <v>0</v>
      </c>
      <c r="AJ28" s="2612"/>
      <c r="AK28" s="2612"/>
      <c r="AL28" s="2612"/>
      <c r="AM28" s="2612"/>
      <c r="AN28" s="612"/>
      <c r="AO28" s="611"/>
      <c r="AP28" s="611"/>
      <c r="AQ28" s="611"/>
      <c r="AR28" s="611"/>
      <c r="AS28" s="611"/>
      <c r="AT28" s="611"/>
      <c r="AU28" s="611"/>
      <c r="AV28" s="611"/>
      <c r="AW28" s="611"/>
      <c r="AX28" s="611"/>
      <c r="AY28" s="611"/>
      <c r="AZ28" s="611"/>
      <c r="BA28" s="611"/>
      <c r="BB28" s="611"/>
      <c r="BC28" s="611"/>
      <c r="BD28" s="611"/>
      <c r="BE28" s="611"/>
      <c r="BF28" s="611"/>
      <c r="BG28" s="611"/>
      <c r="BH28" s="611"/>
      <c r="BI28" s="611"/>
      <c r="BJ28" s="611"/>
      <c r="BK28" s="611"/>
      <c r="BL28" s="611"/>
      <c r="BM28" s="611"/>
      <c r="BN28" s="611"/>
      <c r="BO28" s="611"/>
      <c r="BP28" s="611"/>
      <c r="BQ28" s="611"/>
      <c r="BR28" s="611"/>
      <c r="BS28" s="611"/>
      <c r="BT28" s="611"/>
      <c r="BU28" s="611"/>
      <c r="BV28" s="611"/>
      <c r="BW28" s="611"/>
      <c r="BX28" s="611"/>
      <c r="BY28" s="611"/>
      <c r="BZ28" s="611"/>
      <c r="CA28" s="611"/>
      <c r="CB28" s="611"/>
      <c r="CC28" s="611"/>
      <c r="CD28" s="611"/>
      <c r="CE28" s="611"/>
      <c r="CF28" s="611"/>
      <c r="CG28" s="611"/>
      <c r="CH28" s="611"/>
      <c r="CI28" s="611"/>
      <c r="CJ28" s="611"/>
      <c r="CK28" s="611"/>
      <c r="CL28" s="611"/>
      <c r="CM28" s="611"/>
      <c r="CN28" s="611"/>
      <c r="CO28" s="611"/>
      <c r="CP28" s="611"/>
      <c r="CQ28" s="611"/>
      <c r="CR28" s="611"/>
      <c r="CS28" s="611"/>
      <c r="CT28" s="611"/>
    </row>
    <row r="29" spans="1:98" ht="13.2">
      <c r="A29" s="612"/>
      <c r="B29" s="2598" t="s">
        <v>556</v>
      </c>
      <c r="C29" s="2599"/>
      <c r="D29" s="2599"/>
      <c r="E29" s="2599"/>
      <c r="F29" s="2599"/>
      <c r="G29" s="2599"/>
      <c r="H29" s="2599"/>
      <c r="I29" s="2599"/>
      <c r="J29" s="2599"/>
      <c r="K29" s="2599"/>
      <c r="L29" s="2599"/>
      <c r="M29" s="2599"/>
      <c r="N29" s="2599"/>
      <c r="O29" s="2599"/>
      <c r="P29" s="2599"/>
      <c r="Q29" s="2599"/>
      <c r="R29" s="2599"/>
      <c r="S29" s="2600"/>
      <c r="T29" s="2593">
        <f>T28+Y28+AD28+AI28</f>
        <v>117294058.7</v>
      </c>
      <c r="U29" s="2594"/>
      <c r="V29" s="2594"/>
      <c r="W29" s="2594"/>
      <c r="X29" s="2594"/>
      <c r="Y29" s="2594"/>
      <c r="Z29" s="2594"/>
      <c r="AA29" s="2594"/>
      <c r="AB29" s="2594"/>
      <c r="AC29" s="2594"/>
      <c r="AD29" s="2594"/>
      <c r="AE29" s="2594"/>
      <c r="AF29" s="2594"/>
      <c r="AG29" s="2594"/>
      <c r="AH29" s="2594"/>
      <c r="AI29" s="2594"/>
      <c r="AJ29" s="2594"/>
      <c r="AK29" s="2594"/>
      <c r="AL29" s="2594"/>
      <c r="AM29" s="2591"/>
      <c r="AN29" s="612"/>
      <c r="AO29" s="611"/>
      <c r="AP29" s="611"/>
      <c r="AQ29" s="611"/>
      <c r="AR29" s="611"/>
      <c r="AS29" s="611"/>
      <c r="AT29" s="611"/>
      <c r="AU29" s="611"/>
      <c r="AV29" s="611"/>
      <c r="AW29" s="611"/>
      <c r="AX29" s="611"/>
      <c r="AY29" s="611"/>
      <c r="AZ29" s="611"/>
      <c r="BA29" s="611"/>
      <c r="BB29" s="611"/>
      <c r="BC29" s="611"/>
      <c r="BD29" s="611"/>
      <c r="BE29" s="611"/>
      <c r="BF29" s="611"/>
      <c r="BG29" s="611"/>
      <c r="BH29" s="611"/>
      <c r="BI29" s="611"/>
      <c r="BJ29" s="611"/>
      <c r="BK29" s="611"/>
      <c r="BL29" s="611"/>
      <c r="BM29" s="611"/>
      <c r="BN29" s="611"/>
      <c r="BO29" s="611"/>
      <c r="BP29" s="611"/>
      <c r="BQ29" s="611"/>
      <c r="BR29" s="611"/>
      <c r="BS29" s="611"/>
      <c r="BT29" s="611"/>
      <c r="BU29" s="611"/>
      <c r="BV29" s="611"/>
      <c r="BW29" s="611"/>
      <c r="BX29" s="611"/>
      <c r="BY29" s="611"/>
      <c r="BZ29" s="611"/>
      <c r="CA29" s="611"/>
      <c r="CB29" s="611"/>
      <c r="CC29" s="611"/>
      <c r="CD29" s="611"/>
      <c r="CE29" s="611"/>
      <c r="CF29" s="611"/>
      <c r="CG29" s="611"/>
      <c r="CH29" s="611"/>
      <c r="CI29" s="611"/>
      <c r="CJ29" s="611"/>
      <c r="CK29" s="611"/>
      <c r="CL29" s="611"/>
      <c r="CM29" s="611"/>
      <c r="CN29" s="611"/>
      <c r="CO29" s="611"/>
      <c r="CP29" s="611"/>
      <c r="CQ29" s="611"/>
      <c r="CR29" s="611"/>
      <c r="CS29" s="611"/>
      <c r="CT29" s="611"/>
    </row>
    <row r="30" spans="1:98" ht="12.75" customHeight="1">
      <c r="A30" s="612"/>
      <c r="B30" s="2604" t="s">
        <v>1496</v>
      </c>
      <c r="C30" s="2604"/>
      <c r="D30" s="2604"/>
      <c r="E30" s="2604"/>
      <c r="F30" s="2604"/>
      <c r="G30" s="2604"/>
      <c r="H30" s="2604"/>
      <c r="I30" s="2604"/>
      <c r="J30" s="2604"/>
      <c r="K30" s="2604"/>
      <c r="L30" s="2604"/>
      <c r="M30" s="2604"/>
      <c r="N30" s="2604"/>
      <c r="O30" s="2604"/>
      <c r="P30" s="2604"/>
      <c r="Q30" s="2604"/>
      <c r="R30" s="2604"/>
      <c r="S30" s="2604"/>
      <c r="T30" s="2604"/>
      <c r="U30" s="2604"/>
      <c r="V30" s="2604"/>
      <c r="W30" s="2604"/>
      <c r="X30" s="2604"/>
      <c r="Y30" s="2604"/>
      <c r="Z30" s="2604"/>
      <c r="AA30" s="2604"/>
      <c r="AB30" s="2604"/>
      <c r="AC30" s="2604"/>
      <c r="AD30" s="2604"/>
      <c r="AE30" s="2604"/>
      <c r="AF30" s="2604"/>
      <c r="AG30" s="2604"/>
      <c r="AH30" s="2604"/>
      <c r="AI30" s="2604"/>
      <c r="AJ30" s="2604"/>
      <c r="AK30" s="2604"/>
      <c r="AL30" s="2604"/>
      <c r="AM30" s="2604"/>
      <c r="AN30" s="612"/>
      <c r="AO30" s="611"/>
      <c r="AP30" s="611"/>
      <c r="AQ30" s="611"/>
      <c r="AR30" s="611"/>
      <c r="AS30" s="611"/>
      <c r="AT30" s="611"/>
      <c r="AU30" s="611"/>
      <c r="AV30" s="611"/>
      <c r="AW30" s="611"/>
      <c r="AX30" s="611"/>
      <c r="AY30" s="611"/>
      <c r="AZ30" s="611"/>
      <c r="BA30" s="611"/>
      <c r="BB30" s="611"/>
      <c r="BC30" s="611"/>
      <c r="BD30" s="611"/>
      <c r="BE30" s="611"/>
      <c r="BF30" s="611"/>
      <c r="BG30" s="611"/>
      <c r="BH30" s="611"/>
      <c r="BI30" s="611"/>
      <c r="BJ30" s="611"/>
      <c r="BK30" s="611"/>
      <c r="BL30" s="611"/>
      <c r="BM30" s="611"/>
      <c r="BN30" s="611"/>
      <c r="BO30" s="611"/>
      <c r="BP30" s="611"/>
      <c r="BQ30" s="611"/>
      <c r="BR30" s="611"/>
      <c r="BS30" s="611"/>
      <c r="BT30" s="611"/>
      <c r="BU30" s="611"/>
      <c r="BV30" s="611"/>
      <c r="BW30" s="611"/>
      <c r="BX30" s="611"/>
      <c r="BY30" s="611"/>
      <c r="BZ30" s="611"/>
      <c r="CA30" s="611"/>
      <c r="CB30" s="611"/>
      <c r="CC30" s="611"/>
      <c r="CD30" s="611"/>
      <c r="CE30" s="611"/>
      <c r="CF30" s="611"/>
      <c r="CG30" s="611"/>
      <c r="CH30" s="611"/>
      <c r="CI30" s="611"/>
      <c r="CJ30" s="611"/>
      <c r="CK30" s="611"/>
      <c r="CL30" s="611"/>
      <c r="CM30" s="611"/>
      <c r="CN30" s="611"/>
      <c r="CO30" s="611"/>
      <c r="CP30" s="611"/>
      <c r="CQ30" s="611"/>
      <c r="CR30" s="611"/>
      <c r="CS30" s="611"/>
      <c r="CT30" s="611"/>
    </row>
    <row r="31" spans="1:98" s="666" customFormat="1" ht="12.75" customHeight="1">
      <c r="A31" s="621"/>
      <c r="B31" s="2604" t="s">
        <v>1495</v>
      </c>
      <c r="C31" s="2604"/>
      <c r="D31" s="2604"/>
      <c r="E31" s="2604"/>
      <c r="F31" s="2604"/>
      <c r="G31" s="2604"/>
      <c r="H31" s="2604"/>
      <c r="I31" s="2604"/>
      <c r="J31" s="2604"/>
      <c r="K31" s="2604"/>
      <c r="L31" s="2604"/>
      <c r="M31" s="2604"/>
      <c r="N31" s="2604"/>
      <c r="O31" s="2604"/>
      <c r="P31" s="2604"/>
      <c r="Q31" s="2604"/>
      <c r="R31" s="2604"/>
      <c r="S31" s="2604"/>
      <c r="T31" s="2604"/>
      <c r="U31" s="2604"/>
      <c r="V31" s="2604"/>
      <c r="W31" s="2604"/>
      <c r="X31" s="2604"/>
      <c r="Y31" s="2604"/>
      <c r="Z31" s="2604"/>
      <c r="AA31" s="2604"/>
      <c r="AB31" s="2604"/>
      <c r="AC31" s="2604"/>
      <c r="AD31" s="2604"/>
      <c r="AE31" s="2604"/>
      <c r="AF31" s="2604"/>
      <c r="AG31" s="2604"/>
      <c r="AH31" s="2604"/>
      <c r="AI31" s="2604"/>
      <c r="AJ31" s="2604"/>
      <c r="AK31" s="2604"/>
      <c r="AL31" s="2604"/>
      <c r="AM31" s="2604"/>
      <c r="AN31" s="881"/>
      <c r="AO31" s="667"/>
      <c r="AP31" s="667"/>
      <c r="AQ31" s="667"/>
      <c r="AR31" s="667"/>
      <c r="AS31" s="667"/>
      <c r="AT31" s="667"/>
      <c r="AU31" s="667"/>
      <c r="AV31" s="667"/>
      <c r="AW31" s="667"/>
      <c r="AX31" s="667"/>
      <c r="AY31" s="667"/>
      <c r="AZ31" s="667"/>
      <c r="BA31" s="667"/>
      <c r="BB31" s="667"/>
      <c r="BC31" s="667"/>
      <c r="BD31" s="667"/>
      <c r="BE31" s="667"/>
      <c r="BF31" s="667"/>
      <c r="BG31" s="667"/>
      <c r="BH31" s="667"/>
      <c r="BI31" s="667"/>
      <c r="BJ31" s="667"/>
      <c r="BK31" s="667"/>
      <c r="BL31" s="667"/>
      <c r="BM31" s="667"/>
      <c r="BN31" s="667"/>
      <c r="BO31" s="667"/>
      <c r="BP31" s="667"/>
      <c r="BQ31" s="667"/>
      <c r="BR31" s="667"/>
      <c r="BS31" s="667"/>
      <c r="BT31" s="667"/>
      <c r="BU31" s="667"/>
      <c r="BV31" s="667"/>
      <c r="BW31" s="667"/>
      <c r="BX31" s="667"/>
      <c r="BY31" s="667"/>
      <c r="BZ31" s="667"/>
      <c r="CA31" s="667"/>
      <c r="CB31" s="667"/>
      <c r="CC31" s="667"/>
      <c r="CD31" s="667"/>
      <c r="CE31" s="667"/>
      <c r="CF31" s="667"/>
      <c r="CG31" s="667"/>
      <c r="CH31" s="667"/>
      <c r="CI31" s="667"/>
      <c r="CJ31" s="667"/>
      <c r="CK31" s="667"/>
      <c r="CL31" s="667"/>
      <c r="CM31" s="667"/>
      <c r="CN31" s="667"/>
      <c r="CO31" s="667"/>
      <c r="CP31" s="667"/>
      <c r="CQ31" s="667"/>
      <c r="CR31" s="667"/>
      <c r="CS31" s="667"/>
      <c r="CT31" s="667"/>
    </row>
    <row r="32" spans="1:98" ht="13.2">
      <c r="A32" s="612"/>
      <c r="B32" s="663"/>
      <c r="C32" s="857" t="s">
        <v>405</v>
      </c>
      <c r="D32" s="663"/>
      <c r="E32" s="663"/>
      <c r="F32" s="663"/>
      <c r="G32" s="663"/>
      <c r="H32" s="663"/>
      <c r="I32" s="663"/>
      <c r="J32" s="663"/>
      <c r="K32" s="663"/>
      <c r="L32" s="663"/>
      <c r="M32" s="663"/>
      <c r="N32" s="663"/>
      <c r="O32" s="663"/>
      <c r="P32" s="663"/>
      <c r="Q32" s="663"/>
      <c r="R32" s="663"/>
      <c r="S32" s="663"/>
      <c r="T32" s="663"/>
      <c r="U32" s="663"/>
      <c r="V32" s="663"/>
      <c r="W32" s="663"/>
      <c r="X32" s="663"/>
      <c r="Y32" s="663"/>
      <c r="Z32" s="663"/>
      <c r="AA32" s="663"/>
      <c r="AB32" s="663"/>
      <c r="AC32" s="663"/>
      <c r="AD32" s="663"/>
      <c r="AE32" s="663"/>
      <c r="AF32" s="663"/>
      <c r="AG32" s="663"/>
      <c r="AH32" s="663"/>
      <c r="AI32" s="663"/>
      <c r="AJ32" s="663"/>
      <c r="AK32" s="663"/>
      <c r="AL32" s="663"/>
      <c r="AM32" s="663"/>
      <c r="AN32" s="612"/>
      <c r="AO32" s="611"/>
      <c r="AP32" s="611"/>
      <c r="AQ32" s="611"/>
      <c r="AR32" s="611"/>
      <c r="AS32" s="611"/>
      <c r="AT32" s="611"/>
      <c r="AU32" s="611"/>
      <c r="AV32" s="611"/>
      <c r="AW32" s="611"/>
      <c r="AX32" s="611"/>
      <c r="AY32" s="611"/>
      <c r="AZ32" s="611"/>
      <c r="BA32" s="611"/>
      <c r="BB32" s="611"/>
      <c r="BC32" s="611"/>
      <c r="BD32" s="611"/>
      <c r="BE32" s="611"/>
      <c r="BF32" s="611"/>
      <c r="BG32" s="611"/>
      <c r="BH32" s="611"/>
      <c r="BI32" s="611"/>
      <c r="BJ32" s="611"/>
      <c r="BK32" s="611"/>
      <c r="BL32" s="611"/>
      <c r="BM32" s="611"/>
      <c r="BN32" s="611"/>
      <c r="BO32" s="611"/>
      <c r="BP32" s="611"/>
      <c r="BQ32" s="611"/>
      <c r="BR32" s="611"/>
      <c r="BS32" s="611"/>
      <c r="BT32" s="611"/>
      <c r="BU32" s="611"/>
      <c r="BV32" s="611"/>
      <c r="BW32" s="611"/>
      <c r="BX32" s="611"/>
      <c r="BY32" s="611"/>
      <c r="BZ32" s="611"/>
      <c r="CA32" s="611"/>
      <c r="CB32" s="611"/>
      <c r="CC32" s="611"/>
      <c r="CD32" s="611"/>
      <c r="CE32" s="611"/>
      <c r="CF32" s="611"/>
      <c r="CG32" s="611"/>
      <c r="CH32" s="611"/>
      <c r="CI32" s="611"/>
      <c r="CJ32" s="611"/>
      <c r="CK32" s="611"/>
      <c r="CL32" s="611"/>
      <c r="CM32" s="611"/>
      <c r="CN32" s="611"/>
      <c r="CO32" s="611"/>
      <c r="CP32" s="611"/>
      <c r="CQ32" s="611"/>
      <c r="CR32" s="611"/>
      <c r="CS32" s="611"/>
      <c r="CT32" s="611"/>
    </row>
    <row r="33" spans="1:98" ht="13.2">
      <c r="A33" s="612"/>
      <c r="B33" s="612"/>
      <c r="C33" s="612"/>
      <c r="D33" s="612"/>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c r="AE33" s="612"/>
      <c r="AF33" s="612"/>
      <c r="AG33" s="612"/>
      <c r="AH33" s="612"/>
      <c r="AI33" s="612"/>
      <c r="AJ33" s="612"/>
      <c r="AK33" s="612"/>
      <c r="AL33" s="612"/>
      <c r="AM33" s="612"/>
      <c r="AN33" s="612"/>
      <c r="AO33" s="611"/>
      <c r="AP33" s="611"/>
      <c r="AQ33" s="611"/>
      <c r="AR33" s="611"/>
      <c r="AS33" s="611"/>
      <c r="AT33" s="611"/>
      <c r="AU33" s="611"/>
      <c r="AV33" s="611"/>
      <c r="AW33" s="611"/>
      <c r="AX33" s="611"/>
      <c r="AY33" s="611"/>
      <c r="AZ33" s="611"/>
      <c r="BA33" s="611"/>
      <c r="BB33" s="611"/>
      <c r="BC33" s="611"/>
      <c r="BD33" s="611"/>
      <c r="BE33" s="611"/>
      <c r="BF33" s="611"/>
      <c r="BG33" s="611"/>
      <c r="BH33" s="611"/>
      <c r="BI33" s="611"/>
      <c r="BJ33" s="611"/>
      <c r="BK33" s="611"/>
      <c r="BL33" s="611"/>
      <c r="BM33" s="611"/>
      <c r="BN33" s="611"/>
      <c r="BO33" s="611"/>
      <c r="BP33" s="611"/>
      <c r="BQ33" s="611"/>
      <c r="BR33" s="611"/>
      <c r="BS33" s="611"/>
      <c r="BT33" s="611"/>
      <c r="BU33" s="611"/>
      <c r="BV33" s="611"/>
      <c r="BW33" s="611"/>
      <c r="BX33" s="611"/>
      <c r="BY33" s="611"/>
      <c r="BZ33" s="611"/>
      <c r="CA33" s="611"/>
      <c r="CB33" s="611"/>
      <c r="CC33" s="611"/>
      <c r="CD33" s="611"/>
      <c r="CE33" s="611"/>
      <c r="CF33" s="611"/>
      <c r="CG33" s="611"/>
      <c r="CH33" s="611"/>
      <c r="CI33" s="611"/>
      <c r="CJ33" s="611"/>
      <c r="CK33" s="611"/>
      <c r="CL33" s="611"/>
      <c r="CM33" s="611"/>
      <c r="CN33" s="611"/>
      <c r="CO33" s="611"/>
      <c r="CP33" s="611"/>
      <c r="CQ33" s="611"/>
      <c r="CR33" s="611"/>
      <c r="CS33" s="611"/>
      <c r="CT33" s="611"/>
    </row>
    <row r="34" spans="1:98" ht="13.2">
      <c r="A34" s="617" t="s">
        <v>611</v>
      </c>
      <c r="B34" s="612"/>
      <c r="C34" s="617" t="s">
        <v>601</v>
      </c>
      <c r="D34" s="612"/>
      <c r="E34" s="612"/>
      <c r="F34" s="612"/>
      <c r="G34" s="612"/>
      <c r="H34" s="612"/>
      <c r="I34" s="612"/>
      <c r="J34" s="612"/>
      <c r="K34" s="612"/>
      <c r="L34" s="612"/>
      <c r="M34" s="612"/>
      <c r="N34" s="612"/>
      <c r="O34" s="612"/>
      <c r="P34" s="612"/>
      <c r="Q34" s="612"/>
      <c r="R34" s="612"/>
      <c r="S34" s="612"/>
      <c r="T34" s="612"/>
      <c r="U34" s="612"/>
      <c r="V34" s="612"/>
      <c r="W34" s="612"/>
      <c r="X34" s="612"/>
      <c r="Y34" s="612"/>
      <c r="Z34" s="612"/>
      <c r="AA34" s="612"/>
      <c r="AB34" s="612"/>
      <c r="AC34" s="612"/>
      <c r="AD34" s="612"/>
      <c r="AE34" s="612"/>
      <c r="AF34" s="612"/>
      <c r="AG34" s="612"/>
      <c r="AH34" s="612"/>
      <c r="AI34" s="612"/>
      <c r="AJ34" s="612"/>
      <c r="AK34" s="612"/>
      <c r="AL34" s="612"/>
      <c r="AM34" s="612"/>
      <c r="AN34" s="612"/>
      <c r="AO34" s="611"/>
      <c r="AP34" s="611"/>
      <c r="AQ34" s="611"/>
      <c r="AR34" s="611"/>
      <c r="AS34" s="611"/>
      <c r="AT34" s="611"/>
      <c r="AU34" s="611"/>
      <c r="AV34" s="611"/>
      <c r="AW34" s="611"/>
      <c r="AX34" s="611"/>
      <c r="AY34" s="611"/>
      <c r="AZ34" s="611"/>
      <c r="BA34" s="611"/>
      <c r="BB34" s="611"/>
      <c r="BC34" s="611"/>
      <c r="BD34" s="611"/>
      <c r="BE34" s="611"/>
      <c r="BF34" s="611"/>
      <c r="BG34" s="611"/>
      <c r="BH34" s="611"/>
      <c r="BI34" s="611"/>
      <c r="BJ34" s="611"/>
      <c r="BK34" s="611"/>
      <c r="BL34" s="611"/>
      <c r="BM34" s="611"/>
      <c r="BN34" s="611"/>
      <c r="BO34" s="611"/>
      <c r="BP34" s="611"/>
      <c r="BQ34" s="611"/>
      <c r="BR34" s="611"/>
      <c r="BS34" s="611"/>
      <c r="BT34" s="611"/>
      <c r="BU34" s="611"/>
      <c r="BV34" s="611"/>
      <c r="BW34" s="611"/>
      <c r="BX34" s="611"/>
      <c r="BY34" s="611"/>
      <c r="BZ34" s="611"/>
      <c r="CA34" s="611"/>
      <c r="CB34" s="611"/>
      <c r="CC34" s="611"/>
      <c r="CD34" s="611"/>
      <c r="CE34" s="611"/>
      <c r="CF34" s="611"/>
      <c r="CG34" s="611"/>
      <c r="CH34" s="611"/>
      <c r="CI34" s="611"/>
      <c r="CJ34" s="611"/>
      <c r="CK34" s="611"/>
      <c r="CL34" s="611"/>
      <c r="CM34" s="611"/>
      <c r="CN34" s="611"/>
      <c r="CO34" s="611"/>
      <c r="CP34" s="611"/>
      <c r="CQ34" s="611"/>
      <c r="CR34" s="611"/>
      <c r="CS34" s="611"/>
      <c r="CT34" s="611"/>
    </row>
    <row r="35" spans="1:98" ht="12.75" customHeight="1">
      <c r="A35" s="612"/>
      <c r="B35" s="618"/>
      <c r="C35" s="619"/>
      <c r="D35" s="619"/>
      <c r="E35" s="619"/>
      <c r="F35" s="619"/>
      <c r="G35" s="619"/>
      <c r="H35" s="619"/>
      <c r="I35" s="619"/>
      <c r="J35" s="619"/>
      <c r="K35" s="619"/>
      <c r="L35" s="619"/>
      <c r="M35" s="619"/>
      <c r="N35" s="619"/>
      <c r="O35" s="619"/>
      <c r="P35" s="619"/>
      <c r="Q35" s="619"/>
      <c r="R35" s="619"/>
      <c r="S35" s="619"/>
      <c r="T35" s="619"/>
      <c r="U35" s="619"/>
      <c r="V35" s="619"/>
      <c r="W35" s="619"/>
      <c r="X35" s="625"/>
      <c r="Y35" s="2630" t="s">
        <v>1344</v>
      </c>
      <c r="Z35" s="2630"/>
      <c r="AA35" s="2630"/>
      <c r="AB35" s="2630"/>
      <c r="AC35" s="2630"/>
      <c r="AD35" s="2656" t="s">
        <v>380</v>
      </c>
      <c r="AE35" s="2656"/>
      <c r="AF35" s="2656"/>
      <c r="AG35" s="2656"/>
      <c r="AH35" s="2656"/>
      <c r="AI35" s="612"/>
      <c r="AJ35" s="612"/>
      <c r="AK35" s="612"/>
      <c r="AL35" s="612"/>
      <c r="AM35" s="612"/>
      <c r="AN35" s="612"/>
      <c r="AO35" s="611"/>
      <c r="AP35" s="611"/>
      <c r="AQ35" s="611"/>
      <c r="AR35" s="611"/>
      <c r="AS35" s="611"/>
      <c r="AT35" s="611"/>
      <c r="AU35" s="611"/>
      <c r="AV35" s="611"/>
      <c r="AW35" s="611"/>
      <c r="AX35" s="611"/>
      <c r="AY35" s="611"/>
      <c r="AZ35" s="611"/>
      <c r="BA35" s="611"/>
      <c r="BB35" s="611"/>
      <c r="BC35" s="611"/>
      <c r="BD35" s="611"/>
      <c r="BE35" s="611"/>
      <c r="BF35" s="611"/>
      <c r="BG35" s="611"/>
      <c r="BH35" s="611"/>
      <c r="BI35" s="611"/>
      <c r="BJ35" s="611"/>
      <c r="BK35" s="611"/>
      <c r="BL35" s="611"/>
      <c r="BM35" s="611"/>
      <c r="BN35" s="611"/>
      <c r="BO35" s="611"/>
      <c r="BP35" s="611"/>
      <c r="BQ35" s="611"/>
      <c r="BR35" s="611"/>
      <c r="BS35" s="611"/>
      <c r="BT35" s="611"/>
      <c r="BU35" s="611"/>
      <c r="BV35" s="611"/>
      <c r="BW35" s="611"/>
      <c r="BX35" s="611"/>
      <c r="BY35" s="611"/>
      <c r="BZ35" s="611"/>
      <c r="CA35" s="611"/>
      <c r="CB35" s="611"/>
      <c r="CC35" s="611"/>
      <c r="CD35" s="611"/>
      <c r="CE35" s="611"/>
      <c r="CF35" s="611"/>
      <c r="CG35" s="611"/>
      <c r="CH35" s="611"/>
      <c r="CI35" s="611"/>
      <c r="CJ35" s="611"/>
      <c r="CK35" s="611"/>
      <c r="CL35" s="611"/>
      <c r="CM35" s="611"/>
      <c r="CN35" s="611"/>
      <c r="CO35" s="611"/>
      <c r="CP35" s="611"/>
      <c r="CQ35" s="611"/>
      <c r="CR35" s="611"/>
      <c r="CS35" s="611"/>
      <c r="CT35" s="611"/>
    </row>
    <row r="36" spans="1:98" ht="12.75" customHeight="1">
      <c r="A36" s="612"/>
      <c r="B36" s="620"/>
      <c r="C36" s="621"/>
      <c r="D36" s="621"/>
      <c r="E36" s="621"/>
      <c r="F36" s="621"/>
      <c r="G36" s="621"/>
      <c r="H36" s="621"/>
      <c r="I36" s="621"/>
      <c r="J36" s="621"/>
      <c r="K36" s="621"/>
      <c r="L36" s="621"/>
      <c r="M36" s="621"/>
      <c r="N36" s="621"/>
      <c r="O36" s="621"/>
      <c r="P36" s="621"/>
      <c r="Q36" s="621"/>
      <c r="R36" s="621"/>
      <c r="S36" s="621"/>
      <c r="T36" s="621"/>
      <c r="U36" s="621"/>
      <c r="V36" s="621"/>
      <c r="W36" s="621"/>
      <c r="X36" s="626"/>
      <c r="Y36" s="2630"/>
      <c r="Z36" s="2630"/>
      <c r="AA36" s="2630"/>
      <c r="AB36" s="2630"/>
      <c r="AC36" s="2630"/>
      <c r="AD36" s="2656"/>
      <c r="AE36" s="2656"/>
      <c r="AF36" s="2656"/>
      <c r="AG36" s="2656"/>
      <c r="AH36" s="2656"/>
      <c r="AI36" s="612"/>
      <c r="AJ36" s="612"/>
      <c r="AK36" s="612"/>
      <c r="AL36" s="612"/>
      <c r="AM36" s="612"/>
      <c r="AN36" s="612"/>
      <c r="AO36" s="611"/>
      <c r="AP36" s="611"/>
      <c r="AQ36" s="611"/>
      <c r="AR36" s="611"/>
      <c r="AS36" s="611"/>
      <c r="AT36" s="611"/>
      <c r="AU36" s="611"/>
      <c r="AV36" s="611"/>
      <c r="AW36" s="611"/>
      <c r="AX36" s="611"/>
      <c r="AY36" s="611"/>
      <c r="AZ36" s="611"/>
      <c r="BA36" s="611"/>
      <c r="BB36" s="611"/>
      <c r="BC36" s="611"/>
      <c r="BD36" s="611"/>
      <c r="BE36" s="611"/>
      <c r="BF36" s="611"/>
      <c r="BG36" s="611"/>
      <c r="BH36" s="611"/>
      <c r="BI36" s="611"/>
      <c r="BJ36" s="611"/>
      <c r="BK36" s="611"/>
      <c r="BL36" s="611"/>
      <c r="BM36" s="611"/>
      <c r="BN36" s="611"/>
      <c r="BO36" s="611"/>
      <c r="BP36" s="611"/>
      <c r="BQ36" s="611"/>
      <c r="BR36" s="611"/>
      <c r="BS36" s="611"/>
      <c r="BT36" s="611"/>
      <c r="BU36" s="611"/>
      <c r="BV36" s="611"/>
      <c r="BW36" s="611"/>
      <c r="BX36" s="611"/>
      <c r="BY36" s="611"/>
      <c r="BZ36" s="611"/>
      <c r="CA36" s="611"/>
      <c r="CB36" s="611"/>
      <c r="CC36" s="611"/>
      <c r="CD36" s="611"/>
      <c r="CE36" s="611"/>
      <c r="CF36" s="611"/>
      <c r="CG36" s="611"/>
      <c r="CH36" s="611"/>
      <c r="CI36" s="611"/>
      <c r="CJ36" s="611"/>
      <c r="CK36" s="611"/>
      <c r="CL36" s="611"/>
      <c r="CM36" s="611"/>
      <c r="CN36" s="611"/>
      <c r="CO36" s="611"/>
      <c r="CP36" s="611"/>
      <c r="CQ36" s="611"/>
      <c r="CR36" s="611"/>
      <c r="CS36" s="611"/>
      <c r="CT36" s="611"/>
    </row>
    <row r="37" spans="1:98" ht="13.2">
      <c r="A37" s="612"/>
      <c r="B37" s="622"/>
      <c r="C37" s="623"/>
      <c r="D37" s="623"/>
      <c r="E37" s="623"/>
      <c r="F37" s="623"/>
      <c r="G37" s="623"/>
      <c r="H37" s="623"/>
      <c r="I37" s="623"/>
      <c r="J37" s="623"/>
      <c r="K37" s="623"/>
      <c r="L37" s="623"/>
      <c r="M37" s="623"/>
      <c r="N37" s="623"/>
      <c r="O37" s="623"/>
      <c r="P37" s="623"/>
      <c r="Q37" s="623"/>
      <c r="R37" s="623"/>
      <c r="S37" s="623"/>
      <c r="T37" s="623"/>
      <c r="U37" s="623"/>
      <c r="V37" s="623"/>
      <c r="W37" s="623"/>
      <c r="X37" s="627"/>
      <c r="Y37" s="2630"/>
      <c r="Z37" s="2630"/>
      <c r="AA37" s="2630"/>
      <c r="AB37" s="2630"/>
      <c r="AC37" s="2630"/>
      <c r="AD37" s="2656"/>
      <c r="AE37" s="2656"/>
      <c r="AF37" s="2656"/>
      <c r="AG37" s="2656"/>
      <c r="AH37" s="2656"/>
      <c r="AI37" s="612"/>
      <c r="AJ37" s="612"/>
      <c r="AK37" s="612"/>
      <c r="AL37" s="612"/>
      <c r="AM37" s="612"/>
      <c r="AN37" s="612"/>
      <c r="AO37" s="611"/>
      <c r="AP37" s="611"/>
      <c r="AQ37" s="611"/>
      <c r="AR37" s="611"/>
      <c r="AS37" s="611"/>
      <c r="AT37" s="611"/>
      <c r="AU37" s="611"/>
      <c r="AV37" s="611"/>
      <c r="AW37" s="611"/>
      <c r="AX37" s="611"/>
      <c r="AY37" s="611"/>
      <c r="AZ37" s="611"/>
      <c r="BA37" s="611"/>
      <c r="BB37" s="611"/>
      <c r="BC37" s="611"/>
      <c r="BD37" s="611"/>
      <c r="BE37" s="611"/>
      <c r="BF37" s="611"/>
      <c r="BG37" s="611"/>
      <c r="BH37" s="611"/>
      <c r="BI37" s="611"/>
      <c r="BJ37" s="611"/>
      <c r="BK37" s="611"/>
      <c r="BL37" s="611"/>
      <c r="BM37" s="611"/>
      <c r="BN37" s="611"/>
      <c r="BO37" s="611"/>
      <c r="BP37" s="611"/>
      <c r="BQ37" s="611"/>
      <c r="BR37" s="611"/>
      <c r="BS37" s="611"/>
      <c r="BT37" s="611"/>
      <c r="BU37" s="611"/>
      <c r="BV37" s="611"/>
      <c r="BW37" s="611"/>
      <c r="BX37" s="611"/>
      <c r="BY37" s="611"/>
      <c r="BZ37" s="611"/>
      <c r="CA37" s="611"/>
      <c r="CB37" s="611"/>
      <c r="CC37" s="611"/>
      <c r="CD37" s="611"/>
      <c r="CE37" s="611"/>
      <c r="CF37" s="611"/>
      <c r="CG37" s="611"/>
      <c r="CH37" s="611"/>
      <c r="CI37" s="611"/>
      <c r="CJ37" s="611"/>
      <c r="CK37" s="611"/>
      <c r="CL37" s="611"/>
      <c r="CM37" s="611"/>
      <c r="CN37" s="611"/>
      <c r="CO37" s="611"/>
      <c r="CP37" s="611"/>
      <c r="CQ37" s="611"/>
      <c r="CR37" s="611"/>
      <c r="CS37" s="611"/>
      <c r="CT37" s="611"/>
    </row>
    <row r="38" spans="1:98" ht="12.75" customHeight="1">
      <c r="A38" s="617"/>
      <c r="B38" s="2598" t="s">
        <v>539</v>
      </c>
      <c r="C38" s="2599"/>
      <c r="D38" s="2599"/>
      <c r="E38" s="2599"/>
      <c r="F38" s="2599"/>
      <c r="G38" s="2599"/>
      <c r="H38" s="2599"/>
      <c r="I38" s="2599"/>
      <c r="J38" s="2599"/>
      <c r="K38" s="2599"/>
      <c r="L38" s="2599"/>
      <c r="M38" s="2599"/>
      <c r="N38" s="2599"/>
      <c r="O38" s="2599"/>
      <c r="P38" s="2599"/>
      <c r="Q38" s="2599"/>
      <c r="R38" s="2599"/>
      <c r="S38" s="2599"/>
      <c r="T38" s="2599"/>
      <c r="U38" s="2599"/>
      <c r="V38" s="2599"/>
      <c r="W38" s="2599"/>
      <c r="X38" s="2600"/>
      <c r="Y38" s="2592">
        <f>IF(T24&gt;=(T23+Y23+AD23+AI23),T28+Y28,0)</f>
        <v>117294058.7</v>
      </c>
      <c r="Z38" s="2592"/>
      <c r="AA38" s="2592"/>
      <c r="AB38" s="2592"/>
      <c r="AC38" s="2592"/>
      <c r="AD38" s="2592">
        <f>IF(T24&gt;=(T23+Y23+AD23+AI23),AD28+AI28,0)</f>
        <v>0</v>
      </c>
      <c r="AE38" s="2592"/>
      <c r="AF38" s="2592"/>
      <c r="AG38" s="2592"/>
      <c r="AH38" s="2592"/>
      <c r="AI38" s="612"/>
      <c r="AJ38" s="612"/>
      <c r="AK38" s="612"/>
      <c r="AL38" s="612"/>
      <c r="AM38" s="612"/>
      <c r="AN38" s="612"/>
      <c r="AO38" s="611"/>
      <c r="AP38" s="611"/>
      <c r="AQ38" s="611"/>
      <c r="AR38" s="611"/>
      <c r="AS38" s="611"/>
      <c r="AT38" s="611"/>
      <c r="AU38" s="611"/>
      <c r="AV38" s="611"/>
      <c r="AW38" s="611"/>
      <c r="AX38" s="611"/>
      <c r="AY38" s="611"/>
      <c r="AZ38" s="611"/>
      <c r="BA38" s="611"/>
      <c r="BB38" s="611"/>
      <c r="BC38" s="611"/>
      <c r="BD38" s="611"/>
      <c r="BE38" s="611"/>
      <c r="BF38" s="611"/>
      <c r="BG38" s="611"/>
      <c r="BH38" s="611"/>
      <c r="BI38" s="611"/>
      <c r="BJ38" s="611"/>
      <c r="BK38" s="611"/>
      <c r="BL38" s="611"/>
      <c r="BM38" s="611"/>
      <c r="BN38" s="611"/>
      <c r="BO38" s="611"/>
      <c r="BP38" s="611"/>
      <c r="BQ38" s="611"/>
      <c r="BR38" s="611"/>
      <c r="BS38" s="611"/>
      <c r="BT38" s="611"/>
      <c r="BU38" s="611"/>
      <c r="BV38" s="611"/>
      <c r="BW38" s="611"/>
      <c r="BX38" s="611"/>
      <c r="BY38" s="611"/>
      <c r="BZ38" s="611"/>
      <c r="CA38" s="611"/>
      <c r="CB38" s="611"/>
      <c r="CC38" s="611"/>
      <c r="CD38" s="611"/>
      <c r="CE38" s="611"/>
      <c r="CF38" s="611"/>
      <c r="CG38" s="611"/>
      <c r="CH38" s="611"/>
      <c r="CI38" s="611"/>
      <c r="CJ38" s="611"/>
      <c r="CK38" s="611"/>
      <c r="CL38" s="611"/>
      <c r="CM38" s="611"/>
      <c r="CN38" s="611"/>
      <c r="CO38" s="611"/>
      <c r="CP38" s="611"/>
      <c r="CQ38" s="611"/>
      <c r="CR38" s="611"/>
      <c r="CS38" s="611"/>
      <c r="CT38" s="611"/>
    </row>
    <row r="39" spans="1:98" ht="13.2">
      <c r="A39" s="612"/>
      <c r="B39" s="2598" t="s">
        <v>2175</v>
      </c>
      <c r="C39" s="2599"/>
      <c r="D39" s="2599"/>
      <c r="E39" s="2599"/>
      <c r="F39" s="2599"/>
      <c r="G39" s="2599"/>
      <c r="H39" s="2599"/>
      <c r="I39" s="2599"/>
      <c r="J39" s="2599"/>
      <c r="K39" s="2599"/>
      <c r="L39" s="2599"/>
      <c r="M39" s="2599"/>
      <c r="N39" s="2599"/>
      <c r="O39" s="2599"/>
      <c r="P39" s="2599"/>
      <c r="Q39" s="2599"/>
      <c r="R39" s="2599"/>
      <c r="S39" s="2599"/>
      <c r="T39" s="2599"/>
      <c r="U39" s="2599"/>
      <c r="V39" s="2599"/>
      <c r="W39" s="2599"/>
      <c r="X39" s="2600"/>
      <c r="Y39" s="2657">
        <v>0.04</v>
      </c>
      <c r="Z39" s="2657"/>
      <c r="AA39" s="2657"/>
      <c r="AB39" s="2657"/>
      <c r="AC39" s="2657"/>
      <c r="AD39" s="2657">
        <v>0.04</v>
      </c>
      <c r="AE39" s="2657"/>
      <c r="AF39" s="2657"/>
      <c r="AG39" s="2657"/>
      <c r="AH39" s="2657"/>
      <c r="AI39" s="612"/>
      <c r="AJ39" s="612"/>
      <c r="AK39" s="612"/>
      <c r="AL39" s="612"/>
      <c r="AM39" s="612"/>
      <c r="AN39" s="612"/>
      <c r="AO39" s="611"/>
      <c r="AP39" s="611"/>
      <c r="AQ39" s="611"/>
      <c r="AR39" s="611"/>
      <c r="AS39" s="611"/>
      <c r="AT39" s="611"/>
      <c r="AU39" s="611"/>
      <c r="AV39" s="611"/>
      <c r="AW39" s="611"/>
      <c r="AX39" s="611"/>
      <c r="AY39" s="611"/>
      <c r="AZ39" s="611"/>
      <c r="BA39" s="611"/>
      <c r="BB39" s="611"/>
      <c r="BC39" s="611"/>
      <c r="BD39" s="611"/>
      <c r="BE39" s="611"/>
      <c r="BF39" s="611"/>
      <c r="BG39" s="611"/>
      <c r="BH39" s="611"/>
      <c r="BI39" s="611"/>
      <c r="BJ39" s="611"/>
      <c r="BK39" s="611"/>
      <c r="BL39" s="611"/>
      <c r="BM39" s="611"/>
      <c r="BN39" s="611"/>
      <c r="BO39" s="611"/>
      <c r="BP39" s="611"/>
      <c r="BQ39" s="611"/>
      <c r="BR39" s="611"/>
      <c r="BS39" s="611"/>
      <c r="BT39" s="611"/>
      <c r="BU39" s="611"/>
      <c r="BV39" s="611"/>
      <c r="BW39" s="611"/>
      <c r="BX39" s="611"/>
      <c r="BY39" s="611"/>
      <c r="BZ39" s="611"/>
      <c r="CA39" s="611"/>
      <c r="CB39" s="611"/>
      <c r="CC39" s="611"/>
      <c r="CD39" s="611"/>
      <c r="CE39" s="611"/>
      <c r="CF39" s="611"/>
      <c r="CG39" s="611"/>
      <c r="CH39" s="611"/>
      <c r="CI39" s="611"/>
      <c r="CJ39" s="611"/>
      <c r="CK39" s="611"/>
      <c r="CL39" s="611"/>
      <c r="CM39" s="611"/>
      <c r="CN39" s="611"/>
      <c r="CO39" s="611"/>
      <c r="CP39" s="611"/>
      <c r="CQ39" s="611"/>
      <c r="CR39" s="611"/>
      <c r="CS39" s="611"/>
      <c r="CT39" s="611"/>
    </row>
    <row r="40" spans="1:98" ht="12.75" customHeight="1">
      <c r="A40" s="617"/>
      <c r="B40" s="2598" t="s">
        <v>677</v>
      </c>
      <c r="C40" s="2599"/>
      <c r="D40" s="2599"/>
      <c r="E40" s="2599"/>
      <c r="F40" s="2599"/>
      <c r="G40" s="2599"/>
      <c r="H40" s="2599"/>
      <c r="I40" s="2599"/>
      <c r="J40" s="2599"/>
      <c r="K40" s="2599"/>
      <c r="L40" s="2599"/>
      <c r="M40" s="2599"/>
      <c r="N40" s="2599"/>
      <c r="O40" s="2599"/>
      <c r="P40" s="2599"/>
      <c r="Q40" s="2599"/>
      <c r="R40" s="2599"/>
      <c r="S40" s="2599"/>
      <c r="T40" s="2599"/>
      <c r="U40" s="2599"/>
      <c r="V40" s="2599"/>
      <c r="W40" s="2599"/>
      <c r="X40" s="2600"/>
      <c r="Y40" s="2592">
        <f>ROUND(Y38*Y39,0)</f>
        <v>4691762</v>
      </c>
      <c r="Z40" s="2592"/>
      <c r="AA40" s="2592"/>
      <c r="AB40" s="2592"/>
      <c r="AC40" s="2592"/>
      <c r="AD40" s="2591">
        <f>ROUND(AD38*AD39,0)</f>
        <v>0</v>
      </c>
      <c r="AE40" s="2592"/>
      <c r="AF40" s="2592"/>
      <c r="AG40" s="2592"/>
      <c r="AH40" s="2592"/>
      <c r="AI40" s="612"/>
      <c r="AJ40" s="612"/>
      <c r="AK40" s="612"/>
      <c r="AL40" s="612"/>
      <c r="AM40" s="612"/>
      <c r="AN40" s="612"/>
      <c r="AO40" s="611"/>
      <c r="AP40" s="611"/>
      <c r="AQ40" s="611"/>
      <c r="AR40" s="611"/>
      <c r="AS40" s="611"/>
      <c r="AT40" s="611"/>
      <c r="AU40" s="611"/>
      <c r="AV40" s="611"/>
      <c r="AW40" s="611"/>
      <c r="AX40" s="611"/>
      <c r="AY40" s="611"/>
      <c r="AZ40" s="611"/>
      <c r="BA40" s="611"/>
      <c r="BB40" s="611"/>
      <c r="BC40" s="611"/>
      <c r="BD40" s="611"/>
      <c r="BE40" s="611"/>
      <c r="BF40" s="611"/>
      <c r="BG40" s="611"/>
      <c r="BH40" s="611"/>
      <c r="BI40" s="611"/>
      <c r="BJ40" s="611"/>
      <c r="BK40" s="611"/>
      <c r="BL40" s="611"/>
      <c r="BM40" s="611"/>
      <c r="BN40" s="611"/>
      <c r="BO40" s="611"/>
      <c r="BP40" s="611"/>
      <c r="BQ40" s="611"/>
      <c r="BR40" s="611"/>
      <c r="BS40" s="611"/>
      <c r="BT40" s="611"/>
      <c r="BU40" s="611"/>
      <c r="BV40" s="611"/>
      <c r="BW40" s="611"/>
      <c r="BX40" s="611"/>
      <c r="BY40" s="611"/>
      <c r="BZ40" s="611"/>
      <c r="CA40" s="611"/>
      <c r="CB40" s="611"/>
      <c r="CC40" s="611"/>
      <c r="CD40" s="611"/>
      <c r="CE40" s="611"/>
      <c r="CF40" s="611"/>
      <c r="CG40" s="611"/>
      <c r="CH40" s="611"/>
      <c r="CI40" s="611"/>
      <c r="CJ40" s="611"/>
      <c r="CK40" s="611"/>
      <c r="CL40" s="611"/>
      <c r="CM40" s="611"/>
      <c r="CN40" s="611"/>
      <c r="CO40" s="611"/>
      <c r="CP40" s="611"/>
      <c r="CQ40" s="611"/>
      <c r="CR40" s="611"/>
      <c r="CS40" s="611"/>
      <c r="CT40" s="611"/>
    </row>
    <row r="41" spans="1:98" ht="13.2">
      <c r="A41" s="612"/>
      <c r="B41" s="2598" t="s">
        <v>678</v>
      </c>
      <c r="C41" s="2599"/>
      <c r="D41" s="2599"/>
      <c r="E41" s="2599"/>
      <c r="F41" s="2599"/>
      <c r="G41" s="2599"/>
      <c r="H41" s="2599"/>
      <c r="I41" s="2599"/>
      <c r="J41" s="2599"/>
      <c r="K41" s="2599"/>
      <c r="L41" s="2599"/>
      <c r="M41" s="2599"/>
      <c r="N41" s="2599"/>
      <c r="O41" s="2599"/>
      <c r="P41" s="2599"/>
      <c r="Q41" s="2599"/>
      <c r="R41" s="2599"/>
      <c r="S41" s="2599"/>
      <c r="T41" s="2599"/>
      <c r="U41" s="2599"/>
      <c r="V41" s="2599"/>
      <c r="W41" s="2599"/>
      <c r="X41" s="2600"/>
      <c r="Y41" s="2613">
        <f>Y40+AD40</f>
        <v>4691762</v>
      </c>
      <c r="Z41" s="2614"/>
      <c r="AA41" s="2614"/>
      <c r="AB41" s="2614"/>
      <c r="AC41" s="2614"/>
      <c r="AD41" s="2614"/>
      <c r="AE41" s="2614"/>
      <c r="AF41" s="2614"/>
      <c r="AG41" s="2614"/>
      <c r="AH41" s="2615"/>
      <c r="AI41" s="717"/>
      <c r="AJ41" s="717"/>
      <c r="AK41" s="717"/>
      <c r="AL41" s="717"/>
      <c r="AM41" s="717"/>
      <c r="AN41" s="612"/>
      <c r="AO41" s="611"/>
      <c r="AP41" s="611"/>
      <c r="AQ41" s="611"/>
      <c r="AR41" s="611"/>
      <c r="AS41" s="611"/>
      <c r="AT41" s="611"/>
      <c r="AU41" s="611"/>
      <c r="AV41" s="611"/>
      <c r="AW41" s="611"/>
      <c r="AX41" s="611"/>
      <c r="AY41" s="611"/>
      <c r="AZ41" s="611"/>
      <c r="BA41" s="611"/>
      <c r="BB41" s="611"/>
      <c r="BC41" s="611"/>
      <c r="BD41" s="611"/>
      <c r="BE41" s="611"/>
      <c r="BF41" s="611"/>
      <c r="BG41" s="611"/>
      <c r="BH41" s="611"/>
      <c r="BI41" s="611"/>
      <c r="BJ41" s="611"/>
      <c r="BK41" s="611"/>
      <c r="BL41" s="611"/>
      <c r="BM41" s="611"/>
      <c r="BN41" s="611"/>
      <c r="BO41" s="611"/>
      <c r="BP41" s="611"/>
      <c r="BQ41" s="611"/>
      <c r="BR41" s="611"/>
      <c r="BS41" s="611"/>
      <c r="BT41" s="611"/>
      <c r="BU41" s="611"/>
      <c r="BV41" s="611"/>
      <c r="BW41" s="611"/>
      <c r="BX41" s="611"/>
      <c r="BY41" s="611"/>
      <c r="BZ41" s="611"/>
      <c r="CA41" s="611"/>
      <c r="CB41" s="611"/>
      <c r="CC41" s="611"/>
      <c r="CD41" s="611"/>
      <c r="CE41" s="611"/>
      <c r="CF41" s="611"/>
      <c r="CG41" s="611"/>
      <c r="CH41" s="611"/>
      <c r="CI41" s="611"/>
      <c r="CJ41" s="611"/>
      <c r="CK41" s="611"/>
      <c r="CL41" s="611"/>
      <c r="CM41" s="611"/>
      <c r="CN41" s="611"/>
      <c r="CO41" s="611"/>
      <c r="CP41" s="611"/>
      <c r="CQ41" s="611"/>
      <c r="CR41" s="611"/>
      <c r="CS41" s="611"/>
      <c r="CT41" s="611"/>
    </row>
    <row r="42" spans="1:98" ht="12.75" customHeight="1">
      <c r="A42" s="617"/>
      <c r="B42" s="1624"/>
      <c r="C42" s="1624"/>
      <c r="D42" s="1624"/>
      <c r="E42" s="1624"/>
      <c r="F42" s="1624"/>
      <c r="G42" s="1624"/>
      <c r="H42" s="1624"/>
      <c r="I42" s="1624"/>
      <c r="J42" s="1624"/>
      <c r="K42" s="1624"/>
      <c r="L42" s="1624"/>
      <c r="M42" s="1624"/>
      <c r="N42" s="1624"/>
      <c r="O42" s="1624"/>
      <c r="P42" s="1624"/>
      <c r="Q42" s="1624"/>
      <c r="R42" s="1624"/>
      <c r="S42" s="1624"/>
      <c r="T42" s="1624"/>
      <c r="U42" s="1624"/>
      <c r="V42" s="1624"/>
      <c r="W42" s="1624"/>
      <c r="X42" s="1624"/>
      <c r="Y42" s="1624"/>
      <c r="Z42" s="1624"/>
      <c r="AA42" s="1624"/>
      <c r="AB42" s="1624"/>
      <c r="AC42" s="1624"/>
      <c r="AD42" s="1624"/>
      <c r="AE42" s="1624"/>
      <c r="AF42" s="1624"/>
      <c r="AG42" s="1624"/>
      <c r="AH42" s="1624"/>
      <c r="AI42" s="612"/>
      <c r="AJ42" s="612"/>
      <c r="AK42" s="612"/>
      <c r="AL42" s="612"/>
      <c r="AM42" s="612"/>
      <c r="AN42" s="612"/>
      <c r="AO42" s="611"/>
      <c r="AP42" s="611"/>
      <c r="AQ42" s="611"/>
      <c r="AR42" s="611"/>
      <c r="AS42" s="611"/>
      <c r="AT42" s="611"/>
      <c r="AU42" s="611"/>
      <c r="AV42" s="611"/>
      <c r="AW42" s="611"/>
      <c r="AX42" s="611"/>
      <c r="AY42" s="611"/>
      <c r="AZ42" s="611"/>
      <c r="BA42" s="611"/>
      <c r="BB42" s="611"/>
      <c r="BC42" s="611"/>
      <c r="BD42" s="611"/>
      <c r="BE42" s="611"/>
      <c r="BF42" s="611"/>
      <c r="BG42" s="611"/>
      <c r="BH42" s="611"/>
      <c r="BI42" s="611"/>
      <c r="BJ42" s="611"/>
      <c r="BK42" s="611"/>
      <c r="BL42" s="611"/>
      <c r="BM42" s="611"/>
      <c r="BN42" s="611"/>
      <c r="BO42" s="611"/>
      <c r="BP42" s="611"/>
      <c r="BQ42" s="611"/>
      <c r="BR42" s="611"/>
      <c r="BS42" s="611"/>
      <c r="BT42" s="611"/>
      <c r="BU42" s="611"/>
      <c r="BV42" s="611"/>
      <c r="BW42" s="611"/>
      <c r="BX42" s="611"/>
      <c r="BY42" s="611"/>
      <c r="BZ42" s="611"/>
      <c r="CA42" s="611"/>
      <c r="CB42" s="611"/>
      <c r="CC42" s="611"/>
      <c r="CD42" s="611"/>
      <c r="CE42" s="611"/>
      <c r="CF42" s="611"/>
      <c r="CG42" s="611"/>
      <c r="CH42" s="611"/>
      <c r="CI42" s="611"/>
      <c r="CJ42" s="611"/>
      <c r="CK42" s="611"/>
      <c r="CL42" s="611"/>
      <c r="CM42" s="611"/>
      <c r="CN42" s="611"/>
      <c r="CO42" s="611"/>
      <c r="CP42" s="611"/>
      <c r="CQ42" s="611"/>
      <c r="CR42" s="611"/>
      <c r="CS42" s="611"/>
      <c r="CT42" s="611"/>
    </row>
    <row r="43" spans="1:98" ht="13.2">
      <c r="A43" s="612"/>
      <c r="B43" s="628"/>
      <c r="C43" s="628"/>
      <c r="D43" s="628"/>
      <c r="E43" s="628"/>
      <c r="F43" s="628"/>
      <c r="G43" s="628"/>
      <c r="H43" s="628"/>
      <c r="I43" s="628"/>
      <c r="J43" s="628"/>
      <c r="K43" s="628"/>
      <c r="L43" s="628"/>
      <c r="M43" s="628"/>
      <c r="N43" s="628"/>
      <c r="O43" s="628"/>
      <c r="P43" s="628"/>
      <c r="Q43" s="628"/>
      <c r="R43" s="628"/>
      <c r="S43" s="628"/>
      <c r="T43" s="628"/>
      <c r="U43" s="628"/>
      <c r="V43" s="628"/>
      <c r="W43" s="628"/>
      <c r="X43" s="628"/>
      <c r="Y43" s="628"/>
      <c r="Z43" s="628"/>
      <c r="AA43" s="628"/>
      <c r="AB43" s="628"/>
      <c r="AC43" s="628"/>
      <c r="AD43" s="628"/>
      <c r="AE43" s="628"/>
      <c r="AF43" s="628"/>
      <c r="AG43" s="628"/>
      <c r="AH43" s="628"/>
      <c r="AI43" s="612"/>
      <c r="AJ43" s="612"/>
      <c r="AK43" s="612"/>
      <c r="AL43" s="612"/>
      <c r="AM43" s="612"/>
      <c r="AN43" s="612"/>
      <c r="AO43" s="611"/>
      <c r="AP43" s="611"/>
      <c r="AQ43" s="611"/>
      <c r="AR43" s="611"/>
      <c r="AS43" s="611"/>
      <c r="AT43" s="611"/>
      <c r="AU43" s="611"/>
      <c r="AV43" s="611"/>
      <c r="AW43" s="611"/>
      <c r="AX43" s="611"/>
      <c r="AY43" s="611"/>
      <c r="AZ43" s="611"/>
      <c r="BA43" s="611"/>
      <c r="BB43" s="611"/>
      <c r="BC43" s="611"/>
      <c r="BD43" s="611"/>
      <c r="BE43" s="611"/>
      <c r="BF43" s="611"/>
      <c r="BG43" s="611"/>
      <c r="BH43" s="611"/>
      <c r="BI43" s="611"/>
      <c r="BJ43" s="611"/>
      <c r="BK43" s="611"/>
      <c r="BL43" s="611"/>
      <c r="BM43" s="611"/>
      <c r="BN43" s="611"/>
      <c r="BO43" s="611"/>
      <c r="BP43" s="611"/>
      <c r="BQ43" s="611"/>
      <c r="BR43" s="611"/>
      <c r="BS43" s="611"/>
      <c r="BT43" s="611"/>
      <c r="BU43" s="611"/>
      <c r="BV43" s="611"/>
      <c r="BW43" s="611"/>
      <c r="BX43" s="611"/>
      <c r="BY43" s="611"/>
      <c r="BZ43" s="611"/>
      <c r="CA43" s="611"/>
      <c r="CB43" s="611"/>
      <c r="CC43" s="611"/>
      <c r="CD43" s="611"/>
      <c r="CE43" s="611"/>
      <c r="CF43" s="611"/>
      <c r="CG43" s="611"/>
      <c r="CH43" s="611"/>
      <c r="CI43" s="611"/>
      <c r="CJ43" s="611"/>
      <c r="CK43" s="611"/>
      <c r="CL43" s="611"/>
      <c r="CM43" s="611"/>
      <c r="CN43" s="611"/>
      <c r="CO43" s="611"/>
      <c r="CP43" s="611"/>
      <c r="CQ43" s="611"/>
      <c r="CR43" s="611"/>
      <c r="CS43" s="611"/>
      <c r="CT43" s="611"/>
    </row>
    <row r="44" spans="1:98" s="324" customFormat="1" ht="13.8" thickBot="1">
      <c r="A44" s="2596" t="s">
        <v>1510</v>
      </c>
      <c r="B44" s="2596"/>
      <c r="C44" s="2596"/>
      <c r="D44" s="2596"/>
      <c r="E44" s="2596"/>
      <c r="F44" s="2596"/>
      <c r="G44" s="2596"/>
      <c r="H44" s="2596"/>
      <c r="I44" s="2596"/>
      <c r="J44" s="2596"/>
      <c r="K44" s="2596"/>
      <c r="L44" s="2596"/>
      <c r="M44" s="2596"/>
      <c r="N44" s="2596"/>
      <c r="O44" s="2596"/>
      <c r="P44" s="2596"/>
      <c r="Q44" s="2596"/>
      <c r="R44" s="2596"/>
      <c r="S44" s="2596"/>
      <c r="T44" s="2596"/>
      <c r="U44" s="2596"/>
      <c r="V44" s="2596"/>
      <c r="W44" s="2596"/>
      <c r="X44" s="2596"/>
      <c r="Y44" s="2596"/>
      <c r="Z44" s="2596"/>
      <c r="AA44" s="2596"/>
      <c r="AB44" s="2596"/>
      <c r="AC44" s="2596"/>
      <c r="AD44" s="2596"/>
      <c r="AE44" s="2596"/>
      <c r="AF44" s="2596"/>
      <c r="AG44" s="2596"/>
      <c r="AH44" s="2596"/>
      <c r="AI44" s="2596"/>
      <c r="AJ44" s="2596"/>
      <c r="AK44" s="2596"/>
      <c r="AL44" s="2596"/>
      <c r="AM44" s="2596"/>
      <c r="AN44" s="2596"/>
      <c r="AO44" s="2596"/>
      <c r="AP44" s="2596"/>
      <c r="AQ44" s="2596"/>
      <c r="AR44" s="2596"/>
      <c r="AS44" s="2596"/>
      <c r="AT44" s="2596"/>
      <c r="AU44" s="2596"/>
      <c r="AV44" s="2596"/>
      <c r="AW44" s="2596"/>
      <c r="AX44" s="2596"/>
      <c r="AY44" s="2596"/>
      <c r="AZ44" s="2596"/>
      <c r="BA44" s="2596"/>
      <c r="BB44" s="2596"/>
      <c r="BC44" s="2596"/>
      <c r="BD44" s="2596"/>
      <c r="BE44" s="2596"/>
      <c r="BF44" s="2596"/>
      <c r="BG44" s="2596"/>
      <c r="BH44" s="2596"/>
      <c r="BI44" s="2596"/>
      <c r="BJ44" s="2596"/>
      <c r="BK44" s="2596"/>
      <c r="BL44" s="2596"/>
      <c r="BM44" s="2596"/>
      <c r="BN44" s="2596"/>
      <c r="BO44" s="2596"/>
      <c r="BP44" s="2596"/>
      <c r="BQ44" s="2596"/>
      <c r="BR44" s="2596"/>
      <c r="BS44" s="2596"/>
      <c r="BT44" s="2596"/>
      <c r="BU44" s="2596"/>
      <c r="BV44" s="2596"/>
      <c r="BW44" s="2596"/>
      <c r="BX44" s="2596"/>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2.75"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3.2">
      <c r="A46" s="617" t="s">
        <v>621</v>
      </c>
      <c r="B46" s="612"/>
      <c r="C46" s="617" t="s">
        <v>288</v>
      </c>
      <c r="D46" s="612"/>
      <c r="E46" s="612"/>
      <c r="F46" s="612"/>
      <c r="G46" s="612"/>
      <c r="H46" s="612"/>
      <c r="I46" s="612"/>
      <c r="J46" s="612"/>
      <c r="K46" s="612"/>
      <c r="L46" s="612"/>
      <c r="M46" s="612"/>
      <c r="N46" s="612"/>
      <c r="O46" s="612"/>
      <c r="P46" s="612"/>
      <c r="Q46" s="612"/>
      <c r="R46" s="612"/>
      <c r="S46" s="612"/>
      <c r="T46" s="612"/>
      <c r="U46" s="612"/>
      <c r="V46" s="612"/>
      <c r="W46" s="612"/>
      <c r="X46" s="612"/>
      <c r="Y46" s="612"/>
      <c r="Z46" s="612"/>
      <c r="AA46" s="612"/>
      <c r="AB46" s="612"/>
      <c r="AC46" s="612"/>
      <c r="AD46" s="612"/>
      <c r="AE46" s="612"/>
      <c r="AF46" s="612"/>
      <c r="AG46" s="612"/>
      <c r="AH46" s="612"/>
      <c r="AI46" s="612"/>
      <c r="AJ46" s="612"/>
      <c r="AK46" s="612"/>
      <c r="AL46" s="612"/>
      <c r="AM46" s="612"/>
      <c r="AN46" s="612"/>
      <c r="AO46" s="611"/>
      <c r="AP46" s="611"/>
      <c r="AQ46" s="611"/>
      <c r="AR46" s="611"/>
      <c r="AS46" s="611"/>
      <c r="AT46" s="611"/>
      <c r="AU46" s="611"/>
      <c r="AV46" s="611"/>
      <c r="AW46" s="611"/>
      <c r="AX46" s="611"/>
      <c r="AY46" s="611"/>
      <c r="AZ46" s="611"/>
      <c r="BA46" s="611"/>
      <c r="BB46" s="611"/>
      <c r="BC46" s="611"/>
      <c r="BD46" s="611"/>
      <c r="BE46" s="611"/>
      <c r="BF46" s="611"/>
      <c r="BG46" s="611"/>
      <c r="BH46" s="611"/>
      <c r="BI46" s="611"/>
      <c r="BJ46" s="611"/>
      <c r="BK46" s="611"/>
      <c r="BL46" s="611"/>
      <c r="BM46" s="611"/>
      <c r="BN46" s="611"/>
      <c r="BO46" s="611"/>
      <c r="BP46" s="611"/>
      <c r="BQ46" s="611"/>
      <c r="BR46" s="611"/>
      <c r="BS46" s="611"/>
      <c r="BT46" s="611"/>
      <c r="BU46" s="611"/>
      <c r="BV46" s="611"/>
      <c r="BW46" s="611"/>
      <c r="BX46" s="611"/>
      <c r="BY46" s="611"/>
      <c r="BZ46" s="611"/>
      <c r="CA46" s="611"/>
      <c r="CB46" s="611"/>
      <c r="CC46" s="611"/>
      <c r="CD46" s="611"/>
      <c r="CE46" s="611"/>
      <c r="CF46" s="611"/>
      <c r="CG46" s="611"/>
      <c r="CH46" s="611"/>
      <c r="CI46" s="611"/>
      <c r="CJ46" s="611"/>
      <c r="CK46" s="611"/>
      <c r="CL46" s="611"/>
      <c r="CM46" s="611"/>
      <c r="CN46" s="611"/>
      <c r="CO46" s="611"/>
      <c r="CP46" s="611"/>
      <c r="CQ46" s="611"/>
      <c r="CR46" s="611"/>
      <c r="CS46" s="611"/>
      <c r="CT46" s="611"/>
    </row>
    <row r="47" spans="1:98" ht="13.2">
      <c r="A47" s="612"/>
      <c r="B47" s="612"/>
      <c r="C47" s="612"/>
      <c r="D47" s="617" t="s">
        <v>289</v>
      </c>
      <c r="E47" s="612"/>
      <c r="F47" s="612"/>
      <c r="G47" s="612"/>
      <c r="H47" s="612"/>
      <c r="I47" s="612"/>
      <c r="J47" s="612"/>
      <c r="K47" s="612"/>
      <c r="L47" s="612"/>
      <c r="M47" s="612"/>
      <c r="N47" s="612"/>
      <c r="O47" s="612"/>
      <c r="P47" s="612"/>
      <c r="Q47" s="612"/>
      <c r="R47" s="612"/>
      <c r="S47" s="612"/>
      <c r="T47" s="612"/>
      <c r="U47" s="612"/>
      <c r="V47" s="612"/>
      <c r="W47" s="612"/>
      <c r="X47" s="612"/>
      <c r="Y47" s="612"/>
      <c r="Z47" s="612"/>
      <c r="AA47" s="612"/>
      <c r="AB47" s="2616">
        <f>'Sources and Uses Budget'!B105-'Sources and Uses Budget'!B15</f>
        <v>98828834</v>
      </c>
      <c r="AC47" s="2617"/>
      <c r="AD47" s="2617"/>
      <c r="AE47" s="2617"/>
      <c r="AF47" s="2618"/>
      <c r="AG47" s="612"/>
      <c r="AH47" s="612"/>
      <c r="AI47" s="612"/>
      <c r="AJ47" s="612"/>
      <c r="AK47" s="612"/>
      <c r="AL47" s="612"/>
      <c r="AM47" s="612"/>
      <c r="AN47" s="612"/>
      <c r="AO47" s="611"/>
      <c r="AP47" s="611"/>
      <c r="AQ47" s="611"/>
      <c r="AR47" s="611"/>
      <c r="AS47" s="611"/>
      <c r="AT47" s="611"/>
      <c r="AU47" s="611"/>
      <c r="AV47" s="611"/>
      <c r="AW47" s="611"/>
      <c r="AX47" s="611"/>
      <c r="AY47" s="611"/>
      <c r="AZ47" s="611"/>
      <c r="BA47" s="611"/>
      <c r="BB47" s="611"/>
      <c r="BC47" s="611"/>
      <c r="BD47" s="611"/>
      <c r="BE47" s="611"/>
      <c r="BF47" s="611"/>
      <c r="BG47" s="611"/>
      <c r="BH47" s="611"/>
      <c r="BI47" s="611"/>
      <c r="BJ47" s="611"/>
      <c r="BK47" s="611"/>
      <c r="BL47" s="611"/>
      <c r="BM47" s="611"/>
      <c r="BN47" s="611"/>
      <c r="BO47" s="611"/>
      <c r="BP47" s="611"/>
      <c r="BQ47" s="611"/>
      <c r="BR47" s="611"/>
      <c r="BS47" s="611"/>
      <c r="BT47" s="611"/>
      <c r="BU47" s="611"/>
      <c r="BV47" s="611"/>
      <c r="BW47" s="611"/>
      <c r="BX47" s="611"/>
      <c r="BY47" s="611"/>
      <c r="BZ47" s="611"/>
      <c r="CA47" s="611"/>
      <c r="CB47" s="611"/>
      <c r="CC47" s="611"/>
      <c r="CD47" s="611"/>
      <c r="CE47" s="611"/>
      <c r="CF47" s="611"/>
      <c r="CG47" s="611"/>
      <c r="CH47" s="611"/>
      <c r="CI47" s="611"/>
      <c r="CJ47" s="611"/>
      <c r="CK47" s="611"/>
      <c r="CL47" s="611"/>
      <c r="CM47" s="611"/>
      <c r="CN47" s="611"/>
      <c r="CO47" s="611"/>
      <c r="CP47" s="611"/>
      <c r="CQ47" s="611"/>
      <c r="CR47" s="611"/>
      <c r="CS47" s="611"/>
      <c r="CT47" s="611"/>
    </row>
    <row r="48" spans="1:98" ht="12.75" customHeight="1">
      <c r="A48" s="612"/>
      <c r="B48" s="612"/>
      <c r="C48" s="612"/>
      <c r="D48" s="617" t="s">
        <v>21</v>
      </c>
      <c r="E48" s="612"/>
      <c r="F48" s="612"/>
      <c r="G48" s="612"/>
      <c r="H48" s="612"/>
      <c r="I48" s="612"/>
      <c r="J48" s="612"/>
      <c r="K48" s="612"/>
      <c r="L48" s="612"/>
      <c r="M48" s="612"/>
      <c r="N48" s="612"/>
      <c r="O48" s="612"/>
      <c r="P48" s="612"/>
      <c r="Q48" s="612"/>
      <c r="R48" s="612"/>
      <c r="S48" s="612"/>
      <c r="T48" s="612"/>
      <c r="U48" s="612"/>
      <c r="V48" s="612"/>
      <c r="W48" s="612"/>
      <c r="X48" s="612"/>
      <c r="Y48" s="612"/>
      <c r="Z48" s="612"/>
      <c r="AA48" s="612"/>
      <c r="AB48" s="2616">
        <f>Application!AO649-MIN('Sources and Uses Budget'!B15,Application!AG394)</f>
        <v>35743257</v>
      </c>
      <c r="AC48" s="2617"/>
      <c r="AD48" s="2617"/>
      <c r="AE48" s="2617"/>
      <c r="AF48" s="2618"/>
      <c r="AG48" s="612"/>
      <c r="AH48" s="612"/>
      <c r="AI48" s="612"/>
      <c r="AJ48" s="612"/>
      <c r="AK48" s="612"/>
      <c r="AL48" s="612"/>
      <c r="AM48" s="612"/>
      <c r="AN48" s="612"/>
      <c r="AO48" s="611"/>
      <c r="AP48" s="611"/>
      <c r="AQ48" s="611"/>
      <c r="AR48" s="611"/>
      <c r="AS48" s="611"/>
      <c r="AT48" s="611"/>
      <c r="AU48" s="611"/>
      <c r="AV48" s="611"/>
      <c r="AW48" s="611"/>
      <c r="AX48" s="611"/>
      <c r="AY48" s="611"/>
      <c r="AZ48" s="611"/>
      <c r="BA48" s="611"/>
      <c r="BB48" s="611"/>
      <c r="BC48" s="611"/>
      <c r="BD48" s="611"/>
      <c r="BE48" s="611"/>
      <c r="BF48" s="611"/>
      <c r="BG48" s="611"/>
      <c r="BH48" s="611"/>
      <c r="BI48" s="611"/>
      <c r="BJ48" s="611"/>
      <c r="BK48" s="611"/>
      <c r="BL48" s="611"/>
      <c r="BM48" s="611"/>
      <c r="BN48" s="611"/>
      <c r="BO48" s="611"/>
      <c r="BP48" s="611"/>
      <c r="BQ48" s="611"/>
      <c r="BR48" s="611"/>
      <c r="BS48" s="611"/>
      <c r="BT48" s="611"/>
      <c r="BU48" s="611"/>
      <c r="BV48" s="611"/>
      <c r="BW48" s="611"/>
      <c r="BX48" s="611"/>
      <c r="BY48" s="611"/>
      <c r="BZ48" s="611"/>
      <c r="CA48" s="611"/>
      <c r="CB48" s="611"/>
      <c r="CC48" s="611"/>
      <c r="CD48" s="611"/>
      <c r="CE48" s="611"/>
      <c r="CF48" s="611"/>
      <c r="CG48" s="611"/>
      <c r="CH48" s="611"/>
      <c r="CI48" s="611"/>
      <c r="CJ48" s="611"/>
      <c r="CK48" s="611"/>
      <c r="CL48" s="611"/>
      <c r="CM48" s="611"/>
      <c r="CN48" s="611"/>
      <c r="CO48" s="611"/>
      <c r="CP48" s="611"/>
      <c r="CQ48" s="611"/>
      <c r="CR48" s="611"/>
      <c r="CS48" s="611"/>
      <c r="CT48" s="611"/>
    </row>
    <row r="49" spans="1:98" ht="13.2">
      <c r="A49" s="612"/>
      <c r="B49" s="612"/>
      <c r="C49" s="612"/>
      <c r="D49" s="617" t="s">
        <v>96</v>
      </c>
      <c r="E49" s="612"/>
      <c r="F49" s="612"/>
      <c r="G49" s="612"/>
      <c r="H49" s="612"/>
      <c r="I49" s="612"/>
      <c r="J49" s="612"/>
      <c r="K49" s="612"/>
      <c r="L49" s="612"/>
      <c r="M49" s="612"/>
      <c r="N49" s="612"/>
      <c r="O49" s="612"/>
      <c r="P49" s="612"/>
      <c r="Q49" s="612"/>
      <c r="R49" s="612"/>
      <c r="S49" s="612"/>
      <c r="T49" s="612"/>
      <c r="U49" s="612"/>
      <c r="V49" s="612"/>
      <c r="W49" s="612"/>
      <c r="X49" s="612"/>
      <c r="Y49" s="612"/>
      <c r="Z49" s="612"/>
      <c r="AA49" s="612"/>
      <c r="AB49" s="2616">
        <f>AB47-AB48</f>
        <v>63085577</v>
      </c>
      <c r="AC49" s="2617"/>
      <c r="AD49" s="2617"/>
      <c r="AE49" s="2617"/>
      <c r="AF49" s="2618"/>
      <c r="AG49" s="612"/>
      <c r="AH49" s="612"/>
      <c r="AI49" s="612"/>
      <c r="AJ49" s="612"/>
      <c r="AK49" s="612"/>
      <c r="AL49" s="612"/>
      <c r="AM49" s="612"/>
      <c r="AN49" s="612"/>
      <c r="AO49" s="611"/>
      <c r="AP49" s="611"/>
      <c r="AQ49" s="611"/>
      <c r="AR49" s="611"/>
      <c r="AS49" s="611"/>
      <c r="AT49" s="611"/>
      <c r="AU49" s="611"/>
      <c r="AV49" s="611"/>
      <c r="AW49" s="611"/>
      <c r="AX49" s="611"/>
      <c r="AY49" s="611"/>
      <c r="AZ49" s="611"/>
      <c r="BA49" s="611"/>
      <c r="BB49" s="611"/>
      <c r="BC49" s="611"/>
      <c r="BD49" s="611"/>
      <c r="BE49" s="611"/>
      <c r="BF49" s="611"/>
      <c r="BG49" s="611"/>
      <c r="BH49" s="611"/>
      <c r="BI49" s="611"/>
      <c r="BJ49" s="611"/>
      <c r="BK49" s="611"/>
      <c r="BL49" s="611"/>
      <c r="BM49" s="611"/>
      <c r="BN49" s="611"/>
      <c r="BO49" s="611"/>
      <c r="BP49" s="611"/>
      <c r="BQ49" s="611"/>
      <c r="BR49" s="611"/>
      <c r="BS49" s="611"/>
      <c r="BT49" s="611"/>
      <c r="BU49" s="611"/>
      <c r="BV49" s="611"/>
      <c r="BW49" s="611"/>
      <c r="BX49" s="611"/>
      <c r="BY49" s="611"/>
      <c r="BZ49" s="611"/>
      <c r="CA49" s="611"/>
      <c r="CB49" s="611"/>
      <c r="CC49" s="611"/>
      <c r="CD49" s="611"/>
      <c r="CE49" s="611"/>
      <c r="CF49" s="611"/>
      <c r="CG49" s="611"/>
      <c r="CH49" s="611"/>
      <c r="CI49" s="611"/>
      <c r="CJ49" s="611"/>
      <c r="CK49" s="611"/>
      <c r="CL49" s="611"/>
      <c r="CM49" s="611"/>
      <c r="CN49" s="611"/>
      <c r="CO49" s="611"/>
      <c r="CP49" s="611"/>
      <c r="CQ49" s="611"/>
      <c r="CR49" s="611"/>
      <c r="CS49" s="611"/>
      <c r="CT49" s="611"/>
    </row>
    <row r="50" spans="1:98" ht="13.2">
      <c r="A50" s="612"/>
      <c r="B50" s="612"/>
      <c r="C50" s="612"/>
      <c r="D50" s="617" t="s">
        <v>718</v>
      </c>
      <c r="E50" s="612"/>
      <c r="F50" s="612"/>
      <c r="G50" s="612"/>
      <c r="H50" s="612"/>
      <c r="I50" s="612"/>
      <c r="J50" s="612"/>
      <c r="K50" s="612"/>
      <c r="L50" s="612"/>
      <c r="M50" s="612"/>
      <c r="N50" s="612"/>
      <c r="O50" s="612"/>
      <c r="P50" s="612"/>
      <c r="Q50" s="612"/>
      <c r="R50" s="612"/>
      <c r="S50" s="612"/>
      <c r="T50" s="612"/>
      <c r="U50" s="612"/>
      <c r="V50" s="612"/>
      <c r="W50" s="612"/>
      <c r="X50" s="613"/>
      <c r="Y50" s="613"/>
      <c r="Z50" s="613"/>
      <c r="AA50" s="629"/>
      <c r="AB50" s="2649">
        <v>0.89173444000000002</v>
      </c>
      <c r="AC50" s="2650"/>
      <c r="AD50" s="2650"/>
      <c r="AE50" s="2650"/>
      <c r="AF50" s="2651"/>
      <c r="AG50" s="612"/>
      <c r="AH50" s="612"/>
      <c r="AI50" s="612"/>
      <c r="AJ50" s="612"/>
      <c r="AK50" s="612"/>
      <c r="AL50" s="612"/>
      <c r="AM50" s="612"/>
      <c r="AN50" s="612"/>
      <c r="AO50" s="611"/>
      <c r="AP50" s="611"/>
      <c r="AQ50" s="611"/>
      <c r="AR50" s="611"/>
      <c r="AS50" s="611"/>
      <c r="AT50" s="611"/>
      <c r="AU50" s="611"/>
      <c r="AV50" s="611"/>
      <c r="AW50" s="611"/>
      <c r="AX50" s="611"/>
      <c r="AY50" s="611"/>
      <c r="AZ50" s="611"/>
      <c r="BA50" s="611"/>
      <c r="BB50" s="611"/>
      <c r="BC50" s="611"/>
      <c r="BD50" s="611"/>
      <c r="BE50" s="611"/>
      <c r="BF50" s="611"/>
      <c r="BG50" s="611"/>
      <c r="BH50" s="611"/>
      <c r="BI50" s="611"/>
      <c r="BJ50" s="611"/>
      <c r="BK50" s="611"/>
      <c r="BL50" s="611"/>
      <c r="BM50" s="611"/>
      <c r="BN50" s="611"/>
      <c r="BO50" s="611"/>
      <c r="BP50" s="611"/>
      <c r="BQ50" s="611"/>
      <c r="BR50" s="611"/>
      <c r="BS50" s="611"/>
      <c r="BT50" s="611"/>
      <c r="BU50" s="611"/>
      <c r="BV50" s="611"/>
      <c r="BW50" s="611"/>
      <c r="BX50" s="611"/>
      <c r="BY50" s="611"/>
      <c r="BZ50" s="611"/>
      <c r="CA50" s="611"/>
      <c r="CB50" s="611"/>
      <c r="CC50" s="611"/>
      <c r="CD50" s="611"/>
      <c r="CE50" s="611"/>
      <c r="CF50" s="611"/>
      <c r="CG50" s="611"/>
      <c r="CH50" s="611"/>
      <c r="CI50" s="611"/>
      <c r="CJ50" s="611"/>
      <c r="CK50" s="611"/>
      <c r="CL50" s="611"/>
      <c r="CM50" s="611"/>
      <c r="CN50" s="611"/>
      <c r="CO50" s="611"/>
      <c r="CP50" s="611"/>
      <c r="CQ50" s="611"/>
      <c r="CR50" s="611"/>
      <c r="CS50" s="611"/>
      <c r="CT50" s="611"/>
    </row>
    <row r="51" spans="1:98" s="633" customFormat="1" ht="15" customHeight="1">
      <c r="A51" s="613"/>
      <c r="B51" s="613"/>
      <c r="C51" s="613"/>
      <c r="D51" s="630"/>
      <c r="E51" s="2652" t="s">
        <v>2371</v>
      </c>
      <c r="F51" s="2652"/>
      <c r="G51" s="2652"/>
      <c r="H51" s="2652"/>
      <c r="I51" s="2652"/>
      <c r="J51" s="2652"/>
      <c r="K51" s="2652"/>
      <c r="L51" s="2652"/>
      <c r="M51" s="2652"/>
      <c r="N51" s="2652"/>
      <c r="O51" s="2652"/>
      <c r="P51" s="2652"/>
      <c r="Q51" s="2652"/>
      <c r="R51" s="2652"/>
      <c r="S51" s="2652"/>
      <c r="T51" s="2652"/>
      <c r="U51" s="2652"/>
      <c r="V51" s="2652"/>
      <c r="W51" s="2652"/>
      <c r="X51" s="2652"/>
      <c r="Y51" s="2652"/>
      <c r="Z51" s="2652"/>
      <c r="AA51" s="631"/>
      <c r="AB51" s="631"/>
      <c r="AC51" s="631"/>
      <c r="AD51" s="631"/>
      <c r="AE51" s="631"/>
      <c r="AF51" s="631"/>
      <c r="AG51" s="613"/>
      <c r="AH51" s="613"/>
      <c r="AI51" s="613"/>
      <c r="AJ51" s="613"/>
      <c r="AK51" s="613"/>
      <c r="AL51" s="613"/>
      <c r="AM51" s="613"/>
      <c r="AN51" s="613"/>
      <c r="AO51" s="632"/>
      <c r="AP51" s="632"/>
      <c r="AQ51" s="632"/>
      <c r="AR51" s="632"/>
      <c r="AS51" s="632"/>
      <c r="AT51" s="632"/>
      <c r="AU51" s="632"/>
      <c r="AV51" s="632"/>
      <c r="AW51" s="632"/>
      <c r="AX51" s="632"/>
      <c r="AY51" s="632"/>
      <c r="AZ51" s="632"/>
      <c r="BA51" s="632"/>
      <c r="BB51" s="632"/>
      <c r="BC51" s="632"/>
      <c r="BD51" s="632"/>
      <c r="BE51" s="632"/>
      <c r="BF51" s="632"/>
      <c r="BG51" s="632"/>
      <c r="BH51" s="632"/>
      <c r="BI51" s="632"/>
      <c r="BJ51" s="632"/>
      <c r="BK51" s="632"/>
      <c r="BL51" s="632"/>
      <c r="BM51" s="632"/>
      <c r="BN51" s="632"/>
      <c r="BO51" s="632"/>
      <c r="BP51" s="632"/>
      <c r="BQ51" s="632"/>
      <c r="BR51" s="632"/>
      <c r="BS51" s="632"/>
      <c r="BT51" s="632"/>
      <c r="BU51" s="632"/>
      <c r="BV51" s="632"/>
      <c r="BW51" s="632"/>
      <c r="BX51" s="632"/>
      <c r="BY51" s="632"/>
      <c r="BZ51" s="632"/>
      <c r="CA51" s="632"/>
      <c r="CB51" s="632"/>
      <c r="CC51" s="632"/>
      <c r="CD51" s="632"/>
      <c r="CE51" s="632"/>
      <c r="CF51" s="632"/>
      <c r="CG51" s="632"/>
      <c r="CH51" s="632"/>
      <c r="CI51" s="632"/>
      <c r="CJ51" s="632"/>
      <c r="CK51" s="632"/>
      <c r="CL51" s="632"/>
      <c r="CM51" s="632"/>
      <c r="CN51" s="632"/>
      <c r="CO51" s="632"/>
      <c r="CP51" s="632"/>
      <c r="CQ51" s="632"/>
      <c r="CR51" s="632"/>
      <c r="CS51" s="632"/>
      <c r="CT51" s="632"/>
    </row>
    <row r="52" spans="1:98" s="633" customFormat="1" ht="12" customHeight="1">
      <c r="A52" s="613"/>
      <c r="B52" s="613"/>
      <c r="C52" s="613"/>
      <c r="D52" s="630"/>
      <c r="E52" s="2652"/>
      <c r="F52" s="2652"/>
      <c r="G52" s="2652"/>
      <c r="H52" s="2652"/>
      <c r="I52" s="2652"/>
      <c r="J52" s="2652"/>
      <c r="K52" s="2652"/>
      <c r="L52" s="2652"/>
      <c r="M52" s="2652"/>
      <c r="N52" s="2652"/>
      <c r="O52" s="2652"/>
      <c r="P52" s="2652"/>
      <c r="Q52" s="2652"/>
      <c r="R52" s="2652"/>
      <c r="S52" s="2652"/>
      <c r="T52" s="2652"/>
      <c r="U52" s="2652"/>
      <c r="V52" s="2652"/>
      <c r="W52" s="2652"/>
      <c r="X52" s="2652"/>
      <c r="Y52" s="2652"/>
      <c r="Z52" s="2652"/>
      <c r="AA52" s="634"/>
      <c r="AB52" s="634"/>
      <c r="AC52" s="634"/>
      <c r="AD52" s="634"/>
      <c r="AE52" s="634"/>
      <c r="AF52" s="634"/>
      <c r="AG52" s="635"/>
      <c r="AH52" s="613"/>
      <c r="AI52" s="613"/>
      <c r="AJ52" s="613"/>
      <c r="AK52" s="613"/>
      <c r="AL52" s="613"/>
      <c r="AM52" s="613"/>
      <c r="AN52" s="613"/>
      <c r="AO52" s="632"/>
      <c r="AP52" s="632"/>
      <c r="AQ52" s="632"/>
      <c r="AR52" s="632"/>
      <c r="AS52" s="632"/>
      <c r="AT52" s="632"/>
      <c r="AU52" s="632"/>
      <c r="AV52" s="632"/>
      <c r="AW52" s="632"/>
      <c r="AX52" s="632"/>
      <c r="AY52" s="632"/>
      <c r="AZ52" s="632"/>
      <c r="BA52" s="632"/>
      <c r="BB52" s="632"/>
      <c r="BC52" s="632"/>
      <c r="BD52" s="632"/>
      <c r="BE52" s="632"/>
      <c r="BF52" s="632"/>
      <c r="BG52" s="632"/>
      <c r="BH52" s="632"/>
      <c r="BI52" s="632"/>
      <c r="BJ52" s="632"/>
      <c r="BK52" s="632"/>
      <c r="BL52" s="632"/>
      <c r="BM52" s="632"/>
      <c r="BN52" s="632"/>
      <c r="BO52" s="632"/>
      <c r="BP52" s="632"/>
      <c r="BQ52" s="632"/>
      <c r="BR52" s="632"/>
      <c r="BS52" s="632"/>
      <c r="BT52" s="632"/>
      <c r="BU52" s="632"/>
      <c r="BV52" s="632"/>
      <c r="BW52" s="632"/>
      <c r="BX52" s="632"/>
      <c r="BY52" s="632"/>
      <c r="BZ52" s="632"/>
      <c r="CA52" s="632"/>
      <c r="CB52" s="632"/>
      <c r="CC52" s="632"/>
      <c r="CD52" s="632"/>
      <c r="CE52" s="632"/>
      <c r="CF52" s="632"/>
      <c r="CG52" s="632"/>
      <c r="CH52" s="632"/>
      <c r="CI52" s="632"/>
      <c r="CJ52" s="632"/>
      <c r="CK52" s="632"/>
      <c r="CL52" s="632"/>
      <c r="CM52" s="632"/>
      <c r="CN52" s="632"/>
      <c r="CO52" s="632"/>
      <c r="CP52" s="632"/>
      <c r="CQ52" s="632"/>
      <c r="CR52" s="632"/>
      <c r="CS52" s="632"/>
      <c r="CT52" s="632"/>
    </row>
    <row r="53" spans="1:98" s="613" customFormat="1" ht="12" customHeight="1">
      <c r="D53" s="630"/>
      <c r="E53" s="636"/>
      <c r="F53" s="636"/>
      <c r="G53" s="636"/>
      <c r="H53" s="636"/>
      <c r="I53" s="636"/>
      <c r="J53" s="636"/>
      <c r="K53" s="636"/>
      <c r="L53" s="636"/>
      <c r="M53" s="636"/>
      <c r="N53" s="636"/>
      <c r="O53" s="636"/>
      <c r="P53" s="636"/>
      <c r="Q53" s="636"/>
      <c r="R53" s="636"/>
      <c r="S53" s="636"/>
      <c r="T53" s="636"/>
      <c r="U53" s="636"/>
      <c r="V53" s="636"/>
      <c r="W53" s="636"/>
      <c r="X53" s="636"/>
      <c r="Y53" s="636"/>
      <c r="Z53" s="636"/>
      <c r="AO53" s="616"/>
      <c r="AP53" s="616"/>
      <c r="AQ53" s="616"/>
      <c r="AR53" s="616"/>
      <c r="AS53" s="616"/>
      <c r="AT53" s="616"/>
      <c r="AU53" s="616"/>
      <c r="AV53" s="616"/>
      <c r="AW53" s="616"/>
      <c r="AX53" s="616"/>
      <c r="AY53" s="616"/>
      <c r="AZ53" s="616"/>
      <c r="BA53" s="616"/>
      <c r="BB53" s="616"/>
      <c r="BC53" s="616"/>
      <c r="BD53" s="616"/>
      <c r="BE53" s="616"/>
      <c r="BF53" s="616"/>
      <c r="BG53" s="616"/>
      <c r="BH53" s="616"/>
      <c r="BI53" s="616"/>
      <c r="BJ53" s="616"/>
      <c r="BK53" s="616"/>
      <c r="BL53" s="616"/>
      <c r="BM53" s="616"/>
      <c r="BN53" s="616"/>
      <c r="BO53" s="616"/>
      <c r="BP53" s="616"/>
      <c r="BQ53" s="616"/>
      <c r="BR53" s="616"/>
      <c r="BS53" s="616"/>
      <c r="BT53" s="616"/>
      <c r="BU53" s="616"/>
      <c r="BV53" s="616"/>
      <c r="BW53" s="616"/>
      <c r="BX53" s="616"/>
      <c r="BY53" s="616"/>
      <c r="BZ53" s="616"/>
      <c r="CA53" s="616"/>
      <c r="CB53" s="616"/>
      <c r="CC53" s="616"/>
      <c r="CD53" s="616"/>
      <c r="CE53" s="616"/>
      <c r="CF53" s="616"/>
      <c r="CG53" s="616"/>
      <c r="CH53" s="616"/>
      <c r="CI53" s="616"/>
      <c r="CJ53" s="616"/>
      <c r="CK53" s="616"/>
      <c r="CL53" s="616"/>
      <c r="CM53" s="616"/>
      <c r="CN53" s="616"/>
      <c r="CO53" s="616"/>
      <c r="CP53" s="616"/>
      <c r="CQ53" s="616"/>
      <c r="CR53" s="616"/>
      <c r="CS53" s="616"/>
      <c r="CT53" s="616"/>
    </row>
    <row r="54" spans="1:98" s="613" customFormat="1" ht="15" customHeight="1">
      <c r="A54" s="612"/>
      <c r="B54" s="612"/>
      <c r="C54" s="612"/>
      <c r="D54" s="617" t="s">
        <v>341</v>
      </c>
      <c r="E54" s="612"/>
      <c r="F54" s="612"/>
      <c r="G54" s="612"/>
      <c r="H54" s="612"/>
      <c r="I54" s="612"/>
      <c r="J54" s="612"/>
      <c r="K54" s="612"/>
      <c r="L54" s="612"/>
      <c r="M54" s="612"/>
      <c r="N54" s="612"/>
      <c r="O54" s="612"/>
      <c r="P54" s="612"/>
      <c r="Q54" s="612"/>
      <c r="R54" s="612"/>
      <c r="S54" s="612"/>
      <c r="T54" s="612"/>
      <c r="U54" s="612"/>
      <c r="V54" s="612"/>
      <c r="W54" s="612"/>
      <c r="X54" s="612"/>
      <c r="Y54" s="612"/>
      <c r="Z54" s="612"/>
      <c r="AA54" s="612"/>
      <c r="AB54" s="2616">
        <f>ROUND(IF(ISERROR((AB49/AB50)),0,(AB49/AB50)),0)</f>
        <v>70744803</v>
      </c>
      <c r="AC54" s="2617"/>
      <c r="AD54" s="2617"/>
      <c r="AE54" s="2617"/>
      <c r="AF54" s="2618"/>
      <c r="AG54" s="612"/>
      <c r="AH54" s="612"/>
      <c r="AI54" s="612"/>
      <c r="AJ54" s="612"/>
      <c r="AK54" s="612"/>
      <c r="AL54" s="612"/>
      <c r="AM54" s="612"/>
      <c r="AN54" s="612"/>
      <c r="AO54" s="616"/>
      <c r="AP54" s="616"/>
      <c r="AQ54" s="616"/>
      <c r="AR54" s="616"/>
      <c r="AS54" s="616"/>
      <c r="AT54" s="616"/>
      <c r="AU54" s="616"/>
      <c r="AV54" s="616"/>
      <c r="AW54" s="616"/>
      <c r="AX54" s="616"/>
      <c r="AY54" s="616"/>
      <c r="AZ54" s="616"/>
      <c r="BA54" s="616"/>
      <c r="BB54" s="616"/>
      <c r="BC54" s="616"/>
      <c r="BD54" s="616"/>
      <c r="BE54" s="616"/>
      <c r="BF54" s="616"/>
      <c r="BG54" s="616"/>
      <c r="BH54" s="616"/>
      <c r="BI54" s="616"/>
      <c r="BJ54" s="616"/>
      <c r="BK54" s="616"/>
      <c r="BL54" s="616"/>
      <c r="BM54" s="616"/>
      <c r="BN54" s="616"/>
      <c r="BO54" s="616"/>
      <c r="BP54" s="616"/>
      <c r="BQ54" s="616"/>
      <c r="BR54" s="616"/>
      <c r="BS54" s="616"/>
      <c r="BT54" s="616"/>
      <c r="BU54" s="616"/>
      <c r="BV54" s="616"/>
      <c r="BW54" s="616"/>
      <c r="BX54" s="616"/>
      <c r="BY54" s="616"/>
      <c r="BZ54" s="616"/>
      <c r="CA54" s="616"/>
      <c r="CB54" s="616"/>
      <c r="CC54" s="616"/>
      <c r="CD54" s="616"/>
      <c r="CE54" s="616"/>
      <c r="CF54" s="616"/>
      <c r="CG54" s="616"/>
      <c r="CH54" s="616"/>
      <c r="CI54" s="616"/>
      <c r="CJ54" s="616"/>
      <c r="CK54" s="616"/>
      <c r="CL54" s="616"/>
      <c r="CM54" s="616"/>
      <c r="CN54" s="616"/>
      <c r="CO54" s="616"/>
      <c r="CP54" s="616"/>
      <c r="CQ54" s="616"/>
      <c r="CR54" s="616"/>
      <c r="CS54" s="616"/>
      <c r="CT54" s="616"/>
    </row>
    <row r="55" spans="1:98" ht="12.75" customHeight="1">
      <c r="A55" s="612"/>
      <c r="B55" s="612"/>
      <c r="C55" s="612"/>
      <c r="D55" s="617" t="s">
        <v>342</v>
      </c>
      <c r="E55" s="612"/>
      <c r="F55" s="612"/>
      <c r="G55" s="612"/>
      <c r="H55" s="612"/>
      <c r="I55" s="612"/>
      <c r="J55" s="612"/>
      <c r="K55" s="612"/>
      <c r="L55" s="612"/>
      <c r="M55" s="612"/>
      <c r="N55" s="612"/>
      <c r="O55" s="612"/>
      <c r="P55" s="612"/>
      <c r="Q55" s="612"/>
      <c r="R55" s="612"/>
      <c r="S55" s="612"/>
      <c r="T55" s="612"/>
      <c r="U55" s="612"/>
      <c r="V55" s="612"/>
      <c r="W55" s="612"/>
      <c r="X55" s="612"/>
      <c r="Y55" s="612"/>
      <c r="Z55" s="612"/>
      <c r="AA55" s="612"/>
      <c r="AB55" s="2616">
        <f>(AB54/10)</f>
        <v>7074480.2999999998</v>
      </c>
      <c r="AC55" s="2617"/>
      <c r="AD55" s="2617"/>
      <c r="AE55" s="2617"/>
      <c r="AF55" s="2618"/>
      <c r="AG55" s="612"/>
      <c r="AH55" s="612"/>
      <c r="AI55" s="612"/>
      <c r="AJ55" s="612"/>
      <c r="AK55" s="612"/>
      <c r="AL55" s="612"/>
      <c r="AM55" s="612"/>
      <c r="AN55" s="612"/>
      <c r="AO55" s="611"/>
      <c r="AP55" s="611"/>
      <c r="AQ55" s="611"/>
      <c r="AR55" s="611"/>
      <c r="AS55" s="611"/>
      <c r="AT55" s="611"/>
      <c r="AU55" s="611"/>
      <c r="AV55" s="611"/>
      <c r="AW55" s="611"/>
      <c r="AX55" s="611"/>
      <c r="AY55" s="611"/>
      <c r="AZ55" s="611"/>
      <c r="BA55" s="611"/>
      <c r="BB55" s="611"/>
      <c r="BC55" s="611"/>
      <c r="BD55" s="611"/>
      <c r="BE55" s="611"/>
      <c r="BF55" s="611"/>
      <c r="BG55" s="611"/>
      <c r="BH55" s="611"/>
      <c r="BI55" s="611"/>
      <c r="BJ55" s="611"/>
      <c r="BK55" s="611"/>
      <c r="BL55" s="611"/>
      <c r="BM55" s="611"/>
      <c r="BN55" s="611"/>
      <c r="BO55" s="611"/>
      <c r="BP55" s="611"/>
      <c r="BQ55" s="611"/>
      <c r="BR55" s="611"/>
      <c r="BS55" s="611"/>
      <c r="BT55" s="611"/>
      <c r="BU55" s="611"/>
      <c r="BV55" s="611"/>
      <c r="BW55" s="611"/>
      <c r="BX55" s="611"/>
      <c r="BY55" s="611"/>
      <c r="BZ55" s="611"/>
      <c r="CA55" s="611"/>
      <c r="CB55" s="611"/>
      <c r="CC55" s="611"/>
      <c r="CD55" s="611"/>
      <c r="CE55" s="611"/>
      <c r="CF55" s="611"/>
      <c r="CG55" s="611"/>
      <c r="CH55" s="611"/>
      <c r="CI55" s="611"/>
      <c r="CJ55" s="611"/>
      <c r="CK55" s="611"/>
      <c r="CL55" s="611"/>
      <c r="CM55" s="611"/>
      <c r="CN55" s="611"/>
      <c r="CO55" s="611"/>
      <c r="CP55" s="611"/>
      <c r="CQ55" s="611"/>
      <c r="CR55" s="611"/>
      <c r="CS55" s="611"/>
      <c r="CT55" s="611"/>
    </row>
    <row r="56" spans="1:98" ht="13.2">
      <c r="A56" s="612"/>
      <c r="B56" s="612"/>
      <c r="C56" s="612"/>
      <c r="D56" s="617" t="s">
        <v>797</v>
      </c>
      <c r="E56" s="612"/>
      <c r="F56" s="612"/>
      <c r="G56" s="612"/>
      <c r="H56" s="612"/>
      <c r="I56" s="612"/>
      <c r="J56" s="612"/>
      <c r="K56" s="612"/>
      <c r="L56" s="612"/>
      <c r="M56" s="612"/>
      <c r="N56" s="612"/>
      <c r="O56" s="612"/>
      <c r="P56" s="612"/>
      <c r="Q56" s="612"/>
      <c r="R56" s="612"/>
      <c r="S56" s="612"/>
      <c r="T56" s="612"/>
      <c r="U56" s="612"/>
      <c r="V56" s="612"/>
      <c r="W56" s="612"/>
      <c r="X56" s="612"/>
      <c r="Y56" s="612"/>
      <c r="Z56" s="612"/>
      <c r="AA56" s="612"/>
      <c r="AB56" s="2653">
        <f>(IF((Y41&lt;AB55),Y41,AB55))</f>
        <v>4691762</v>
      </c>
      <c r="AC56" s="2654"/>
      <c r="AD56" s="2654"/>
      <c r="AE56" s="2654"/>
      <c r="AF56" s="2655"/>
      <c r="AG56" s="612"/>
      <c r="AH56" s="612"/>
      <c r="AI56" s="612"/>
      <c r="AJ56" s="612"/>
      <c r="AK56" s="612"/>
      <c r="AL56" s="612"/>
      <c r="AM56" s="612"/>
      <c r="AN56" s="612"/>
      <c r="AO56" s="611"/>
      <c r="AP56" s="611"/>
      <c r="AQ56" s="611"/>
      <c r="AR56" s="611"/>
      <c r="AS56" s="611"/>
      <c r="AT56" s="611"/>
      <c r="AU56" s="611"/>
      <c r="AV56" s="611"/>
      <c r="AW56" s="611"/>
      <c r="AX56" s="611"/>
      <c r="AY56" s="611"/>
      <c r="AZ56" s="611"/>
      <c r="BA56" s="611"/>
      <c r="BB56" s="611"/>
      <c r="BC56" s="611"/>
      <c r="BD56" s="611"/>
      <c r="BE56" s="611"/>
      <c r="BF56" s="611"/>
      <c r="BG56" s="611"/>
      <c r="BH56" s="611"/>
      <c r="BI56" s="611"/>
      <c r="BJ56" s="611"/>
      <c r="BK56" s="611"/>
      <c r="BL56" s="611"/>
      <c r="BM56" s="611"/>
      <c r="BN56" s="611"/>
      <c r="BO56" s="611"/>
      <c r="BP56" s="611"/>
      <c r="BQ56" s="611"/>
      <c r="BR56" s="611"/>
      <c r="BS56" s="611"/>
      <c r="BT56" s="611"/>
      <c r="BU56" s="611"/>
      <c r="BV56" s="611"/>
      <c r="BW56" s="611"/>
      <c r="BX56" s="611"/>
      <c r="BY56" s="611"/>
      <c r="BZ56" s="611"/>
      <c r="CA56" s="611"/>
      <c r="CB56" s="611"/>
      <c r="CC56" s="611"/>
      <c r="CD56" s="611"/>
      <c r="CE56" s="611"/>
      <c r="CF56" s="611"/>
      <c r="CG56" s="611"/>
      <c r="CH56" s="611"/>
      <c r="CI56" s="611"/>
      <c r="CJ56" s="611"/>
      <c r="CK56" s="611"/>
      <c r="CL56" s="611"/>
      <c r="CM56" s="611"/>
      <c r="CN56" s="611"/>
      <c r="CO56" s="611"/>
      <c r="CP56" s="611"/>
      <c r="CQ56" s="611"/>
      <c r="CR56" s="611"/>
      <c r="CS56" s="611"/>
      <c r="CT56" s="611"/>
    </row>
    <row r="57" spans="1:98" ht="13.2">
      <c r="A57" s="612"/>
      <c r="B57" s="612"/>
      <c r="C57" s="612"/>
      <c r="D57" s="617" t="s">
        <v>796</v>
      </c>
      <c r="E57" s="612"/>
      <c r="F57" s="612"/>
      <c r="G57" s="612"/>
      <c r="H57" s="612"/>
      <c r="I57" s="612"/>
      <c r="J57" s="612"/>
      <c r="K57" s="612"/>
      <c r="L57" s="612"/>
      <c r="M57" s="612"/>
      <c r="N57" s="612"/>
      <c r="O57" s="612"/>
      <c r="P57" s="612"/>
      <c r="Q57" s="612"/>
      <c r="R57" s="612"/>
      <c r="S57" s="612"/>
      <c r="T57" s="612"/>
      <c r="U57" s="612"/>
      <c r="V57" s="612"/>
      <c r="W57" s="612"/>
      <c r="X57" s="612"/>
      <c r="Y57" s="612"/>
      <c r="Z57" s="612"/>
      <c r="AA57" s="612"/>
      <c r="AB57" s="2616">
        <f>ROUND((10*AB56*AB50),0)</f>
        <v>41838058</v>
      </c>
      <c r="AC57" s="2617"/>
      <c r="AD57" s="2617"/>
      <c r="AE57" s="2617"/>
      <c r="AF57" s="2618"/>
      <c r="AG57" s="612"/>
      <c r="AH57" s="612"/>
      <c r="AI57" s="612"/>
      <c r="AJ57" s="612"/>
      <c r="AK57" s="612"/>
      <c r="AL57" s="612"/>
      <c r="AM57" s="612"/>
      <c r="AN57" s="612"/>
      <c r="AO57" s="611"/>
      <c r="AP57" s="611"/>
      <c r="AQ57" s="611"/>
      <c r="AR57" s="611"/>
      <c r="AS57" s="611"/>
      <c r="AT57" s="611"/>
      <c r="AU57" s="611"/>
      <c r="AV57" s="611"/>
      <c r="AW57" s="611"/>
      <c r="AX57" s="611"/>
      <c r="AY57" s="611"/>
      <c r="AZ57" s="611"/>
      <c r="BA57" s="611"/>
      <c r="BB57" s="611"/>
      <c r="BC57" s="611"/>
      <c r="BD57" s="611"/>
      <c r="BE57" s="611"/>
      <c r="BF57" s="611"/>
      <c r="BG57" s="611"/>
      <c r="BH57" s="611"/>
      <c r="BI57" s="611"/>
      <c r="BJ57" s="611"/>
      <c r="BK57" s="611"/>
      <c r="BL57" s="611"/>
      <c r="BM57" s="611"/>
      <c r="BN57" s="611"/>
      <c r="BO57" s="611"/>
      <c r="BP57" s="611"/>
      <c r="BQ57" s="611"/>
      <c r="BR57" s="611"/>
      <c r="BS57" s="611"/>
      <c r="BT57" s="611"/>
      <c r="BU57" s="611"/>
      <c r="BV57" s="611"/>
      <c r="BW57" s="611"/>
      <c r="BX57" s="611"/>
      <c r="BY57" s="611"/>
      <c r="BZ57" s="611"/>
      <c r="CA57" s="611"/>
      <c r="CB57" s="611"/>
      <c r="CC57" s="611"/>
      <c r="CD57" s="611"/>
      <c r="CE57" s="611"/>
      <c r="CF57" s="611"/>
      <c r="CG57" s="611"/>
      <c r="CH57" s="611"/>
      <c r="CI57" s="611"/>
      <c r="CJ57" s="611"/>
      <c r="CK57" s="611"/>
      <c r="CL57" s="611"/>
      <c r="CM57" s="611"/>
      <c r="CN57" s="611"/>
      <c r="CO57" s="611"/>
      <c r="CP57" s="611"/>
      <c r="CQ57" s="611"/>
      <c r="CR57" s="611"/>
      <c r="CS57" s="611"/>
      <c r="CT57" s="611"/>
    </row>
    <row r="58" spans="1:98" ht="13.2">
      <c r="A58" s="612"/>
      <c r="B58" s="612"/>
      <c r="C58" s="612"/>
      <c r="D58" s="617"/>
      <c r="E58" s="612"/>
      <c r="F58" s="612"/>
      <c r="G58" s="612"/>
      <c r="H58" s="612"/>
      <c r="I58" s="612"/>
      <c r="J58" s="612"/>
      <c r="K58" s="612"/>
      <c r="L58" s="612"/>
      <c r="M58" s="612"/>
      <c r="N58" s="612"/>
      <c r="O58" s="612"/>
      <c r="P58" s="612"/>
      <c r="Q58" s="612"/>
      <c r="R58" s="612"/>
      <c r="S58" s="612"/>
      <c r="T58" s="612"/>
      <c r="U58" s="612"/>
      <c r="V58" s="612"/>
      <c r="W58" s="612"/>
      <c r="X58" s="612"/>
      <c r="Y58" s="612"/>
      <c r="Z58" s="612"/>
      <c r="AA58" s="612"/>
      <c r="AB58" s="645"/>
      <c r="AC58" s="645"/>
      <c r="AD58" s="645"/>
      <c r="AE58" s="645"/>
      <c r="AF58" s="645"/>
      <c r="AG58" s="612"/>
      <c r="AH58" s="612"/>
      <c r="AI58" s="612"/>
      <c r="AJ58" s="612"/>
      <c r="AK58" s="612"/>
      <c r="AL58" s="612"/>
      <c r="AM58" s="612"/>
      <c r="AN58" s="612"/>
      <c r="AO58" s="611"/>
      <c r="AP58" s="611"/>
      <c r="AQ58" s="611"/>
      <c r="AR58" s="611"/>
      <c r="AS58" s="611"/>
      <c r="AT58" s="611"/>
      <c r="AU58" s="611"/>
      <c r="AV58" s="611"/>
      <c r="AW58" s="611"/>
      <c r="AX58" s="611"/>
      <c r="AY58" s="611"/>
      <c r="AZ58" s="611"/>
      <c r="BA58" s="611"/>
      <c r="BB58" s="611"/>
      <c r="BC58" s="611"/>
      <c r="BD58" s="611"/>
      <c r="BE58" s="611"/>
      <c r="BF58" s="611"/>
      <c r="BG58" s="611"/>
      <c r="BH58" s="611"/>
      <c r="BI58" s="611"/>
      <c r="BJ58" s="611"/>
      <c r="BK58" s="611"/>
      <c r="BL58" s="611"/>
      <c r="BM58" s="611"/>
      <c r="BN58" s="611"/>
      <c r="BO58" s="611"/>
      <c r="BP58" s="611"/>
      <c r="BQ58" s="611"/>
      <c r="BR58" s="611"/>
      <c r="BS58" s="611"/>
      <c r="BT58" s="611"/>
      <c r="BU58" s="611"/>
      <c r="BV58" s="611"/>
      <c r="BW58" s="611"/>
      <c r="BX58" s="611"/>
      <c r="BY58" s="611"/>
      <c r="BZ58" s="611"/>
      <c r="CA58" s="611"/>
      <c r="CB58" s="611"/>
      <c r="CC58" s="611"/>
      <c r="CD58" s="611"/>
      <c r="CE58" s="611"/>
      <c r="CF58" s="611"/>
      <c r="CG58" s="611"/>
      <c r="CH58" s="611"/>
      <c r="CI58" s="611"/>
      <c r="CJ58" s="611"/>
      <c r="CK58" s="611"/>
      <c r="CL58" s="611"/>
      <c r="CM58" s="611"/>
      <c r="CN58" s="611"/>
      <c r="CO58" s="611"/>
      <c r="CP58" s="611"/>
      <c r="CQ58" s="611"/>
      <c r="CR58" s="611"/>
      <c r="CS58" s="611"/>
      <c r="CT58" s="611"/>
    </row>
    <row r="59" spans="1:98" ht="12.75" customHeight="1">
      <c r="A59" s="612"/>
      <c r="B59" s="612"/>
      <c r="C59" s="612"/>
      <c r="D59" s="617" t="s">
        <v>795</v>
      </c>
      <c r="E59" s="612"/>
      <c r="F59" s="612"/>
      <c r="G59" s="612"/>
      <c r="H59" s="612"/>
      <c r="I59" s="612"/>
      <c r="J59" s="612"/>
      <c r="K59" s="612"/>
      <c r="L59" s="612"/>
      <c r="M59" s="612"/>
      <c r="N59" s="612"/>
      <c r="O59" s="612"/>
      <c r="P59" s="612"/>
      <c r="Q59" s="612"/>
      <c r="R59" s="612"/>
      <c r="S59" s="612"/>
      <c r="T59" s="612"/>
      <c r="U59" s="612"/>
      <c r="V59" s="612"/>
      <c r="W59" s="612"/>
      <c r="X59" s="612"/>
      <c r="Y59" s="612"/>
      <c r="Z59" s="612"/>
      <c r="AA59" s="612"/>
      <c r="AB59" s="2644">
        <f>AB49-AB57</f>
        <v>21247519</v>
      </c>
      <c r="AC59" s="2644"/>
      <c r="AD59" s="2644"/>
      <c r="AE59" s="2644"/>
      <c r="AF59" s="2644"/>
      <c r="AG59" s="612"/>
      <c r="AH59" s="612"/>
      <c r="AI59" s="612"/>
      <c r="AJ59" s="612"/>
      <c r="AK59" s="612"/>
      <c r="AL59" s="612"/>
      <c r="AM59" s="612"/>
      <c r="AN59" s="612"/>
      <c r="AO59" s="611"/>
      <c r="AP59" s="611"/>
      <c r="AQ59" s="611"/>
      <c r="AR59" s="611"/>
      <c r="AS59" s="611"/>
      <c r="AT59" s="611"/>
      <c r="AU59" s="611"/>
      <c r="AV59" s="611"/>
      <c r="AW59" s="611"/>
      <c r="AX59" s="611"/>
      <c r="AY59" s="611"/>
      <c r="AZ59" s="611"/>
      <c r="BA59" s="611"/>
      <c r="BB59" s="611"/>
      <c r="BC59" s="611"/>
      <c r="BD59" s="611"/>
      <c r="BE59" s="611"/>
      <c r="BF59" s="611"/>
      <c r="BG59" s="611"/>
      <c r="BH59" s="611"/>
      <c r="BI59" s="611"/>
      <c r="BJ59" s="611"/>
      <c r="BK59" s="611"/>
      <c r="BL59" s="611"/>
      <c r="BM59" s="611"/>
      <c r="BN59" s="611"/>
      <c r="BO59" s="611"/>
      <c r="BP59" s="611"/>
      <c r="BQ59" s="611"/>
      <c r="BR59" s="611"/>
      <c r="BS59" s="611"/>
      <c r="BT59" s="611"/>
      <c r="BU59" s="611"/>
      <c r="BV59" s="611"/>
      <c r="BW59" s="611"/>
      <c r="BX59" s="611"/>
      <c r="BY59" s="611"/>
      <c r="BZ59" s="611"/>
      <c r="CA59" s="611"/>
      <c r="CB59" s="611"/>
      <c r="CC59" s="611"/>
      <c r="CD59" s="611"/>
      <c r="CE59" s="611"/>
      <c r="CF59" s="611"/>
      <c r="CG59" s="611"/>
      <c r="CH59" s="611"/>
      <c r="CI59" s="611"/>
      <c r="CJ59" s="611"/>
      <c r="CK59" s="611"/>
      <c r="CL59" s="611"/>
      <c r="CM59" s="611"/>
      <c r="CN59" s="611"/>
      <c r="CO59" s="611"/>
      <c r="CP59" s="611"/>
      <c r="CQ59" s="611"/>
      <c r="CR59" s="611"/>
      <c r="CS59" s="611"/>
      <c r="CT59" s="611"/>
    </row>
    <row r="60" spans="1:98" ht="12.75" customHeight="1">
      <c r="A60" s="612"/>
      <c r="B60" s="612"/>
      <c r="C60" s="612"/>
      <c r="D60" s="617"/>
      <c r="E60" s="612"/>
      <c r="F60" s="612"/>
      <c r="G60" s="612"/>
      <c r="H60" s="612"/>
      <c r="I60" s="612"/>
      <c r="J60" s="612"/>
      <c r="K60" s="612"/>
      <c r="L60" s="612"/>
      <c r="M60" s="612"/>
      <c r="N60" s="612"/>
      <c r="O60" s="612"/>
      <c r="P60" s="612"/>
      <c r="Q60" s="612"/>
      <c r="R60" s="612"/>
      <c r="S60" s="612"/>
      <c r="T60" s="612"/>
      <c r="U60" s="612"/>
      <c r="V60" s="612"/>
      <c r="W60" s="612"/>
      <c r="X60" s="612"/>
      <c r="Y60" s="612"/>
      <c r="Z60" s="612"/>
      <c r="AA60" s="612"/>
      <c r="AB60" s="645"/>
      <c r="AC60" s="645"/>
      <c r="AD60" s="645"/>
      <c r="AE60" s="645"/>
      <c r="AF60" s="645"/>
      <c r="AG60" s="612"/>
      <c r="AH60" s="612"/>
      <c r="AI60" s="612"/>
      <c r="AJ60" s="612"/>
      <c r="AK60" s="612"/>
      <c r="AL60" s="612"/>
      <c r="AM60" s="612"/>
      <c r="AN60" s="612"/>
      <c r="AO60" s="611"/>
      <c r="AP60" s="611"/>
      <c r="AQ60" s="611"/>
      <c r="AR60" s="611"/>
      <c r="AS60" s="611"/>
      <c r="AT60" s="611"/>
      <c r="AU60" s="611"/>
      <c r="AV60" s="611"/>
      <c r="AW60" s="611"/>
      <c r="AX60" s="611"/>
      <c r="AY60" s="611"/>
      <c r="AZ60" s="611"/>
      <c r="BA60" s="611"/>
      <c r="BB60" s="611"/>
      <c r="BC60" s="611"/>
      <c r="BD60" s="611"/>
      <c r="BE60" s="611"/>
      <c r="BF60" s="611"/>
      <c r="BG60" s="611"/>
      <c r="BH60" s="611"/>
      <c r="BI60" s="611"/>
      <c r="BJ60" s="611"/>
      <c r="BK60" s="611"/>
      <c r="BL60" s="611"/>
      <c r="BM60" s="611"/>
      <c r="BN60" s="611"/>
      <c r="BO60" s="611"/>
      <c r="BP60" s="611"/>
      <c r="BQ60" s="611"/>
      <c r="BR60" s="611"/>
      <c r="BS60" s="611"/>
      <c r="BT60" s="611"/>
      <c r="BU60" s="611"/>
      <c r="BV60" s="611"/>
      <c r="BW60" s="611"/>
      <c r="BX60" s="611"/>
      <c r="BY60" s="611"/>
      <c r="BZ60" s="611"/>
      <c r="CA60" s="611"/>
      <c r="CB60" s="611"/>
      <c r="CC60" s="611"/>
      <c r="CD60" s="611"/>
      <c r="CE60" s="611"/>
      <c r="CF60" s="611"/>
      <c r="CG60" s="611"/>
      <c r="CH60" s="611"/>
      <c r="CI60" s="611"/>
      <c r="CJ60" s="611"/>
      <c r="CK60" s="611"/>
      <c r="CL60" s="611"/>
      <c r="CM60" s="611"/>
      <c r="CN60" s="611"/>
      <c r="CO60" s="611"/>
      <c r="CP60" s="611"/>
      <c r="CQ60" s="611"/>
      <c r="CR60" s="611"/>
      <c r="CS60" s="611"/>
      <c r="CT60" s="611"/>
    </row>
    <row r="61" spans="1:98" s="324" customFormat="1" ht="13.8" thickBot="1">
      <c r="A61" s="2596" t="str">
        <f>IF(Application!AP204="yes","Farmworker State Credit", "State Credit" )</f>
        <v>State Credit</v>
      </c>
      <c r="B61" s="2596"/>
      <c r="C61" s="2596"/>
      <c r="D61" s="2596"/>
      <c r="E61" s="2596"/>
      <c r="F61" s="2596"/>
      <c r="G61" s="2596"/>
      <c r="H61" s="2596"/>
      <c r="I61" s="2596"/>
      <c r="J61" s="2596"/>
      <c r="K61" s="2596"/>
      <c r="L61" s="2596"/>
      <c r="M61" s="2596"/>
      <c r="N61" s="2596"/>
      <c r="O61" s="2596"/>
      <c r="P61" s="2596"/>
      <c r="Q61" s="2596"/>
      <c r="R61" s="2596"/>
      <c r="S61" s="2596"/>
      <c r="T61" s="2596"/>
      <c r="U61" s="2596"/>
      <c r="V61" s="2596"/>
      <c r="W61" s="2596"/>
      <c r="X61" s="2596"/>
      <c r="Y61" s="2596"/>
      <c r="Z61" s="2596"/>
      <c r="AA61" s="2596"/>
      <c r="AB61" s="2596"/>
      <c r="AC61" s="2596"/>
      <c r="AD61" s="2596"/>
      <c r="AE61" s="2596"/>
      <c r="AF61" s="2596"/>
      <c r="AG61" s="2596"/>
      <c r="AH61" s="2596"/>
      <c r="AI61" s="2596"/>
      <c r="AJ61" s="2596"/>
      <c r="AK61" s="2596"/>
      <c r="AL61" s="2596"/>
      <c r="AM61" s="2596"/>
      <c r="AN61" s="2596"/>
      <c r="AO61" s="2596"/>
      <c r="AP61" s="2596"/>
      <c r="AQ61" s="2596"/>
      <c r="AR61" s="2596"/>
      <c r="AS61" s="2596"/>
      <c r="AT61" s="2596"/>
      <c r="AU61" s="2596"/>
      <c r="AV61" s="2596"/>
      <c r="AW61" s="2596"/>
      <c r="AX61" s="2596"/>
      <c r="AY61" s="2596"/>
      <c r="AZ61" s="2596"/>
      <c r="BA61" s="2596"/>
      <c r="BB61" s="2596"/>
      <c r="BC61" s="2596"/>
      <c r="BD61" s="2596"/>
      <c r="BE61" s="2596"/>
      <c r="BF61" s="2596"/>
      <c r="BG61" s="2596"/>
      <c r="BH61" s="2596"/>
      <c r="BI61" s="2596"/>
      <c r="BJ61" s="2596"/>
      <c r="BK61" s="2596"/>
      <c r="BL61" s="2596"/>
      <c r="BM61" s="2596"/>
      <c r="BN61" s="2596"/>
      <c r="BO61" s="2596"/>
      <c r="BP61" s="2596"/>
      <c r="BQ61" s="2596"/>
      <c r="BR61" s="2596"/>
      <c r="BS61" s="2596"/>
      <c r="BT61" s="2596"/>
      <c r="BU61" s="2596"/>
      <c r="BV61" s="2596"/>
      <c r="BW61" s="2596"/>
      <c r="BX61" s="2596"/>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2.75"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3.2">
      <c r="A63" s="617" t="s">
        <v>624</v>
      </c>
      <c r="B63" s="612"/>
      <c r="C63" s="325" t="s">
        <v>1477</v>
      </c>
      <c r="D63" s="612"/>
      <c r="E63" s="612"/>
      <c r="F63" s="612"/>
      <c r="G63" s="612"/>
      <c r="H63" s="612"/>
      <c r="I63" s="612"/>
      <c r="J63" s="612"/>
      <c r="K63" s="612"/>
      <c r="L63" s="612"/>
      <c r="M63" s="612"/>
      <c r="N63" s="612"/>
      <c r="O63" s="612"/>
      <c r="P63" s="612"/>
      <c r="Q63" s="612"/>
      <c r="R63" s="612"/>
      <c r="S63" s="612"/>
      <c r="T63" s="612"/>
      <c r="U63" s="612"/>
      <c r="V63" s="612"/>
      <c r="W63" s="612"/>
      <c r="X63" s="612"/>
      <c r="Y63" s="2645" t="s">
        <v>1066</v>
      </c>
      <c r="Z63" s="2645"/>
      <c r="AA63" s="2645"/>
      <c r="AB63" s="2645"/>
      <c r="AC63" s="2645"/>
      <c r="AD63" s="2645" t="s">
        <v>380</v>
      </c>
      <c r="AE63" s="2645"/>
      <c r="AF63" s="2645"/>
      <c r="AG63" s="2645"/>
      <c r="AH63" s="2645"/>
      <c r="AI63" s="612"/>
      <c r="AJ63" s="612"/>
      <c r="AK63" s="612"/>
      <c r="AL63" s="612"/>
      <c r="AM63" s="612"/>
      <c r="AN63" s="612"/>
      <c r="AO63" s="611"/>
      <c r="AP63" s="611"/>
      <c r="AQ63" s="611"/>
      <c r="AR63" s="611"/>
      <c r="AS63" s="611"/>
      <c r="AT63" s="611"/>
      <c r="AU63" s="611"/>
      <c r="AV63" s="611"/>
      <c r="AW63" s="611"/>
      <c r="AX63" s="611"/>
      <c r="AY63" s="611"/>
      <c r="AZ63" s="611"/>
      <c r="BA63" s="611"/>
      <c r="BB63" s="611"/>
      <c r="BC63" s="611"/>
      <c r="BD63" s="611"/>
      <c r="BE63" s="611"/>
      <c r="BF63" s="611"/>
      <c r="BG63" s="611"/>
      <c r="BH63" s="611"/>
      <c r="BI63" s="611"/>
      <c r="BJ63" s="611"/>
      <c r="BK63" s="611"/>
      <c r="BL63" s="611"/>
      <c r="BM63" s="611"/>
      <c r="BN63" s="611"/>
      <c r="BO63" s="611"/>
      <c r="BP63" s="611"/>
      <c r="BQ63" s="611"/>
      <c r="BR63" s="611"/>
      <c r="BS63" s="611"/>
      <c r="BT63" s="611"/>
      <c r="BU63" s="611"/>
      <c r="BV63" s="611"/>
      <c r="BW63" s="611"/>
      <c r="BX63" s="611"/>
      <c r="BY63" s="611"/>
      <c r="BZ63" s="611"/>
      <c r="CA63" s="611"/>
      <c r="CB63" s="611"/>
      <c r="CC63" s="611"/>
      <c r="CD63" s="611"/>
      <c r="CE63" s="611"/>
      <c r="CF63" s="611"/>
      <c r="CG63" s="611"/>
      <c r="CH63" s="611"/>
      <c r="CI63" s="611"/>
      <c r="CJ63" s="611"/>
      <c r="CK63" s="611"/>
      <c r="CL63" s="611"/>
      <c r="CM63" s="611"/>
      <c r="CN63" s="611"/>
      <c r="CO63" s="611"/>
      <c r="CP63" s="611"/>
      <c r="CQ63" s="611"/>
      <c r="CR63" s="611"/>
      <c r="CS63" s="611"/>
      <c r="CT63" s="611"/>
    </row>
    <row r="64" spans="1:98" ht="13.2">
      <c r="A64" s="612"/>
      <c r="B64" s="612"/>
      <c r="C64" s="637"/>
      <c r="D64" s="638" t="s">
        <v>1478</v>
      </c>
      <c r="E64" s="639"/>
      <c r="F64" s="639"/>
      <c r="G64" s="639"/>
      <c r="H64" s="639"/>
      <c r="I64" s="639"/>
      <c r="J64" s="639"/>
      <c r="K64" s="639"/>
      <c r="L64" s="640"/>
      <c r="M64" s="640"/>
      <c r="N64" s="640"/>
      <c r="O64" s="640"/>
      <c r="P64" s="640"/>
      <c r="Q64" s="640"/>
      <c r="R64" s="640"/>
      <c r="S64" s="640"/>
      <c r="T64" s="640"/>
      <c r="U64" s="640"/>
      <c r="V64" s="640"/>
      <c r="W64" s="640"/>
      <c r="X64" s="640"/>
      <c r="Y64" s="2646">
        <f>IF(Application!Z204="(select)",0,((T23*T27)+Y28))</f>
        <v>90226199</v>
      </c>
      <c r="Z64" s="2647"/>
      <c r="AA64" s="2647"/>
      <c r="AB64" s="2647"/>
      <c r="AC64" s="2648"/>
      <c r="AD64" s="2646">
        <f>IF(AND(Application!AP204="yes",Application!M357="yes"),AD28+AI28,0)</f>
        <v>0</v>
      </c>
      <c r="AE64" s="2647"/>
      <c r="AF64" s="2647"/>
      <c r="AG64" s="2647"/>
      <c r="AH64" s="2648"/>
      <c r="AI64" s="612"/>
      <c r="AJ64" s="612"/>
      <c r="AK64" s="612"/>
      <c r="AL64" s="612"/>
      <c r="AM64" s="612"/>
      <c r="AN64" s="612"/>
      <c r="AO64" s="611"/>
      <c r="AP64" s="611"/>
      <c r="AQ64" s="611"/>
      <c r="AR64" s="611"/>
      <c r="AS64" s="611"/>
      <c r="AT64" s="611"/>
      <c r="AU64" s="611"/>
      <c r="AV64" s="611"/>
      <c r="AW64" s="611"/>
      <c r="AX64" s="611"/>
      <c r="AY64" s="611"/>
      <c r="AZ64" s="611"/>
      <c r="BA64" s="611"/>
      <c r="BB64" s="611"/>
      <c r="BC64" s="611"/>
      <c r="BD64" s="611"/>
      <c r="BE64" s="611"/>
      <c r="BF64" s="611"/>
      <c r="BG64" s="611"/>
      <c r="BH64" s="611"/>
      <c r="BI64" s="611"/>
      <c r="BJ64" s="611"/>
      <c r="BK64" s="611"/>
      <c r="BL64" s="611"/>
      <c r="BM64" s="611"/>
      <c r="BN64" s="611"/>
      <c r="BO64" s="611"/>
      <c r="BP64" s="611"/>
      <c r="BQ64" s="611"/>
      <c r="BR64" s="611"/>
      <c r="BS64" s="611"/>
      <c r="BT64" s="611"/>
      <c r="BU64" s="611"/>
      <c r="BV64" s="611"/>
      <c r="BW64" s="611"/>
      <c r="BX64" s="611"/>
      <c r="BY64" s="611"/>
      <c r="BZ64" s="611"/>
      <c r="CA64" s="611"/>
      <c r="CB64" s="611"/>
      <c r="CC64" s="611"/>
      <c r="CD64" s="611"/>
      <c r="CE64" s="611"/>
      <c r="CF64" s="611"/>
      <c r="CG64" s="611"/>
      <c r="CH64" s="611"/>
      <c r="CI64" s="611"/>
      <c r="CJ64" s="611"/>
      <c r="CK64" s="611"/>
      <c r="CL64" s="611"/>
      <c r="CM64" s="611"/>
      <c r="CN64" s="611"/>
      <c r="CO64" s="611"/>
      <c r="CP64" s="611"/>
      <c r="CQ64" s="611"/>
      <c r="CR64" s="611"/>
      <c r="CS64" s="611"/>
      <c r="CT64" s="611"/>
    </row>
    <row r="65" spans="1:98" ht="15" customHeight="1">
      <c r="A65" s="612"/>
      <c r="B65" s="612"/>
      <c r="C65" s="617"/>
      <c r="D65" s="612"/>
      <c r="E65" s="1798" t="s">
        <v>2367</v>
      </c>
      <c r="F65" s="1625"/>
      <c r="G65" s="1625"/>
      <c r="H65" s="1625"/>
      <c r="I65" s="1625"/>
      <c r="J65" s="1625"/>
      <c r="K65" s="1625"/>
      <c r="L65" s="1625"/>
      <c r="M65" s="1625"/>
      <c r="N65" s="1625"/>
      <c r="O65" s="1625"/>
      <c r="P65" s="1625"/>
      <c r="Q65" s="1625"/>
      <c r="R65" s="1625"/>
      <c r="S65" s="1625"/>
      <c r="T65" s="1625"/>
      <c r="U65" s="1625"/>
      <c r="V65" s="1625"/>
      <c r="W65" s="1625"/>
      <c r="X65" s="1625"/>
      <c r="Y65" s="1625"/>
      <c r="Z65" s="1625"/>
      <c r="AA65" s="1625"/>
      <c r="AB65" s="1625"/>
      <c r="AC65" s="1625"/>
      <c r="AD65" s="1625"/>
      <c r="AE65" s="1625"/>
      <c r="AF65" s="1625"/>
      <c r="AG65" s="1625"/>
      <c r="AH65" s="1625"/>
      <c r="AI65" s="686"/>
      <c r="AJ65" s="686"/>
      <c r="AK65" s="612"/>
      <c r="AL65" s="612"/>
      <c r="AM65" s="612"/>
      <c r="AN65" s="612"/>
      <c r="AO65" s="611"/>
      <c r="AP65" s="611"/>
      <c r="AQ65" s="611"/>
      <c r="AR65" s="611"/>
      <c r="AS65" s="611"/>
      <c r="AT65" s="611"/>
      <c r="AU65" s="611"/>
      <c r="AV65" s="611"/>
      <c r="AW65" s="611"/>
      <c r="AX65" s="611"/>
      <c r="AY65" s="611"/>
      <c r="AZ65" s="611"/>
      <c r="BA65" s="611"/>
      <c r="BB65" s="611"/>
      <c r="BC65" s="611"/>
      <c r="BD65" s="611"/>
      <c r="BE65" s="611"/>
      <c r="BF65" s="611"/>
      <c r="BG65" s="611"/>
      <c r="BH65" s="611"/>
      <c r="BI65" s="611"/>
      <c r="BJ65" s="611"/>
      <c r="BK65" s="611"/>
      <c r="BL65" s="611"/>
      <c r="BM65" s="611"/>
      <c r="BN65" s="611"/>
      <c r="BO65" s="611"/>
      <c r="BP65" s="611"/>
      <c r="BQ65" s="611"/>
      <c r="BR65" s="611"/>
      <c r="BS65" s="611"/>
      <c r="BT65" s="611"/>
      <c r="BU65" s="611"/>
      <c r="BV65" s="611"/>
      <c r="BW65" s="611"/>
      <c r="BX65" s="611"/>
      <c r="BY65" s="611"/>
      <c r="BZ65" s="611"/>
      <c r="CA65" s="611"/>
      <c r="CB65" s="611"/>
      <c r="CC65" s="611"/>
      <c r="CD65" s="611"/>
      <c r="CE65" s="611"/>
      <c r="CF65" s="611"/>
      <c r="CG65" s="611"/>
      <c r="CH65" s="611"/>
      <c r="CI65" s="611"/>
      <c r="CJ65" s="611"/>
      <c r="CK65" s="611"/>
      <c r="CL65" s="611"/>
      <c r="CM65" s="611"/>
      <c r="CN65" s="611"/>
      <c r="CO65" s="611"/>
      <c r="CP65" s="611"/>
      <c r="CQ65" s="611"/>
      <c r="CR65" s="611"/>
      <c r="CS65" s="611"/>
      <c r="CT65" s="611"/>
    </row>
    <row r="66" spans="1:98" ht="15" customHeight="1">
      <c r="A66" s="612"/>
      <c r="B66" s="612"/>
      <c r="C66" s="617"/>
      <c r="D66" s="613"/>
      <c r="E66" s="1798" t="s">
        <v>2368</v>
      </c>
      <c r="F66" s="1625"/>
      <c r="G66" s="1625"/>
      <c r="H66" s="1625"/>
      <c r="I66" s="1625"/>
      <c r="J66" s="1625"/>
      <c r="K66" s="1625"/>
      <c r="L66" s="1625"/>
      <c r="M66" s="1625"/>
      <c r="N66" s="1625"/>
      <c r="O66" s="1625"/>
      <c r="P66" s="1625"/>
      <c r="Q66" s="1625"/>
      <c r="R66" s="1625"/>
      <c r="S66" s="1625"/>
      <c r="T66" s="1625"/>
      <c r="U66" s="1625"/>
      <c r="V66" s="1625"/>
      <c r="W66" s="1625"/>
      <c r="X66" s="1625"/>
      <c r="Y66" s="1625"/>
      <c r="Z66" s="1625"/>
      <c r="AA66" s="1625"/>
      <c r="AB66" s="1625"/>
      <c r="AC66" s="1625"/>
      <c r="AD66" s="1625"/>
      <c r="AE66" s="1625"/>
      <c r="AF66" s="1625"/>
      <c r="AG66" s="1625"/>
      <c r="AH66" s="1625"/>
      <c r="AI66" s="686"/>
      <c r="AJ66" s="686"/>
      <c r="AK66" s="612"/>
      <c r="AL66" s="612"/>
      <c r="AM66" s="612"/>
      <c r="AN66" s="612"/>
      <c r="AO66" s="611"/>
      <c r="AP66" s="611"/>
      <c r="AQ66" s="611"/>
      <c r="AR66" s="611"/>
      <c r="AS66" s="611"/>
      <c r="AT66" s="611"/>
      <c r="AU66" s="611"/>
      <c r="AV66" s="611"/>
      <c r="AW66" s="611"/>
      <c r="AX66" s="611"/>
      <c r="AY66" s="611"/>
      <c r="AZ66" s="611"/>
      <c r="BA66" s="611"/>
      <c r="BB66" s="611"/>
      <c r="BC66" s="611"/>
      <c r="BD66" s="611"/>
      <c r="BE66" s="611"/>
      <c r="BF66" s="611"/>
      <c r="BG66" s="611"/>
      <c r="BH66" s="611"/>
      <c r="BI66" s="611"/>
      <c r="BJ66" s="611"/>
      <c r="BK66" s="611"/>
      <c r="BL66" s="611"/>
      <c r="BM66" s="611"/>
      <c r="BN66" s="611"/>
      <c r="BO66" s="611"/>
      <c r="BP66" s="611"/>
      <c r="BQ66" s="611"/>
      <c r="BR66" s="611"/>
      <c r="BS66" s="611"/>
      <c r="BT66" s="611"/>
      <c r="BU66" s="611"/>
      <c r="BV66" s="611"/>
      <c r="BW66" s="611"/>
      <c r="BX66" s="611"/>
      <c r="BY66" s="611"/>
      <c r="BZ66" s="611"/>
      <c r="CA66" s="611"/>
      <c r="CB66" s="611"/>
      <c r="CC66" s="611"/>
      <c r="CD66" s="611"/>
      <c r="CE66" s="611"/>
      <c r="CF66" s="611"/>
      <c r="CG66" s="611"/>
      <c r="CH66" s="611"/>
      <c r="CI66" s="611"/>
      <c r="CJ66" s="611"/>
      <c r="CK66" s="611"/>
      <c r="CL66" s="611"/>
      <c r="CM66" s="611"/>
      <c r="CN66" s="611"/>
      <c r="CO66" s="611"/>
      <c r="CP66" s="611"/>
      <c r="CQ66" s="611"/>
      <c r="CR66" s="611"/>
      <c r="CS66" s="611"/>
      <c r="CT66" s="611"/>
    </row>
    <row r="67" spans="1:98" ht="13.2">
      <c r="A67" s="612"/>
      <c r="B67" s="612"/>
      <c r="C67" s="617"/>
      <c r="D67" s="617" t="s">
        <v>276</v>
      </c>
      <c r="E67" s="641"/>
      <c r="F67" s="641"/>
      <c r="G67" s="641"/>
      <c r="H67" s="641"/>
      <c r="I67" s="641"/>
      <c r="J67" s="641"/>
      <c r="K67" s="641"/>
      <c r="L67" s="641"/>
      <c r="M67" s="641"/>
      <c r="N67" s="641"/>
      <c r="O67" s="641"/>
      <c r="P67" s="641"/>
      <c r="Q67" s="641"/>
      <c r="R67" s="641"/>
      <c r="S67" s="641"/>
      <c r="T67" s="641"/>
      <c r="U67" s="641"/>
      <c r="V67" s="641"/>
      <c r="W67" s="641"/>
      <c r="X67" s="641"/>
      <c r="Y67" s="2663">
        <f>IF(Application!AP204="yes",0.75,IF(Application!Z203="15% set-aside",0.13,IF(Application!Z203="15% set-aside with qualifying low value rehab",0.95,0.3)))</f>
        <v>0.3</v>
      </c>
      <c r="Z67" s="2663"/>
      <c r="AA67" s="2663"/>
      <c r="AB67" s="2663"/>
      <c r="AC67" s="2663"/>
      <c r="AD67" s="2663">
        <f>IF(Application!AP204="yes",0.75,IF(Application!Z203="15% set-aside with qualifying low value rehab", 0.95,0.13))</f>
        <v>0.13</v>
      </c>
      <c r="AE67" s="2663"/>
      <c r="AF67" s="2663"/>
      <c r="AG67" s="2663"/>
      <c r="AH67" s="2663"/>
      <c r="AI67" s="612"/>
      <c r="AJ67" s="612"/>
      <c r="AK67" s="612"/>
      <c r="AL67" s="612"/>
      <c r="AM67" s="612"/>
      <c r="AN67" s="612"/>
      <c r="AO67" s="611"/>
      <c r="AP67" s="611"/>
      <c r="AQ67" s="611"/>
      <c r="AR67" s="611"/>
      <c r="AS67" s="611"/>
      <c r="AT67" s="611"/>
      <c r="AU67" s="611"/>
      <c r="AV67" s="611"/>
      <c r="AW67" s="611"/>
      <c r="AX67" s="611"/>
      <c r="AY67" s="611"/>
      <c r="AZ67" s="611"/>
      <c r="BA67" s="611"/>
      <c r="BB67" s="611"/>
      <c r="BC67" s="611"/>
      <c r="BD67" s="611"/>
      <c r="BE67" s="611"/>
      <c r="BF67" s="611"/>
      <c r="BG67" s="611"/>
      <c r="BH67" s="611"/>
      <c r="BI67" s="611"/>
      <c r="BJ67" s="611"/>
      <c r="BK67" s="611"/>
      <c r="BL67" s="611"/>
      <c r="BM67" s="611"/>
      <c r="BN67" s="611"/>
      <c r="BO67" s="611"/>
      <c r="BP67" s="611"/>
      <c r="BQ67" s="611"/>
      <c r="BR67" s="611"/>
      <c r="BS67" s="611"/>
      <c r="BT67" s="611"/>
      <c r="BU67" s="611"/>
      <c r="BV67" s="611"/>
      <c r="BW67" s="611"/>
      <c r="BX67" s="611"/>
      <c r="BY67" s="611"/>
      <c r="BZ67" s="611"/>
      <c r="CA67" s="611"/>
      <c r="CB67" s="611"/>
      <c r="CC67" s="611"/>
      <c r="CD67" s="611"/>
      <c r="CE67" s="611"/>
      <c r="CF67" s="611"/>
      <c r="CG67" s="611"/>
      <c r="CH67" s="611"/>
      <c r="CI67" s="611"/>
      <c r="CJ67" s="611"/>
      <c r="CK67" s="611"/>
      <c r="CL67" s="611"/>
      <c r="CM67" s="611"/>
      <c r="CN67" s="611"/>
      <c r="CO67" s="611"/>
      <c r="CP67" s="611"/>
      <c r="CQ67" s="611"/>
      <c r="CR67" s="611"/>
      <c r="CS67" s="611"/>
      <c r="CT67" s="611"/>
    </row>
    <row r="68" spans="1:98" ht="13.2">
      <c r="A68" s="612"/>
      <c r="B68" s="612"/>
      <c r="C68" s="617"/>
      <c r="D68" s="333" t="s">
        <v>1479</v>
      </c>
      <c r="E68" s="612"/>
      <c r="F68" s="612"/>
      <c r="G68" s="612"/>
      <c r="H68" s="612"/>
      <c r="I68" s="612"/>
      <c r="J68" s="612"/>
      <c r="K68" s="612"/>
      <c r="L68" s="612"/>
      <c r="M68" s="612"/>
      <c r="N68" s="612"/>
      <c r="O68" s="612"/>
      <c r="P68" s="612"/>
      <c r="Q68" s="612"/>
      <c r="R68" s="612"/>
      <c r="S68" s="612"/>
      <c r="T68" s="612"/>
      <c r="U68" s="612"/>
      <c r="V68" s="612"/>
      <c r="W68" s="612"/>
      <c r="X68" s="612"/>
      <c r="Y68" s="2664">
        <f>ROUND(Y64*Y67,0)</f>
        <v>27067860</v>
      </c>
      <c r="Z68" s="2665"/>
      <c r="AA68" s="2665"/>
      <c r="AB68" s="2665"/>
      <c r="AC68" s="2665"/>
      <c r="AD68" s="2664" t="str">
        <f>IF(Application!D210="At-Risk",AD64*AD67,"$0")</f>
        <v>$0</v>
      </c>
      <c r="AE68" s="2665"/>
      <c r="AF68" s="2665"/>
      <c r="AG68" s="2665"/>
      <c r="AH68" s="2665"/>
      <c r="AI68" s="612"/>
      <c r="AJ68" s="612"/>
      <c r="AK68" s="612"/>
      <c r="AL68" s="612"/>
      <c r="AM68" s="612"/>
      <c r="AN68" s="612"/>
      <c r="AO68" s="611"/>
      <c r="AP68" s="611"/>
      <c r="AQ68" s="611"/>
      <c r="AR68" s="611"/>
      <c r="AS68" s="611"/>
      <c r="AT68" s="611"/>
      <c r="AU68" s="611"/>
      <c r="AV68" s="611"/>
      <c r="AW68" s="611"/>
      <c r="AX68" s="611"/>
      <c r="AY68" s="611"/>
      <c r="AZ68" s="611"/>
      <c r="BA68" s="611"/>
      <c r="BB68" s="611"/>
      <c r="BC68" s="611"/>
      <c r="BD68" s="611"/>
      <c r="BE68" s="611"/>
      <c r="BF68" s="611"/>
      <c r="BG68" s="611"/>
      <c r="BH68" s="611"/>
      <c r="BI68" s="611"/>
      <c r="BJ68" s="611"/>
      <c r="BK68" s="611"/>
      <c r="BL68" s="611"/>
      <c r="BM68" s="611"/>
      <c r="BN68" s="611"/>
      <c r="BO68" s="611"/>
      <c r="BP68" s="611"/>
      <c r="BQ68" s="611"/>
      <c r="BR68" s="611"/>
      <c r="BS68" s="611"/>
      <c r="BT68" s="611"/>
      <c r="BU68" s="611"/>
      <c r="BV68" s="611"/>
      <c r="BW68" s="611"/>
      <c r="BX68" s="611"/>
      <c r="BY68" s="611"/>
      <c r="BZ68" s="611"/>
      <c r="CA68" s="611"/>
      <c r="CB68" s="611"/>
      <c r="CC68" s="611"/>
      <c r="CD68" s="611"/>
      <c r="CE68" s="611"/>
      <c r="CF68" s="611"/>
      <c r="CG68" s="611"/>
      <c r="CH68" s="611"/>
      <c r="CI68" s="611"/>
      <c r="CJ68" s="611"/>
      <c r="CK68" s="611"/>
      <c r="CL68" s="611"/>
      <c r="CM68" s="611"/>
      <c r="CN68" s="611"/>
      <c r="CO68" s="611"/>
      <c r="CP68" s="611"/>
      <c r="CQ68" s="611"/>
      <c r="CR68" s="611"/>
      <c r="CS68" s="611"/>
      <c r="CT68" s="611"/>
    </row>
    <row r="69" spans="1:98" ht="13.2">
      <c r="A69" s="612"/>
      <c r="B69" s="612"/>
      <c r="C69" s="617"/>
      <c r="D69" s="612"/>
      <c r="E69" s="617"/>
      <c r="F69" s="612"/>
      <c r="G69" s="612"/>
      <c r="H69" s="612"/>
      <c r="I69" s="612"/>
      <c r="J69" s="612"/>
      <c r="K69" s="612"/>
      <c r="L69" s="612"/>
      <c r="M69" s="612"/>
      <c r="N69" s="612"/>
      <c r="O69" s="612"/>
      <c r="P69" s="612"/>
      <c r="Q69" s="612"/>
      <c r="R69" s="612"/>
      <c r="S69" s="612"/>
      <c r="T69" s="612"/>
      <c r="U69" s="612"/>
      <c r="V69" s="612"/>
      <c r="W69" s="612"/>
      <c r="X69" s="612"/>
      <c r="Y69" s="612"/>
      <c r="Z69" s="612"/>
      <c r="AA69" s="612"/>
      <c r="AB69" s="642"/>
      <c r="AC69" s="642"/>
      <c r="AD69" s="642"/>
      <c r="AE69" s="642"/>
      <c r="AF69" s="642"/>
      <c r="AG69" s="612"/>
      <c r="AH69" s="612"/>
      <c r="AI69" s="612"/>
      <c r="AJ69" s="612"/>
      <c r="AK69" s="612"/>
      <c r="AL69" s="612"/>
      <c r="AM69" s="612"/>
      <c r="AN69" s="612"/>
      <c r="AO69" s="611"/>
      <c r="AP69" s="611"/>
      <c r="AQ69" s="611"/>
      <c r="AR69" s="611"/>
      <c r="AS69" s="611"/>
      <c r="AT69" s="611"/>
      <c r="AU69" s="611"/>
      <c r="AV69" s="611"/>
      <c r="AW69" s="611"/>
      <c r="AX69" s="611"/>
      <c r="AY69" s="611"/>
      <c r="AZ69" s="611"/>
      <c r="BA69" s="611"/>
      <c r="BB69" s="611"/>
      <c r="BC69" s="611"/>
      <c r="BD69" s="611"/>
      <c r="BE69" s="611"/>
      <c r="BF69" s="611"/>
      <c r="BG69" s="611"/>
      <c r="BH69" s="611"/>
      <c r="BI69" s="611"/>
      <c r="BJ69" s="611"/>
      <c r="BK69" s="611"/>
      <c r="BL69" s="611"/>
      <c r="BM69" s="611"/>
      <c r="BN69" s="611"/>
      <c r="BO69" s="611"/>
      <c r="BP69" s="611"/>
      <c r="BQ69" s="611"/>
      <c r="BR69" s="611"/>
      <c r="BS69" s="611"/>
      <c r="BT69" s="611"/>
      <c r="BU69" s="611"/>
      <c r="BV69" s="611"/>
      <c r="BW69" s="611"/>
      <c r="BX69" s="611"/>
      <c r="BY69" s="611"/>
      <c r="BZ69" s="611"/>
      <c r="CA69" s="611"/>
      <c r="CB69" s="611"/>
      <c r="CC69" s="611"/>
      <c r="CD69" s="611"/>
      <c r="CE69" s="611"/>
      <c r="CF69" s="611"/>
      <c r="CG69" s="611"/>
      <c r="CH69" s="611"/>
      <c r="CI69" s="611"/>
      <c r="CJ69" s="611"/>
      <c r="CK69" s="611"/>
      <c r="CL69" s="611"/>
      <c r="CM69" s="611"/>
      <c r="CN69" s="611"/>
      <c r="CO69" s="611"/>
      <c r="CP69" s="611"/>
      <c r="CQ69" s="611"/>
      <c r="CR69" s="611"/>
      <c r="CS69" s="611"/>
      <c r="CT69" s="611"/>
    </row>
    <row r="70" spans="1:98" ht="13.2">
      <c r="A70" s="617" t="s">
        <v>625</v>
      </c>
      <c r="B70" s="612"/>
      <c r="C70" s="333" t="s">
        <v>290</v>
      </c>
      <c r="D70" s="612"/>
      <c r="E70" s="612"/>
      <c r="F70" s="612"/>
      <c r="G70" s="612"/>
      <c r="H70" s="612"/>
      <c r="I70" s="612"/>
      <c r="J70" s="612"/>
      <c r="K70" s="612"/>
      <c r="L70" s="612"/>
      <c r="M70" s="612"/>
      <c r="N70" s="612"/>
      <c r="O70" s="612"/>
      <c r="P70" s="612"/>
      <c r="Q70" s="612"/>
      <c r="R70" s="612"/>
      <c r="S70" s="612"/>
      <c r="T70" s="612"/>
      <c r="U70" s="612"/>
      <c r="V70" s="612"/>
      <c r="W70" s="612"/>
      <c r="X70" s="612"/>
      <c r="Y70" s="612"/>
      <c r="Z70" s="612"/>
      <c r="AA70" s="612"/>
      <c r="AB70" s="612"/>
      <c r="AC70" s="612"/>
      <c r="AD70" s="612"/>
      <c r="AE70" s="612"/>
      <c r="AF70" s="612"/>
      <c r="AG70" s="612"/>
      <c r="AH70" s="612"/>
      <c r="AI70" s="612"/>
      <c r="AJ70" s="612"/>
      <c r="AK70" s="612"/>
      <c r="AL70" s="612"/>
      <c r="AM70" s="612"/>
      <c r="AN70" s="612"/>
      <c r="AO70" s="611"/>
      <c r="AP70" s="611"/>
      <c r="AQ70" s="611"/>
      <c r="AR70" s="611"/>
      <c r="AS70" s="611"/>
      <c r="AT70" s="611"/>
      <c r="AU70" s="611"/>
      <c r="AV70" s="611"/>
      <c r="AW70" s="611"/>
      <c r="AX70" s="611"/>
      <c r="AY70" s="611"/>
      <c r="AZ70" s="611"/>
      <c r="BA70" s="611"/>
      <c r="BB70" s="611"/>
      <c r="BC70" s="611"/>
      <c r="BD70" s="611"/>
      <c r="BE70" s="611"/>
      <c r="BF70" s="611"/>
      <c r="BG70" s="611"/>
      <c r="BH70" s="611"/>
      <c r="BI70" s="611"/>
      <c r="BJ70" s="611"/>
      <c r="BK70" s="611"/>
      <c r="BL70" s="611"/>
      <c r="BM70" s="611"/>
      <c r="BN70" s="611"/>
      <c r="BO70" s="611"/>
      <c r="BP70" s="611"/>
      <c r="BQ70" s="611"/>
      <c r="BR70" s="611"/>
      <c r="BS70" s="611"/>
      <c r="BT70" s="611"/>
      <c r="BU70" s="611"/>
      <c r="BV70" s="611"/>
      <c r="BW70" s="611"/>
      <c r="BX70" s="611"/>
      <c r="BY70" s="611"/>
      <c r="BZ70" s="611"/>
      <c r="CA70" s="611"/>
      <c r="CB70" s="611"/>
      <c r="CC70" s="611"/>
      <c r="CD70" s="611"/>
      <c r="CE70" s="611"/>
      <c r="CF70" s="611"/>
      <c r="CG70" s="611"/>
      <c r="CH70" s="611"/>
      <c r="CI70" s="611"/>
      <c r="CJ70" s="611"/>
      <c r="CK70" s="611"/>
      <c r="CL70" s="611"/>
      <c r="CM70" s="611"/>
      <c r="CN70" s="611"/>
      <c r="CO70" s="611"/>
      <c r="CP70" s="611"/>
      <c r="CQ70" s="611"/>
      <c r="CR70" s="611"/>
      <c r="CS70" s="611"/>
      <c r="CT70" s="611"/>
    </row>
    <row r="71" spans="1:98" ht="13.2">
      <c r="A71" s="637"/>
      <c r="B71" s="613"/>
      <c r="C71" s="637"/>
      <c r="D71" s="329" t="s">
        <v>1480</v>
      </c>
      <c r="E71" s="613"/>
      <c r="F71" s="613"/>
      <c r="G71" s="613"/>
      <c r="H71" s="613"/>
      <c r="I71" s="613"/>
      <c r="J71" s="613"/>
      <c r="K71" s="613"/>
      <c r="L71" s="613"/>
      <c r="M71" s="613"/>
      <c r="N71" s="613"/>
      <c r="O71" s="613"/>
      <c r="P71" s="613"/>
      <c r="Q71" s="613"/>
      <c r="R71" s="613"/>
      <c r="S71" s="613"/>
      <c r="T71" s="613"/>
      <c r="U71" s="613"/>
      <c r="V71" s="613"/>
      <c r="W71" s="613"/>
      <c r="X71" s="613"/>
      <c r="Y71" s="613"/>
      <c r="Z71" s="613"/>
      <c r="AA71" s="613"/>
      <c r="AB71" s="2649">
        <f>AB59/24999582</f>
        <v>0.84991497057830812</v>
      </c>
      <c r="AC71" s="2650"/>
      <c r="AD71" s="2650"/>
      <c r="AE71" s="2650"/>
      <c r="AF71" s="2651"/>
      <c r="AG71" s="613"/>
      <c r="AH71" s="613"/>
      <c r="AI71" s="613"/>
      <c r="AJ71" s="613"/>
      <c r="AK71" s="613"/>
      <c r="AL71" s="613"/>
      <c r="AM71" s="613"/>
      <c r="AN71" s="613"/>
      <c r="AO71" s="611"/>
      <c r="AP71" s="611"/>
      <c r="AQ71" s="611"/>
      <c r="AR71" s="611"/>
      <c r="AS71" s="611"/>
      <c r="AT71" s="611"/>
      <c r="AU71" s="611"/>
      <c r="AV71" s="611"/>
      <c r="AW71" s="611"/>
      <c r="AX71" s="611"/>
      <c r="AY71" s="611"/>
      <c r="AZ71" s="611"/>
      <c r="BA71" s="611"/>
      <c r="BB71" s="611"/>
      <c r="BC71" s="611"/>
      <c r="BD71" s="611"/>
      <c r="BE71" s="611"/>
      <c r="BF71" s="611"/>
      <c r="BG71" s="611"/>
      <c r="BH71" s="611"/>
      <c r="BI71" s="611"/>
      <c r="BJ71" s="611"/>
      <c r="BK71" s="611"/>
      <c r="BL71" s="611"/>
      <c r="BM71" s="611"/>
      <c r="BN71" s="611"/>
      <c r="BO71" s="611"/>
      <c r="BP71" s="611"/>
      <c r="BQ71" s="611"/>
      <c r="BR71" s="611"/>
      <c r="BS71" s="611"/>
      <c r="BT71" s="611"/>
      <c r="BU71" s="611"/>
      <c r="BV71" s="611"/>
      <c r="BW71" s="611"/>
      <c r="BX71" s="611"/>
      <c r="BY71" s="611"/>
      <c r="BZ71" s="611"/>
      <c r="CA71" s="611"/>
      <c r="CB71" s="611"/>
      <c r="CC71" s="611"/>
      <c r="CD71" s="611"/>
      <c r="CE71" s="611"/>
      <c r="CF71" s="611"/>
      <c r="CG71" s="611"/>
      <c r="CH71" s="611"/>
      <c r="CI71" s="611"/>
      <c r="CJ71" s="611"/>
      <c r="CK71" s="611"/>
      <c r="CL71" s="611"/>
      <c r="CM71" s="611"/>
      <c r="CN71" s="611"/>
      <c r="CO71" s="611"/>
      <c r="CP71" s="611"/>
      <c r="CQ71" s="611"/>
      <c r="CR71" s="611"/>
      <c r="CS71" s="611"/>
      <c r="CT71" s="611"/>
    </row>
    <row r="72" spans="1:98" s="613" customFormat="1" ht="12.75" customHeight="1">
      <c r="A72" s="637"/>
      <c r="C72" s="637"/>
      <c r="D72" s="637"/>
      <c r="E72" s="2666" t="s">
        <v>1481</v>
      </c>
      <c r="F72" s="2666"/>
      <c r="G72" s="2666"/>
      <c r="H72" s="2666"/>
      <c r="I72" s="2666"/>
      <c r="J72" s="2666"/>
      <c r="K72" s="2666"/>
      <c r="L72" s="2666"/>
      <c r="M72" s="2666"/>
      <c r="N72" s="2666"/>
      <c r="O72" s="2666"/>
      <c r="P72" s="2666"/>
      <c r="Q72" s="2666"/>
      <c r="R72" s="2666"/>
      <c r="S72" s="2666"/>
      <c r="T72" s="2666"/>
      <c r="U72" s="2666"/>
      <c r="V72" s="2666"/>
      <c r="W72" s="2666"/>
      <c r="X72" s="2666"/>
      <c r="Y72" s="2666"/>
      <c r="Z72" s="2666"/>
      <c r="AA72" s="2666"/>
      <c r="AB72" s="685"/>
      <c r="AC72" s="685"/>
      <c r="AD72" s="612"/>
      <c r="AE72" s="612"/>
      <c r="AF72" s="612"/>
      <c r="AO72" s="616"/>
      <c r="AP72" s="616"/>
      <c r="AQ72" s="616"/>
      <c r="AR72" s="616"/>
      <c r="AS72" s="616"/>
      <c r="AT72" s="616"/>
      <c r="AU72" s="616"/>
      <c r="AV72" s="616"/>
      <c r="AW72" s="616"/>
      <c r="AX72" s="616"/>
      <c r="AY72" s="616"/>
      <c r="AZ72" s="616"/>
      <c r="BA72" s="616"/>
      <c r="BB72" s="616"/>
      <c r="BC72" s="616"/>
      <c r="BD72" s="616"/>
      <c r="BE72" s="616"/>
      <c r="BF72" s="616"/>
      <c r="BG72" s="616"/>
      <c r="BH72" s="616"/>
      <c r="BI72" s="616"/>
      <c r="BJ72" s="616"/>
      <c r="BK72" s="616"/>
      <c r="BL72" s="616"/>
      <c r="BM72" s="616"/>
      <c r="BN72" s="616"/>
      <c r="BO72" s="616"/>
      <c r="BP72" s="616"/>
      <c r="BQ72" s="616"/>
      <c r="BR72" s="616"/>
      <c r="BS72" s="616"/>
      <c r="BT72" s="616"/>
      <c r="BU72" s="616"/>
      <c r="BV72" s="616"/>
      <c r="BW72" s="616"/>
      <c r="BX72" s="616"/>
      <c r="BY72" s="616"/>
      <c r="BZ72" s="616"/>
      <c r="CA72" s="616"/>
      <c r="CB72" s="616"/>
      <c r="CC72" s="616"/>
      <c r="CD72" s="616"/>
      <c r="CE72" s="616"/>
      <c r="CF72" s="616"/>
      <c r="CG72" s="616"/>
      <c r="CH72" s="616"/>
      <c r="CI72" s="616"/>
      <c r="CJ72" s="616"/>
      <c r="CK72" s="616"/>
      <c r="CL72" s="616"/>
      <c r="CM72" s="616"/>
      <c r="CN72" s="616"/>
      <c r="CO72" s="616"/>
      <c r="CP72" s="616"/>
      <c r="CQ72" s="616"/>
      <c r="CR72" s="616"/>
      <c r="CS72" s="616"/>
      <c r="CT72" s="616"/>
    </row>
    <row r="73" spans="1:98" s="613" customFormat="1" ht="12.75" customHeight="1">
      <c r="A73" s="637"/>
      <c r="C73" s="637"/>
      <c r="D73" s="637"/>
      <c r="E73" s="2666"/>
      <c r="F73" s="2666"/>
      <c r="G73" s="2666"/>
      <c r="H73" s="2666"/>
      <c r="I73" s="2666"/>
      <c r="J73" s="2666"/>
      <c r="K73" s="2666"/>
      <c r="L73" s="2666"/>
      <c r="M73" s="2666"/>
      <c r="N73" s="2666"/>
      <c r="O73" s="2666"/>
      <c r="P73" s="2666"/>
      <c r="Q73" s="2666"/>
      <c r="R73" s="2666"/>
      <c r="S73" s="2666"/>
      <c r="T73" s="2666"/>
      <c r="U73" s="2666"/>
      <c r="V73" s="2666"/>
      <c r="W73" s="2666"/>
      <c r="X73" s="2666"/>
      <c r="Y73" s="2666"/>
      <c r="Z73" s="2666"/>
      <c r="AA73" s="2666"/>
      <c r="AB73" s="685"/>
      <c r="AC73" s="685"/>
      <c r="AD73" s="717"/>
      <c r="AE73" s="717"/>
      <c r="AF73" s="717"/>
      <c r="AO73" s="688"/>
      <c r="AP73" s="688"/>
      <c r="AQ73" s="688"/>
      <c r="AR73" s="688"/>
      <c r="AS73" s="688"/>
      <c r="AT73" s="688"/>
      <c r="AU73" s="688"/>
      <c r="AV73" s="688"/>
      <c r="AW73" s="688"/>
      <c r="AX73" s="688"/>
      <c r="AY73" s="688"/>
      <c r="AZ73" s="688"/>
      <c r="BA73" s="688"/>
      <c r="BB73" s="688"/>
      <c r="BC73" s="688"/>
      <c r="BD73" s="688"/>
      <c r="BE73" s="688"/>
      <c r="BF73" s="688"/>
      <c r="BG73" s="688"/>
      <c r="BH73" s="688"/>
      <c r="BI73" s="688"/>
      <c r="BJ73" s="688"/>
      <c r="BK73" s="688"/>
      <c r="BL73" s="688"/>
      <c r="BM73" s="688"/>
      <c r="BN73" s="688"/>
      <c r="BO73" s="688"/>
      <c r="BP73" s="688"/>
      <c r="BQ73" s="688"/>
      <c r="BR73" s="688"/>
      <c r="BS73" s="688"/>
      <c r="BT73" s="688"/>
      <c r="BU73" s="688"/>
      <c r="BV73" s="688"/>
      <c r="BW73" s="688"/>
      <c r="BX73" s="688"/>
      <c r="BY73" s="688"/>
      <c r="BZ73" s="688"/>
      <c r="CA73" s="688"/>
      <c r="CB73" s="688"/>
      <c r="CC73" s="688"/>
      <c r="CD73" s="688"/>
      <c r="CE73" s="688"/>
      <c r="CF73" s="688"/>
      <c r="CG73" s="688"/>
      <c r="CH73" s="688"/>
      <c r="CI73" s="688"/>
      <c r="CJ73" s="688"/>
      <c r="CK73" s="688"/>
      <c r="CL73" s="688"/>
      <c r="CM73" s="688"/>
      <c r="CN73" s="688"/>
      <c r="CO73" s="688"/>
      <c r="CP73" s="688"/>
      <c r="CQ73" s="688"/>
      <c r="CR73" s="688"/>
      <c r="CS73" s="688"/>
      <c r="CT73" s="688"/>
    </row>
    <row r="74" spans="1:98" ht="12" customHeight="1">
      <c r="A74" s="637"/>
      <c r="B74" s="613"/>
      <c r="C74" s="637"/>
      <c r="D74" s="637"/>
      <c r="E74" s="2666"/>
      <c r="F74" s="2666"/>
      <c r="G74" s="2666"/>
      <c r="H74" s="2666"/>
      <c r="I74" s="2666"/>
      <c r="J74" s="2666"/>
      <c r="K74" s="2666"/>
      <c r="L74" s="2666"/>
      <c r="M74" s="2666"/>
      <c r="N74" s="2666"/>
      <c r="O74" s="2666"/>
      <c r="P74" s="2666"/>
      <c r="Q74" s="2666"/>
      <c r="R74" s="2666"/>
      <c r="S74" s="2666"/>
      <c r="T74" s="2666"/>
      <c r="U74" s="2666"/>
      <c r="V74" s="2666"/>
      <c r="W74" s="2666"/>
      <c r="X74" s="2666"/>
      <c r="Y74" s="2666"/>
      <c r="Z74" s="2666"/>
      <c r="AA74" s="2666"/>
      <c r="AB74" s="685"/>
      <c r="AC74" s="685"/>
      <c r="AD74" s="644"/>
      <c r="AE74" s="644"/>
      <c r="AF74" s="644"/>
      <c r="AG74" s="613"/>
      <c r="AH74" s="613"/>
      <c r="AI74" s="613"/>
      <c r="AJ74" s="613"/>
      <c r="AK74" s="613"/>
      <c r="AL74" s="613"/>
      <c r="AM74" s="613"/>
      <c r="AN74" s="613"/>
      <c r="AO74" s="611"/>
      <c r="AP74" s="611"/>
      <c r="AQ74" s="611"/>
      <c r="AR74" s="611"/>
      <c r="AS74" s="611"/>
      <c r="AT74" s="611"/>
      <c r="AU74" s="611"/>
      <c r="AV74" s="611"/>
      <c r="AW74" s="611"/>
      <c r="AX74" s="611"/>
      <c r="AY74" s="611"/>
      <c r="AZ74" s="611"/>
      <c r="BA74" s="611"/>
      <c r="BB74" s="611"/>
      <c r="BC74" s="611"/>
      <c r="BD74" s="611"/>
      <c r="BE74" s="611"/>
      <c r="BF74" s="611"/>
      <c r="BG74" s="611"/>
      <c r="BH74" s="611"/>
      <c r="BI74" s="611"/>
      <c r="BJ74" s="611"/>
      <c r="BK74" s="611"/>
      <c r="BL74" s="611"/>
      <c r="BM74" s="611"/>
      <c r="BN74" s="611"/>
      <c r="BO74" s="611"/>
      <c r="BP74" s="611"/>
      <c r="BQ74" s="611"/>
      <c r="BR74" s="611"/>
      <c r="BS74" s="611"/>
      <c r="BT74" s="611"/>
      <c r="BU74" s="611"/>
      <c r="BV74" s="611"/>
      <c r="BW74" s="611"/>
      <c r="BX74" s="611"/>
      <c r="BY74" s="611"/>
      <c r="BZ74" s="611"/>
      <c r="CA74" s="611"/>
      <c r="CB74" s="611"/>
      <c r="CC74" s="611"/>
      <c r="CD74" s="611"/>
      <c r="CE74" s="611"/>
      <c r="CF74" s="611"/>
      <c r="CG74" s="611"/>
      <c r="CH74" s="611"/>
      <c r="CI74" s="611"/>
      <c r="CJ74" s="611"/>
      <c r="CK74" s="611"/>
      <c r="CL74" s="611"/>
      <c r="CM74" s="611"/>
      <c r="CN74" s="611"/>
      <c r="CO74" s="611"/>
      <c r="CP74" s="611"/>
      <c r="CQ74" s="611"/>
      <c r="CR74" s="611"/>
      <c r="CS74" s="611"/>
      <c r="CT74" s="611"/>
    </row>
    <row r="75" spans="1:98" ht="12" customHeight="1">
      <c r="A75" s="637"/>
      <c r="B75" s="613"/>
      <c r="C75" s="637"/>
      <c r="D75" s="637"/>
      <c r="E75" s="646"/>
      <c r="F75" s="646"/>
      <c r="G75" s="646"/>
      <c r="H75" s="646"/>
      <c r="I75" s="646"/>
      <c r="J75" s="646"/>
      <c r="K75" s="646"/>
      <c r="L75" s="646"/>
      <c r="M75" s="646"/>
      <c r="N75" s="646"/>
      <c r="O75" s="646"/>
      <c r="P75" s="646"/>
      <c r="Q75" s="646"/>
      <c r="R75" s="646"/>
      <c r="S75" s="646"/>
      <c r="T75" s="646"/>
      <c r="U75" s="646"/>
      <c r="V75" s="646"/>
      <c r="W75" s="646"/>
      <c r="X75" s="646"/>
      <c r="Y75" s="646"/>
      <c r="Z75" s="646"/>
      <c r="AA75" s="643"/>
      <c r="AB75" s="643"/>
      <c r="AC75" s="643"/>
      <c r="AD75" s="644"/>
      <c r="AE75" s="644"/>
      <c r="AF75" s="644"/>
      <c r="AG75" s="613"/>
      <c r="AH75" s="613"/>
      <c r="AI75" s="613"/>
      <c r="AJ75" s="613"/>
      <c r="AK75" s="613"/>
      <c r="AL75" s="613"/>
      <c r="AM75" s="613"/>
      <c r="AN75" s="613"/>
      <c r="AO75" s="611"/>
      <c r="AP75" s="611"/>
      <c r="AQ75" s="611"/>
      <c r="AR75" s="611"/>
      <c r="AS75" s="611"/>
      <c r="AT75" s="611"/>
      <c r="AU75" s="611"/>
      <c r="AV75" s="611"/>
      <c r="AW75" s="611"/>
      <c r="AX75" s="611"/>
      <c r="AY75" s="611"/>
      <c r="AZ75" s="611"/>
      <c r="BA75" s="611"/>
      <c r="BB75" s="611"/>
      <c r="BC75" s="611"/>
      <c r="BD75" s="611"/>
      <c r="BE75" s="611"/>
      <c r="BF75" s="611"/>
      <c r="BG75" s="611"/>
      <c r="BH75" s="611"/>
      <c r="BI75" s="611"/>
      <c r="BJ75" s="611"/>
      <c r="BK75" s="611"/>
      <c r="BL75" s="611"/>
      <c r="BM75" s="611"/>
      <c r="BN75" s="611"/>
      <c r="BO75" s="611"/>
      <c r="BP75" s="611"/>
      <c r="BQ75" s="611"/>
      <c r="BR75" s="611"/>
      <c r="BS75" s="611"/>
      <c r="BT75" s="611"/>
      <c r="BU75" s="611"/>
      <c r="BV75" s="611"/>
      <c r="BW75" s="611"/>
      <c r="BX75" s="611"/>
      <c r="BY75" s="611"/>
      <c r="BZ75" s="611"/>
      <c r="CA75" s="611"/>
      <c r="CB75" s="611"/>
      <c r="CC75" s="611"/>
      <c r="CD75" s="611"/>
      <c r="CE75" s="611"/>
      <c r="CF75" s="611"/>
      <c r="CG75" s="611"/>
      <c r="CH75" s="611"/>
      <c r="CI75" s="611"/>
      <c r="CJ75" s="611"/>
      <c r="CK75" s="611"/>
      <c r="CL75" s="611"/>
      <c r="CM75" s="611"/>
      <c r="CN75" s="611"/>
      <c r="CO75" s="611"/>
      <c r="CP75" s="611"/>
      <c r="CQ75" s="611"/>
      <c r="CR75" s="611"/>
      <c r="CS75" s="611"/>
      <c r="CT75" s="611"/>
    </row>
    <row r="76" spans="1:98" ht="12" customHeight="1">
      <c r="A76" s="612"/>
      <c r="B76" s="612"/>
      <c r="C76" s="617"/>
      <c r="D76" s="325" t="s">
        <v>1482</v>
      </c>
      <c r="E76" s="612"/>
      <c r="F76" s="612"/>
      <c r="G76" s="612"/>
      <c r="H76" s="612"/>
      <c r="I76" s="612"/>
      <c r="J76" s="612"/>
      <c r="K76" s="612"/>
      <c r="L76" s="612"/>
      <c r="M76" s="612"/>
      <c r="N76" s="612"/>
      <c r="O76" s="612"/>
      <c r="P76" s="612"/>
      <c r="Q76" s="612"/>
      <c r="R76" s="612"/>
      <c r="S76" s="612"/>
      <c r="T76" s="612"/>
      <c r="U76" s="612"/>
      <c r="V76" s="612"/>
      <c r="W76" s="612"/>
      <c r="X76" s="612"/>
      <c r="Y76" s="612"/>
      <c r="Z76" s="612"/>
      <c r="AA76" s="612"/>
      <c r="AB76" s="2658">
        <f>ROUND(IF(ISERROR((AB59/AB71)),0,(AB59/AB71)),0)</f>
        <v>24999582</v>
      </c>
      <c r="AC76" s="2658"/>
      <c r="AD76" s="2658"/>
      <c r="AE76" s="2658"/>
      <c r="AF76" s="2658"/>
      <c r="AG76" s="612"/>
      <c r="AH76" s="612"/>
      <c r="AI76" s="612"/>
      <c r="AJ76" s="612"/>
      <c r="AK76" s="612"/>
      <c r="AL76" s="612"/>
      <c r="AM76" s="612"/>
      <c r="AN76" s="612"/>
      <c r="AO76" s="611"/>
      <c r="AP76" s="611"/>
      <c r="AQ76" s="611"/>
      <c r="AR76" s="611"/>
      <c r="AS76" s="611"/>
      <c r="AT76" s="611"/>
      <c r="AU76" s="611"/>
      <c r="AV76" s="611"/>
      <c r="AW76" s="611"/>
      <c r="AX76" s="611"/>
      <c r="AY76" s="611"/>
      <c r="AZ76" s="611"/>
      <c r="BA76" s="611"/>
      <c r="BB76" s="611"/>
      <c r="BC76" s="611"/>
      <c r="BD76" s="611"/>
      <c r="BE76" s="611"/>
      <c r="BF76" s="611"/>
      <c r="BG76" s="611"/>
      <c r="BH76" s="611"/>
      <c r="BI76" s="611"/>
      <c r="BJ76" s="611"/>
      <c r="BK76" s="611"/>
      <c r="BL76" s="611"/>
      <c r="BM76" s="611"/>
      <c r="BN76" s="611"/>
      <c r="BO76" s="611"/>
      <c r="BP76" s="611"/>
      <c r="BQ76" s="611"/>
      <c r="BR76" s="611"/>
      <c r="BS76" s="611"/>
      <c r="BT76" s="611"/>
      <c r="BU76" s="611"/>
      <c r="BV76" s="611"/>
      <c r="BW76" s="611"/>
      <c r="BX76" s="611"/>
      <c r="BY76" s="611"/>
      <c r="BZ76" s="611"/>
      <c r="CA76" s="611"/>
      <c r="CB76" s="611"/>
      <c r="CC76" s="611"/>
      <c r="CD76" s="611"/>
      <c r="CE76" s="611"/>
      <c r="CF76" s="611"/>
      <c r="CG76" s="611"/>
      <c r="CH76" s="611"/>
      <c r="CI76" s="611"/>
      <c r="CJ76" s="611"/>
      <c r="CK76" s="611"/>
      <c r="CL76" s="611"/>
      <c r="CM76" s="611"/>
      <c r="CN76" s="611"/>
      <c r="CO76" s="611"/>
      <c r="CP76" s="611"/>
      <c r="CQ76" s="611"/>
      <c r="CR76" s="611"/>
      <c r="CS76" s="611"/>
      <c r="CT76" s="611"/>
    </row>
    <row r="77" spans="1:98" ht="12.75" customHeight="1">
      <c r="A77" s="612"/>
      <c r="B77" s="612"/>
      <c r="C77" s="617"/>
      <c r="D77" s="325" t="s">
        <v>1483</v>
      </c>
      <c r="E77" s="612"/>
      <c r="F77" s="612"/>
      <c r="G77" s="612"/>
      <c r="H77" s="612"/>
      <c r="I77" s="612"/>
      <c r="J77" s="612"/>
      <c r="K77" s="612"/>
      <c r="L77" s="612"/>
      <c r="M77" s="612"/>
      <c r="N77" s="612"/>
      <c r="O77" s="612"/>
      <c r="P77" s="612"/>
      <c r="Q77" s="612"/>
      <c r="R77" s="612"/>
      <c r="S77" s="612"/>
      <c r="T77" s="612"/>
      <c r="U77" s="612"/>
      <c r="V77" s="612"/>
      <c r="W77" s="612"/>
      <c r="X77" s="612"/>
      <c r="Y77" s="612"/>
      <c r="Z77" s="612"/>
      <c r="AA77" s="612"/>
      <c r="AB77" s="2659">
        <f>IF((Y68+AD68&lt;AB76),Y68+AD68,AB76)</f>
        <v>24999582</v>
      </c>
      <c r="AC77" s="2660"/>
      <c r="AD77" s="2660"/>
      <c r="AE77" s="2660"/>
      <c r="AF77" s="2661"/>
      <c r="AG77" s="612"/>
      <c r="AH77" s="612"/>
      <c r="AI77" s="612"/>
      <c r="AJ77" s="612"/>
      <c r="AK77" s="612"/>
      <c r="AL77" s="612"/>
      <c r="AM77" s="612"/>
      <c r="AN77" s="612"/>
      <c r="AO77" s="611"/>
      <c r="AP77" s="611"/>
      <c r="AQ77" s="611"/>
      <c r="AR77" s="611"/>
      <c r="AS77" s="611"/>
      <c r="AT77" s="611"/>
      <c r="AU77" s="611"/>
      <c r="AV77" s="611"/>
      <c r="AW77" s="611"/>
      <c r="AX77" s="611"/>
      <c r="AY77" s="611"/>
      <c r="AZ77" s="611"/>
      <c r="BA77" s="611"/>
      <c r="BB77" s="611"/>
      <c r="BC77" s="611"/>
      <c r="BD77" s="611"/>
      <c r="BE77" s="611"/>
      <c r="BF77" s="611"/>
      <c r="BG77" s="611"/>
      <c r="BH77" s="611"/>
      <c r="BI77" s="611"/>
      <c r="BJ77" s="611"/>
      <c r="BK77" s="611"/>
      <c r="BL77" s="611"/>
      <c r="BM77" s="611"/>
      <c r="BN77" s="611"/>
      <c r="BO77" s="611"/>
      <c r="BP77" s="611"/>
      <c r="BQ77" s="611"/>
      <c r="BR77" s="611"/>
      <c r="BS77" s="611"/>
      <c r="BT77" s="611"/>
      <c r="BU77" s="611"/>
      <c r="BV77" s="611"/>
      <c r="BW77" s="611"/>
      <c r="BX77" s="611"/>
      <c r="BY77" s="611"/>
      <c r="BZ77" s="611"/>
      <c r="CA77" s="611"/>
      <c r="CB77" s="611"/>
      <c r="CC77" s="611"/>
      <c r="CD77" s="611"/>
      <c r="CE77" s="611"/>
      <c r="CF77" s="611"/>
      <c r="CG77" s="611"/>
      <c r="CH77" s="611"/>
      <c r="CI77" s="611"/>
      <c r="CJ77" s="611"/>
      <c r="CK77" s="611"/>
      <c r="CL77" s="611"/>
      <c r="CM77" s="611"/>
      <c r="CN77" s="611"/>
      <c r="CO77" s="611"/>
      <c r="CP77" s="611"/>
      <c r="CQ77" s="611"/>
      <c r="CR77" s="611"/>
      <c r="CS77" s="611"/>
      <c r="CT77" s="611"/>
    </row>
    <row r="78" spans="1:98" ht="12.75" customHeight="1">
      <c r="A78" s="612"/>
      <c r="B78" s="612"/>
      <c r="C78" s="617"/>
      <c r="D78" s="325" t="s">
        <v>1484</v>
      </c>
      <c r="E78" s="612"/>
      <c r="F78" s="612"/>
      <c r="G78" s="612"/>
      <c r="H78" s="612"/>
      <c r="I78" s="612"/>
      <c r="J78" s="612"/>
      <c r="K78" s="612"/>
      <c r="L78" s="612"/>
      <c r="M78" s="612"/>
      <c r="N78" s="612"/>
      <c r="O78" s="612"/>
      <c r="P78" s="612"/>
      <c r="Q78" s="612"/>
      <c r="R78" s="612"/>
      <c r="S78" s="612"/>
      <c r="T78" s="612"/>
      <c r="U78" s="612"/>
      <c r="V78" s="612"/>
      <c r="W78" s="612"/>
      <c r="X78" s="612"/>
      <c r="Y78" s="612"/>
      <c r="Z78" s="612"/>
      <c r="AA78" s="612"/>
      <c r="AB78" s="2662">
        <f>AB77*AB71</f>
        <v>21247519</v>
      </c>
      <c r="AC78" s="2662"/>
      <c r="AD78" s="2662"/>
      <c r="AE78" s="2662"/>
      <c r="AF78" s="2662"/>
      <c r="AG78" s="612"/>
      <c r="AH78" s="612"/>
      <c r="AI78" s="612"/>
      <c r="AJ78" s="612"/>
      <c r="AK78" s="612"/>
      <c r="AL78" s="612"/>
      <c r="AM78" s="612"/>
      <c r="AN78" s="612"/>
      <c r="AO78" s="611"/>
      <c r="AP78" s="611"/>
      <c r="AQ78" s="611"/>
      <c r="AR78" s="611"/>
      <c r="AS78" s="611"/>
      <c r="AT78" s="611"/>
      <c r="AU78" s="611"/>
      <c r="AV78" s="611"/>
      <c r="AW78" s="611"/>
      <c r="AX78" s="611"/>
      <c r="AY78" s="611"/>
      <c r="AZ78" s="611"/>
      <c r="BA78" s="611"/>
      <c r="BB78" s="611"/>
      <c r="BC78" s="611"/>
      <c r="BD78" s="611"/>
      <c r="BE78" s="611"/>
      <c r="BF78" s="611"/>
      <c r="BG78" s="611"/>
      <c r="BH78" s="611"/>
      <c r="BI78" s="611"/>
      <c r="BJ78" s="611"/>
      <c r="BK78" s="611"/>
      <c r="BL78" s="611"/>
      <c r="BM78" s="611"/>
      <c r="BN78" s="611"/>
      <c r="BO78" s="611"/>
      <c r="BP78" s="611"/>
      <c r="BQ78" s="611"/>
      <c r="BR78" s="611"/>
      <c r="BS78" s="611"/>
      <c r="BT78" s="611"/>
      <c r="BU78" s="611"/>
      <c r="BV78" s="611"/>
      <c r="BW78" s="611"/>
      <c r="BX78" s="611"/>
      <c r="BY78" s="611"/>
      <c r="BZ78" s="611"/>
      <c r="CA78" s="611"/>
      <c r="CB78" s="611"/>
      <c r="CC78" s="611"/>
      <c r="CD78" s="611"/>
      <c r="CE78" s="611"/>
      <c r="CF78" s="611"/>
      <c r="CG78" s="611"/>
      <c r="CH78" s="611"/>
      <c r="CI78" s="611"/>
      <c r="CJ78" s="611"/>
      <c r="CK78" s="611"/>
      <c r="CL78" s="611"/>
      <c r="CM78" s="611"/>
      <c r="CN78" s="611"/>
      <c r="CO78" s="611"/>
      <c r="CP78" s="611"/>
      <c r="CQ78" s="611"/>
      <c r="CR78" s="611"/>
      <c r="CS78" s="611"/>
      <c r="CT78" s="611"/>
    </row>
    <row r="79" spans="1:98" s="621" customFormat="1" ht="12.75" customHeight="1">
      <c r="C79" s="647"/>
      <c r="D79" s="647"/>
      <c r="AB79" s="648"/>
      <c r="AC79" s="648"/>
      <c r="AD79" s="648"/>
      <c r="AE79" s="648"/>
      <c r="AF79" s="648"/>
      <c r="AO79" s="649"/>
      <c r="AP79" s="649"/>
      <c r="AQ79" s="649"/>
      <c r="AR79" s="649"/>
      <c r="AS79" s="649"/>
      <c r="AT79" s="649"/>
      <c r="AU79" s="649"/>
      <c r="AV79" s="649"/>
      <c r="AW79" s="649"/>
      <c r="AX79" s="649"/>
      <c r="AY79" s="649"/>
      <c r="AZ79" s="649"/>
      <c r="BA79" s="649"/>
      <c r="BB79" s="649"/>
      <c r="BC79" s="649"/>
      <c r="BD79" s="649"/>
      <c r="BE79" s="649"/>
      <c r="BF79" s="649"/>
      <c r="BG79" s="649"/>
      <c r="BH79" s="649"/>
      <c r="BI79" s="649"/>
      <c r="BJ79" s="649"/>
      <c r="BK79" s="649"/>
      <c r="BL79" s="649"/>
      <c r="BM79" s="649"/>
      <c r="BN79" s="649"/>
      <c r="BO79" s="649"/>
      <c r="BP79" s="649"/>
      <c r="BQ79" s="649"/>
      <c r="BR79" s="649"/>
      <c r="BS79" s="649"/>
      <c r="BT79" s="649"/>
      <c r="BU79" s="649"/>
      <c r="BV79" s="649"/>
      <c r="BW79" s="649"/>
      <c r="BX79" s="649"/>
      <c r="BY79" s="649"/>
      <c r="BZ79" s="649"/>
      <c r="CA79" s="649"/>
      <c r="CB79" s="649"/>
      <c r="CC79" s="649"/>
      <c r="CD79" s="649"/>
      <c r="CE79" s="649"/>
      <c r="CF79" s="649"/>
      <c r="CG79" s="649"/>
      <c r="CH79" s="649"/>
      <c r="CI79" s="649"/>
      <c r="CJ79" s="649"/>
      <c r="CK79" s="649"/>
      <c r="CL79" s="649"/>
      <c r="CM79" s="649"/>
      <c r="CN79" s="649"/>
      <c r="CO79" s="649"/>
      <c r="CP79" s="649"/>
      <c r="CQ79" s="649"/>
      <c r="CR79" s="649"/>
      <c r="CS79" s="649"/>
      <c r="CT79" s="649"/>
    </row>
    <row r="80" spans="1:98" ht="12.75" customHeight="1">
      <c r="A80" s="621"/>
      <c r="B80" s="621"/>
      <c r="C80" s="621"/>
      <c r="D80" s="617" t="s">
        <v>795</v>
      </c>
      <c r="E80" s="612"/>
      <c r="F80" s="612"/>
      <c r="G80" s="612"/>
      <c r="H80" s="612"/>
      <c r="I80" s="612"/>
      <c r="J80" s="612"/>
      <c r="K80" s="612"/>
      <c r="L80" s="612"/>
      <c r="M80" s="612"/>
      <c r="N80" s="612"/>
      <c r="O80" s="612"/>
      <c r="P80" s="612"/>
      <c r="Q80" s="612"/>
      <c r="R80" s="612"/>
      <c r="S80" s="612"/>
      <c r="T80" s="612"/>
      <c r="U80" s="612"/>
      <c r="V80" s="612"/>
      <c r="W80" s="612"/>
      <c r="X80" s="612"/>
      <c r="Y80" s="612"/>
      <c r="Z80" s="612"/>
      <c r="AA80" s="612"/>
      <c r="AB80" s="2644">
        <f>AB49-(AB57+AB78)</f>
        <v>0</v>
      </c>
      <c r="AC80" s="2644"/>
      <c r="AD80" s="2644"/>
      <c r="AE80" s="2644"/>
      <c r="AF80" s="2644"/>
      <c r="AG80" s="621"/>
      <c r="AH80" s="621"/>
      <c r="AI80" s="621"/>
      <c r="AJ80" s="621"/>
      <c r="AK80" s="621"/>
      <c r="AL80" s="621"/>
      <c r="AM80" s="621"/>
      <c r="AN80" s="621"/>
      <c r="AO80" s="611"/>
      <c r="AP80" s="611"/>
      <c r="AQ80" s="611"/>
      <c r="AR80" s="611"/>
      <c r="AS80" s="611"/>
      <c r="AT80" s="611"/>
      <c r="AU80" s="611"/>
      <c r="AV80" s="611"/>
      <c r="AW80" s="611"/>
      <c r="AX80" s="611"/>
      <c r="AY80" s="611"/>
      <c r="AZ80" s="611"/>
      <c r="BA80" s="611"/>
      <c r="BB80" s="611"/>
      <c r="BC80" s="611"/>
      <c r="BD80" s="611"/>
      <c r="BE80" s="611"/>
      <c r="BF80" s="611"/>
      <c r="BG80" s="611"/>
      <c r="BH80" s="611"/>
      <c r="BI80" s="611"/>
      <c r="BJ80" s="611"/>
      <c r="BK80" s="611"/>
      <c r="BL80" s="611"/>
      <c r="BM80" s="611"/>
      <c r="BN80" s="611"/>
      <c r="BO80" s="611"/>
      <c r="BP80" s="611"/>
      <c r="BQ80" s="611"/>
      <c r="BR80" s="611"/>
      <c r="BS80" s="611"/>
      <c r="BT80" s="611"/>
      <c r="BU80" s="611"/>
      <c r="BV80" s="611"/>
      <c r="BW80" s="611"/>
      <c r="BX80" s="611"/>
      <c r="BY80" s="611"/>
      <c r="BZ80" s="611"/>
      <c r="CA80" s="611"/>
      <c r="CB80" s="611"/>
      <c r="CC80" s="611"/>
      <c r="CD80" s="611"/>
      <c r="CE80" s="611"/>
      <c r="CF80" s="611"/>
      <c r="CG80" s="611"/>
      <c r="CH80" s="611"/>
      <c r="CI80" s="611"/>
      <c r="CJ80" s="611"/>
      <c r="CK80" s="611"/>
      <c r="CL80" s="611"/>
      <c r="CM80" s="611"/>
      <c r="CN80" s="611"/>
      <c r="CO80" s="611"/>
      <c r="CP80" s="611"/>
      <c r="CQ80" s="611"/>
      <c r="CR80" s="611"/>
      <c r="CS80" s="611"/>
      <c r="CT80" s="611"/>
    </row>
    <row r="81" spans="1:98" ht="12.75" customHeight="1">
      <c r="A81" s="614"/>
      <c r="B81" s="614"/>
      <c r="C81" s="614"/>
      <c r="D81" s="614"/>
      <c r="F81" s="890"/>
      <c r="J81" s="890" t="str">
        <f>IF(AB80&gt;0,"FUNDING GAP MUST NOT EXCEED ZERO","")</f>
        <v/>
      </c>
      <c r="AB81" s="614"/>
      <c r="AC81" s="614"/>
      <c r="AD81" s="614"/>
      <c r="AE81" s="614"/>
      <c r="AF81" s="614"/>
      <c r="AG81" s="614"/>
      <c r="AH81" s="614"/>
      <c r="AI81" s="614"/>
      <c r="AJ81" s="614"/>
      <c r="AK81" s="614"/>
      <c r="AL81" s="614"/>
      <c r="AM81" s="614"/>
      <c r="AN81" s="614"/>
      <c r="AO81" s="784"/>
      <c r="AP81" s="784"/>
      <c r="AQ81" s="784"/>
      <c r="AR81" s="784"/>
      <c r="AS81" s="784"/>
      <c r="AT81" s="784"/>
      <c r="AU81" s="784"/>
      <c r="AV81" s="784"/>
      <c r="AW81" s="784"/>
      <c r="AX81" s="784"/>
      <c r="AY81" s="784"/>
      <c r="AZ81" s="784"/>
      <c r="BA81" s="784"/>
      <c r="BB81" s="784"/>
      <c r="BC81" s="784"/>
      <c r="BD81" s="784"/>
      <c r="BE81" s="784"/>
      <c r="BF81" s="784"/>
      <c r="BG81" s="784"/>
      <c r="BH81" s="784"/>
      <c r="BI81" s="784"/>
      <c r="BJ81" s="784"/>
      <c r="BK81" s="784"/>
      <c r="BL81" s="784"/>
      <c r="BM81" s="784"/>
      <c r="BN81" s="784"/>
      <c r="BO81" s="784"/>
      <c r="BP81" s="784"/>
      <c r="BQ81" s="784"/>
      <c r="BR81" s="784"/>
      <c r="BS81" s="784"/>
      <c r="BT81" s="784"/>
      <c r="BU81" s="784"/>
      <c r="BV81" s="784"/>
      <c r="BW81" s="784"/>
      <c r="BX81" s="784"/>
      <c r="BY81" s="611"/>
      <c r="BZ81" s="611"/>
      <c r="CA81" s="611"/>
      <c r="CB81" s="611"/>
      <c r="CC81" s="611"/>
      <c r="CD81" s="611"/>
      <c r="CE81" s="611"/>
      <c r="CF81" s="611"/>
      <c r="CG81" s="611"/>
      <c r="CH81" s="611"/>
      <c r="CI81" s="611"/>
      <c r="CJ81" s="611"/>
      <c r="CK81" s="611"/>
      <c r="CL81" s="611"/>
      <c r="CM81" s="611"/>
      <c r="CN81" s="611"/>
      <c r="CO81" s="611"/>
      <c r="CP81" s="611"/>
      <c r="CQ81" s="611"/>
      <c r="CR81" s="611"/>
      <c r="CS81" s="611"/>
      <c r="CT81" s="611"/>
    </row>
    <row r="82" spans="1:98" ht="12.75" customHeight="1">
      <c r="A82" s="614"/>
      <c r="B82" s="614"/>
      <c r="C82" s="614"/>
      <c r="D82" s="891"/>
      <c r="AB82" s="614"/>
      <c r="AC82" s="614"/>
      <c r="AD82" s="614"/>
      <c r="AE82" s="614"/>
      <c r="AF82" s="614"/>
      <c r="AG82" s="614"/>
      <c r="AH82" s="614"/>
      <c r="AI82" s="614"/>
      <c r="AJ82" s="614"/>
      <c r="AK82" s="614"/>
      <c r="AL82" s="614"/>
      <c r="AM82" s="614"/>
      <c r="AN82" s="614"/>
      <c r="AO82" s="784"/>
      <c r="AP82" s="784"/>
      <c r="AQ82" s="784"/>
      <c r="AR82" s="784"/>
      <c r="AS82" s="784"/>
      <c r="AT82" s="784"/>
      <c r="AU82" s="784"/>
      <c r="AV82" s="784"/>
      <c r="AW82" s="784"/>
      <c r="AX82" s="784"/>
      <c r="AY82" s="784"/>
      <c r="AZ82" s="784"/>
      <c r="BA82" s="784"/>
      <c r="BB82" s="784"/>
      <c r="BC82" s="784"/>
      <c r="BD82" s="784"/>
      <c r="BE82" s="784"/>
      <c r="BF82" s="784"/>
      <c r="BG82" s="784"/>
      <c r="BH82" s="784"/>
      <c r="BI82" s="784"/>
      <c r="BJ82" s="784"/>
      <c r="BK82" s="784"/>
      <c r="BL82" s="784"/>
      <c r="BM82" s="784"/>
      <c r="BN82" s="784"/>
      <c r="BO82" s="784"/>
      <c r="BP82" s="784"/>
      <c r="BQ82" s="784"/>
      <c r="BR82" s="784"/>
      <c r="BS82" s="784"/>
      <c r="BT82" s="784"/>
      <c r="BU82" s="784"/>
      <c r="BV82" s="784"/>
      <c r="BW82" s="784"/>
      <c r="BX82" s="784"/>
      <c r="BY82" s="611"/>
      <c r="BZ82" s="611"/>
      <c r="CA82" s="611"/>
      <c r="CB82" s="611"/>
      <c r="CC82" s="611"/>
      <c r="CD82" s="611"/>
      <c r="CE82" s="611"/>
      <c r="CF82" s="611"/>
      <c r="CG82" s="611"/>
      <c r="CH82" s="611"/>
      <c r="CI82" s="611"/>
      <c r="CJ82" s="611"/>
      <c r="CK82" s="611"/>
      <c r="CL82" s="611"/>
      <c r="CM82" s="611"/>
      <c r="CN82" s="611"/>
      <c r="CO82" s="611"/>
      <c r="CP82" s="611"/>
      <c r="CQ82" s="611"/>
      <c r="CR82" s="611"/>
      <c r="CS82" s="611"/>
      <c r="CT82" s="611"/>
    </row>
    <row r="83" spans="1:98" ht="13.8" thickBot="1">
      <c r="A83" s="2596"/>
      <c r="B83" s="2596"/>
      <c r="C83" s="2596"/>
      <c r="D83" s="2596"/>
      <c r="E83" s="2596"/>
      <c r="F83" s="2596"/>
      <c r="G83" s="2596"/>
      <c r="H83" s="2596"/>
      <c r="I83" s="2596"/>
      <c r="J83" s="2596"/>
      <c r="K83" s="2596"/>
      <c r="L83" s="2596"/>
      <c r="M83" s="2596"/>
      <c r="N83" s="2596"/>
      <c r="O83" s="2596"/>
      <c r="P83" s="2596"/>
      <c r="Q83" s="2596"/>
      <c r="R83" s="2596"/>
      <c r="S83" s="2596"/>
      <c r="T83" s="2596"/>
      <c r="U83" s="2596"/>
      <c r="V83" s="2596"/>
      <c r="W83" s="2596"/>
      <c r="X83" s="2596"/>
      <c r="Y83" s="2596"/>
      <c r="Z83" s="2596"/>
      <c r="AA83" s="2596"/>
      <c r="AB83" s="2596"/>
      <c r="AC83" s="2596"/>
      <c r="AD83" s="2596"/>
      <c r="AE83" s="2596"/>
      <c r="AF83" s="2596"/>
      <c r="AG83" s="2596"/>
      <c r="AH83" s="2596"/>
      <c r="AI83" s="2596"/>
      <c r="AJ83" s="2596"/>
      <c r="AK83" s="2596"/>
      <c r="AL83" s="2596"/>
      <c r="AM83" s="2596"/>
      <c r="AN83" s="2596"/>
      <c r="AO83" s="2596"/>
      <c r="AP83" s="2596"/>
      <c r="AQ83" s="2596"/>
      <c r="AR83" s="2596"/>
      <c r="AS83" s="2596"/>
      <c r="AT83" s="2596"/>
      <c r="AU83" s="2596"/>
      <c r="AV83" s="2596"/>
      <c r="AW83" s="2596"/>
      <c r="AX83" s="2596"/>
      <c r="AY83" s="2596"/>
      <c r="AZ83" s="2596"/>
      <c r="BA83" s="2596"/>
      <c r="BB83" s="2596"/>
      <c r="BC83" s="2596"/>
      <c r="BD83" s="2596"/>
      <c r="BE83" s="2596"/>
      <c r="BF83" s="2596"/>
      <c r="BG83" s="2596"/>
      <c r="BH83" s="2596"/>
      <c r="BI83" s="2596"/>
      <c r="BJ83" s="2596"/>
      <c r="BK83" s="2596"/>
      <c r="BL83" s="2596"/>
      <c r="BM83" s="2596"/>
      <c r="BN83" s="2596"/>
      <c r="BO83" s="2596"/>
      <c r="BP83" s="2596"/>
      <c r="BQ83" s="2596"/>
      <c r="BR83" s="2596"/>
      <c r="BS83" s="2596"/>
      <c r="BT83" s="2596"/>
      <c r="BU83" s="2596"/>
      <c r="BV83" s="2596"/>
      <c r="BW83" s="2596"/>
      <c r="BX83" s="2596"/>
    </row>
    <row r="84" spans="1:98" ht="13.8" thickTop="1"/>
    <row r="85" spans="1:98" ht="13.2">
      <c r="A85" s="789"/>
      <c r="C85" s="333"/>
      <c r="Z85" s="614"/>
      <c r="AA85" s="614"/>
      <c r="AB85" s="614"/>
      <c r="AC85" s="614"/>
      <c r="AD85" s="614"/>
      <c r="AE85" s="614"/>
      <c r="AF85" s="614"/>
      <c r="AG85" s="614"/>
      <c r="AH85" s="614"/>
    </row>
    <row r="86" spans="1:98" ht="13.2">
      <c r="D86" s="333"/>
      <c r="Z86" s="614"/>
      <c r="AA86" s="614"/>
      <c r="AB86" s="2597"/>
      <c r="AC86" s="2597"/>
      <c r="AD86" s="2597"/>
      <c r="AE86" s="2597"/>
      <c r="AF86" s="2597"/>
      <c r="AG86" s="614"/>
      <c r="AH86" s="614"/>
    </row>
    <row r="87" spans="1:98" ht="13.8" thickBot="1">
      <c r="D87" s="333"/>
      <c r="Z87" s="614"/>
      <c r="AA87" s="614"/>
      <c r="AB87" s="2595"/>
      <c r="AC87" s="2595"/>
      <c r="AD87" s="2595"/>
      <c r="AE87" s="2595"/>
      <c r="AF87" s="2595"/>
      <c r="AG87" s="614"/>
      <c r="AH87" s="614"/>
      <c r="AO87" s="889"/>
      <c r="AP87" s="889"/>
      <c r="AQ87" s="889"/>
      <c r="AR87" s="889"/>
      <c r="AS87" s="889"/>
      <c r="AT87" s="889"/>
      <c r="AU87" s="889"/>
      <c r="AV87" s="889"/>
      <c r="AW87" s="889"/>
      <c r="AX87" s="889"/>
      <c r="AY87" s="889"/>
      <c r="AZ87" s="889"/>
      <c r="BA87" s="889"/>
      <c r="BB87" s="889"/>
      <c r="BC87" s="889"/>
      <c r="BD87" s="889"/>
      <c r="BE87" s="889"/>
      <c r="BF87" s="889"/>
      <c r="BG87" s="889"/>
      <c r="BH87" s="889"/>
      <c r="BI87" s="889"/>
      <c r="BJ87" s="889"/>
      <c r="BK87" s="889"/>
      <c r="BL87" s="889"/>
      <c r="BM87" s="889"/>
      <c r="BN87" s="889"/>
      <c r="BO87" s="889"/>
      <c r="BP87" s="889"/>
      <c r="BQ87" s="889"/>
      <c r="BR87" s="889"/>
      <c r="BS87" s="889"/>
      <c r="BT87" s="889"/>
      <c r="BU87" s="889"/>
      <c r="BV87" s="889"/>
      <c r="BW87" s="889"/>
      <c r="BX87" s="889"/>
      <c r="BY87" s="889"/>
      <c r="BZ87" s="889"/>
    </row>
    <row r="88" spans="1:98" ht="13.8" thickTop="1">
      <c r="Z88" s="614"/>
      <c r="AA88" s="614"/>
      <c r="AB88" s="614"/>
      <c r="AC88" s="614"/>
      <c r="AD88" s="614"/>
      <c r="AE88" s="614"/>
      <c r="AF88" s="614"/>
      <c r="AG88" s="614"/>
      <c r="AH88" s="614"/>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4"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46" zoomScale="120" zoomScaleNormal="120" workbookViewId="0">
      <selection activeCell="N150" sqref="N150:T154"/>
    </sheetView>
  </sheetViews>
  <sheetFormatPr defaultColWidth="2.77734375" defaultRowHeight="15.75" customHeight="1"/>
  <cols>
    <col min="1" max="37" width="2.77734375" style="1520"/>
    <col min="38" max="38" width="3" style="1520" customWidth="1"/>
    <col min="39" max="64" width="2.77734375" style="1520"/>
    <col min="65" max="65" width="6.109375" style="1520" bestFit="1" customWidth="1"/>
    <col min="66" max="70" width="5.44140625" style="1520" bestFit="1" customWidth="1"/>
    <col min="71" max="71" width="6.109375" style="1520" bestFit="1" customWidth="1"/>
    <col min="72" max="76" width="5.44140625" style="1520" bestFit="1" customWidth="1"/>
    <col min="77" max="77" width="6.109375" style="1520" bestFit="1" customWidth="1"/>
    <col min="78" max="78" width="5.44140625" style="1520" bestFit="1" customWidth="1"/>
    <col min="79" max="16384" width="2.77734375" style="1520"/>
  </cols>
  <sheetData>
    <row r="1" spans="1:58" ht="15.75" customHeight="1">
      <c r="A1" s="2667" t="s">
        <v>2031</v>
      </c>
      <c r="B1" s="2668"/>
      <c r="C1" s="2668"/>
      <c r="D1" s="2668"/>
      <c r="E1" s="2668"/>
      <c r="F1" s="2668"/>
      <c r="G1" s="2668"/>
      <c r="H1" s="2668"/>
      <c r="I1" s="2668"/>
      <c r="J1" s="2668"/>
      <c r="K1" s="2668"/>
      <c r="L1" s="2668"/>
      <c r="M1" s="2668"/>
      <c r="N1" s="2668"/>
      <c r="O1" s="2668"/>
      <c r="P1" s="2668"/>
      <c r="Q1" s="2668"/>
      <c r="R1" s="2668"/>
      <c r="S1" s="2668"/>
      <c r="T1" s="2668"/>
      <c r="U1" s="2668"/>
      <c r="V1" s="2668"/>
      <c r="W1" s="2668"/>
      <c r="X1" s="2668"/>
      <c r="Y1" s="2668"/>
      <c r="Z1" s="2668"/>
      <c r="AA1" s="2668"/>
      <c r="AB1" s="2668"/>
      <c r="AC1" s="2668"/>
      <c r="AD1" s="2668"/>
      <c r="AE1" s="2668"/>
      <c r="AF1" s="2668"/>
      <c r="AG1" s="2668"/>
      <c r="AH1" s="2668"/>
      <c r="AI1" s="2668"/>
      <c r="AJ1" s="2668"/>
      <c r="AK1" s="2668"/>
      <c r="AL1" s="2668"/>
      <c r="AM1" s="2668"/>
      <c r="AN1" s="2668"/>
      <c r="AO1" s="2668"/>
      <c r="AP1" s="2668"/>
      <c r="AQ1" s="2668"/>
      <c r="AR1" s="2668"/>
      <c r="AS1" s="2668"/>
      <c r="AT1" s="2668"/>
      <c r="AU1" s="2668"/>
      <c r="AV1" s="2668"/>
      <c r="AW1" s="2668"/>
      <c r="AX1" s="2668"/>
      <c r="AY1" s="2668"/>
      <c r="AZ1" s="2668"/>
      <c r="BA1" s="2668"/>
      <c r="BB1" s="2668"/>
      <c r="BC1" s="2668"/>
      <c r="BD1" s="2668"/>
      <c r="BE1" s="2669"/>
    </row>
    <row r="2" spans="1:58" ht="15.75" customHeight="1">
      <c r="A2" s="2670" t="s">
        <v>2032</v>
      </c>
      <c r="B2" s="2671"/>
      <c r="C2" s="2671"/>
      <c r="D2" s="2671"/>
      <c r="E2" s="2671"/>
      <c r="F2" s="2671"/>
      <c r="G2" s="2671"/>
      <c r="H2" s="2671"/>
      <c r="I2" s="2671"/>
      <c r="J2" s="2671"/>
      <c r="K2" s="2671"/>
      <c r="L2" s="2671"/>
      <c r="M2" s="2671"/>
      <c r="N2" s="2671"/>
      <c r="O2" s="2671"/>
      <c r="P2" s="2671"/>
      <c r="Q2" s="2671"/>
      <c r="R2" s="2671"/>
      <c r="S2" s="2671"/>
      <c r="T2" s="2671"/>
      <c r="U2" s="2671"/>
      <c r="V2" s="2671"/>
      <c r="W2" s="2671"/>
      <c r="X2" s="2671"/>
      <c r="Y2" s="2671"/>
      <c r="Z2" s="2671"/>
      <c r="AA2" s="2671"/>
      <c r="AB2" s="2671"/>
      <c r="AC2" s="2671"/>
      <c r="AD2" s="2671"/>
      <c r="AE2" s="2671"/>
      <c r="AF2" s="2671"/>
      <c r="AG2" s="2671"/>
      <c r="AH2" s="2671"/>
      <c r="AI2" s="2671"/>
      <c r="AJ2" s="2671"/>
      <c r="AK2" s="2671"/>
      <c r="AL2" s="2671"/>
      <c r="AM2" s="2671"/>
      <c r="AN2" s="2671"/>
      <c r="AO2" s="2671"/>
      <c r="AP2" s="2671"/>
      <c r="AQ2" s="2671"/>
      <c r="AR2" s="2671"/>
      <c r="AS2" s="2671"/>
      <c r="AT2" s="2671"/>
      <c r="AU2" s="2671"/>
      <c r="AV2" s="2671"/>
      <c r="AW2" s="2671"/>
      <c r="AX2" s="2671"/>
      <c r="AY2" s="2671"/>
      <c r="AZ2" s="2671"/>
      <c r="BA2" s="2671"/>
      <c r="BB2" s="2671"/>
      <c r="BC2" s="2671"/>
      <c r="BD2" s="2671"/>
      <c r="BE2" s="2672"/>
      <c r="BF2" s="1521"/>
    </row>
    <row r="3" spans="1:58" ht="15.75" customHeight="1" thickBot="1">
      <c r="A3" s="1801"/>
      <c r="B3" s="1523"/>
      <c r="C3" s="1523"/>
      <c r="D3" s="1523"/>
      <c r="E3" s="1523"/>
      <c r="F3" s="1523"/>
      <c r="G3" s="1523"/>
      <c r="H3" s="1523"/>
      <c r="I3" s="1523"/>
      <c r="J3" s="1523"/>
      <c r="K3" s="1523"/>
      <c r="L3" s="1523"/>
      <c r="M3" s="1523"/>
      <c r="N3" s="1523"/>
      <c r="O3" s="1523"/>
      <c r="P3" s="1523"/>
      <c r="Q3" s="1523"/>
      <c r="R3" s="1523"/>
      <c r="S3" s="1523"/>
      <c r="T3" s="1523"/>
      <c r="U3" s="1523"/>
      <c r="V3" s="1523"/>
      <c r="W3" s="1523"/>
      <c r="X3" s="1523"/>
      <c r="Y3" s="1523"/>
      <c r="Z3" s="1523"/>
      <c r="AA3" s="1523"/>
      <c r="AB3" s="1523"/>
      <c r="AC3" s="1523"/>
      <c r="AD3" s="1523"/>
      <c r="AE3" s="1523"/>
      <c r="AF3" s="1523"/>
      <c r="AG3" s="1523"/>
      <c r="AH3" s="1523"/>
      <c r="AI3" s="1523"/>
      <c r="AJ3" s="1523"/>
      <c r="AK3" s="1523"/>
      <c r="AL3" s="1523"/>
      <c r="AM3" s="1523"/>
      <c r="AN3" s="1523"/>
      <c r="AO3" s="1523"/>
      <c r="AP3" s="1523"/>
      <c r="AQ3" s="1523"/>
      <c r="AR3" s="1523"/>
      <c r="AS3" s="1523"/>
      <c r="AT3" s="1523"/>
      <c r="AU3" s="1523"/>
      <c r="AV3" s="1523"/>
      <c r="AW3" s="1523"/>
      <c r="AX3" s="1523"/>
      <c r="AY3" s="1523"/>
      <c r="AZ3" s="1523"/>
      <c r="BA3" s="1523"/>
      <c r="BB3" s="1523"/>
      <c r="BC3" s="1523"/>
      <c r="BD3" s="1523"/>
      <c r="BE3" s="1524"/>
    </row>
    <row r="4" spans="1:58" ht="15.75" customHeight="1" thickBot="1">
      <c r="A4" s="1801"/>
      <c r="B4" s="1525" t="s">
        <v>693</v>
      </c>
      <c r="C4" s="1525"/>
      <c r="D4" s="1525"/>
      <c r="E4" s="1525"/>
      <c r="F4" s="1525"/>
      <c r="G4" s="1523"/>
      <c r="H4" s="1523"/>
      <c r="I4" s="1523"/>
      <c r="J4" s="1523"/>
      <c r="K4" s="1523"/>
      <c r="L4" s="2673" t="str">
        <f>IF(Application!H18="","",Application!H18)</f>
        <v xml:space="preserve">4995 Stockton Boulevard </v>
      </c>
      <c r="M4" s="2674"/>
      <c r="N4" s="2674"/>
      <c r="O4" s="2674"/>
      <c r="P4" s="2674"/>
      <c r="Q4" s="2674"/>
      <c r="R4" s="2674"/>
      <c r="S4" s="2674"/>
      <c r="T4" s="2674"/>
      <c r="U4" s="2674"/>
      <c r="V4" s="2674"/>
      <c r="W4" s="2674"/>
      <c r="X4" s="2674"/>
      <c r="Y4" s="2674"/>
      <c r="Z4" s="2674"/>
      <c r="AA4" s="2674"/>
      <c r="AB4" s="2674"/>
      <c r="AC4" s="2675"/>
      <c r="AD4" s="1523"/>
      <c r="AE4" s="1523"/>
      <c r="AF4" s="2676" t="s">
        <v>2033</v>
      </c>
      <c r="AG4" s="2677"/>
      <c r="AH4" s="2677"/>
      <c r="AI4" s="2677"/>
      <c r="AJ4" s="2677"/>
      <c r="AK4" s="2677"/>
      <c r="AL4" s="2677"/>
      <c r="AM4" s="2677"/>
      <c r="AN4" s="2677"/>
      <c r="AO4" s="2677"/>
      <c r="AP4" s="2678"/>
      <c r="AQ4" s="2679"/>
      <c r="AR4" s="2679"/>
      <c r="AS4" s="2679"/>
      <c r="AT4" s="2679"/>
      <c r="AU4" s="2680"/>
      <c r="AV4" s="1523"/>
      <c r="AW4" s="1523"/>
      <c r="AX4" s="1523"/>
      <c r="AY4" s="1523"/>
      <c r="AZ4" s="1523"/>
      <c r="BA4" s="1523"/>
      <c r="BB4" s="1523"/>
      <c r="BC4" s="1523"/>
      <c r="BD4" s="1523"/>
      <c r="BE4" s="1524"/>
    </row>
    <row r="5" spans="1:58" ht="15.75" customHeight="1" thickBot="1">
      <c r="A5" s="1801"/>
      <c r="B5" s="1523"/>
      <c r="C5" s="1523"/>
      <c r="D5" s="1523"/>
      <c r="E5" s="1523"/>
      <c r="F5" s="1523"/>
      <c r="G5" s="1523"/>
      <c r="H5" s="1523"/>
      <c r="I5" s="1523"/>
      <c r="J5" s="1523"/>
      <c r="K5" s="1523"/>
      <c r="L5" s="1523"/>
      <c r="M5" s="1523"/>
      <c r="N5" s="1523"/>
      <c r="O5" s="1523"/>
      <c r="P5" s="1523"/>
      <c r="Q5" s="1523"/>
      <c r="R5" s="1523"/>
      <c r="S5" s="1523"/>
      <c r="T5" s="1523"/>
      <c r="U5" s="1523"/>
      <c r="V5" s="1523"/>
      <c r="W5" s="1523"/>
      <c r="X5" s="1523"/>
      <c r="Y5" s="1523"/>
      <c r="Z5" s="1523"/>
      <c r="AA5" s="1523"/>
      <c r="AB5" s="1523"/>
      <c r="AC5" s="1523"/>
      <c r="AD5" s="1523"/>
      <c r="AE5" s="1523"/>
      <c r="AF5" s="2681" t="s">
        <v>2034</v>
      </c>
      <c r="AG5" s="2682"/>
      <c r="AH5" s="2682"/>
      <c r="AI5" s="2682"/>
      <c r="AJ5" s="2682"/>
      <c r="AK5" s="2682"/>
      <c r="AL5" s="2682"/>
      <c r="AM5" s="2682"/>
      <c r="AN5" s="2682"/>
      <c r="AO5" s="2682"/>
      <c r="AP5" s="2678"/>
      <c r="AQ5" s="2679"/>
      <c r="AR5" s="2679"/>
      <c r="AS5" s="2679"/>
      <c r="AT5" s="2679"/>
      <c r="AU5" s="2680"/>
      <c r="AV5" s="1523"/>
      <c r="AW5" s="1523"/>
      <c r="AX5" s="1523"/>
      <c r="AY5" s="1523"/>
      <c r="AZ5" s="1523"/>
      <c r="BA5" s="1523"/>
      <c r="BB5" s="1523"/>
      <c r="BC5" s="1523"/>
      <c r="BD5" s="1523"/>
      <c r="BE5" s="1524"/>
    </row>
    <row r="6" spans="1:58" ht="15.75" customHeight="1" thickBot="1">
      <c r="A6" s="1801"/>
      <c r="B6" s="1525" t="s">
        <v>2035</v>
      </c>
      <c r="C6" s="1523"/>
      <c r="D6" s="1523"/>
      <c r="E6" s="1523"/>
      <c r="F6" s="1523"/>
      <c r="G6" s="1523"/>
      <c r="H6" s="1523"/>
      <c r="I6" s="1523"/>
      <c r="J6" s="1523"/>
      <c r="K6" s="1523"/>
      <c r="L6" s="2697" t="str">
        <f>IF(Application!H16="","",Application!H16)</f>
        <v xml:space="preserve">Mercy Housing California </v>
      </c>
      <c r="M6" s="2698"/>
      <c r="N6" s="2698"/>
      <c r="O6" s="2698"/>
      <c r="P6" s="2698"/>
      <c r="Q6" s="2698"/>
      <c r="R6" s="2698"/>
      <c r="S6" s="2698"/>
      <c r="T6" s="2698"/>
      <c r="U6" s="2698"/>
      <c r="V6" s="2698"/>
      <c r="W6" s="2698"/>
      <c r="X6" s="2698"/>
      <c r="Y6" s="2698"/>
      <c r="Z6" s="2698"/>
      <c r="AA6" s="2698"/>
      <c r="AB6" s="2698"/>
      <c r="AC6" s="2699"/>
      <c r="AD6" s="1523"/>
      <c r="AE6" s="1523"/>
      <c r="AF6" s="1523"/>
      <c r="AG6" s="1523"/>
      <c r="AH6" s="1523"/>
      <c r="AI6" s="1523"/>
      <c r="AJ6" s="1523"/>
      <c r="AK6" s="1523"/>
      <c r="AL6" s="1523"/>
      <c r="AM6" s="1523"/>
      <c r="AN6" s="1523"/>
      <c r="AO6" s="1523"/>
      <c r="AP6" s="1523"/>
      <c r="AQ6" s="1523"/>
      <c r="AR6" s="1523"/>
      <c r="AS6" s="1523"/>
      <c r="AT6" s="1523"/>
      <c r="AU6" s="1523"/>
      <c r="AV6" s="1523"/>
      <c r="AW6" s="1523"/>
      <c r="AX6" s="1523"/>
      <c r="AY6" s="1523"/>
      <c r="AZ6" s="1523"/>
      <c r="BA6" s="1523"/>
      <c r="BB6" s="1523"/>
      <c r="BC6" s="1523"/>
      <c r="BD6" s="1523"/>
      <c r="BE6" s="1524"/>
    </row>
    <row r="7" spans="1:58" ht="15" thickBot="1">
      <c r="A7" s="1801"/>
      <c r="B7" s="1523"/>
      <c r="C7" s="1523"/>
      <c r="D7" s="1523"/>
      <c r="E7" s="1523"/>
      <c r="F7" s="1523"/>
      <c r="G7" s="1523"/>
      <c r="H7" s="1523"/>
      <c r="I7" s="1523"/>
      <c r="J7" s="1523"/>
      <c r="K7" s="1523"/>
      <c r="L7" s="1523"/>
      <c r="M7" s="1523"/>
      <c r="N7" s="1523"/>
      <c r="O7" s="1523"/>
      <c r="P7" s="1523"/>
      <c r="Q7" s="1523"/>
      <c r="R7" s="1523"/>
      <c r="S7" s="1523"/>
      <c r="T7" s="1523"/>
      <c r="U7" s="1523"/>
      <c r="V7" s="1523"/>
      <c r="W7" s="1523"/>
      <c r="X7" s="1523"/>
      <c r="Y7" s="1523"/>
      <c r="Z7" s="1523"/>
      <c r="AA7" s="1523"/>
      <c r="AB7" s="1523"/>
      <c r="AC7" s="1523"/>
      <c r="AD7" s="1523"/>
      <c r="AE7" s="1523"/>
      <c r="AF7" s="1523"/>
      <c r="AG7" s="1523"/>
      <c r="AH7" s="1523"/>
      <c r="AI7" s="1523"/>
      <c r="AJ7" s="1523"/>
      <c r="AK7" s="1523"/>
      <c r="AL7" s="1523"/>
      <c r="AM7" s="1523"/>
      <c r="AN7" s="1523"/>
      <c r="AO7" s="1523"/>
      <c r="AP7" s="1523"/>
      <c r="AQ7" s="1523"/>
      <c r="AR7" s="1523"/>
      <c r="AS7" s="1523"/>
      <c r="AT7" s="1523"/>
      <c r="AU7" s="1523"/>
      <c r="AV7" s="1523"/>
      <c r="AW7" s="1523"/>
      <c r="AX7" s="1523"/>
      <c r="AY7" s="1523"/>
      <c r="AZ7" s="1523"/>
      <c r="BA7" s="1523"/>
      <c r="BB7" s="1523"/>
      <c r="BC7" s="1523"/>
      <c r="BD7" s="1523"/>
      <c r="BE7" s="1524"/>
    </row>
    <row r="8" spans="1:58" ht="15" thickBot="1">
      <c r="A8" s="1801"/>
      <c r="B8" s="1525" t="s">
        <v>2036</v>
      </c>
      <c r="C8" s="1523"/>
      <c r="D8" s="1523"/>
      <c r="E8" s="1523"/>
      <c r="F8" s="1523"/>
      <c r="G8" s="1523"/>
      <c r="H8" s="1523"/>
      <c r="I8" s="1523"/>
      <c r="J8" s="1523"/>
      <c r="K8" s="1523"/>
      <c r="L8" s="1523"/>
      <c r="M8" s="1523"/>
      <c r="N8" s="1523"/>
      <c r="O8" s="1523"/>
      <c r="P8" s="1523"/>
      <c r="Q8" s="1523"/>
      <c r="R8" s="1523"/>
      <c r="S8" s="1523"/>
      <c r="T8" s="1523"/>
      <c r="U8" s="1523"/>
      <c r="V8" s="1523"/>
      <c r="W8" s="1523"/>
      <c r="X8" s="1523"/>
      <c r="Y8" s="1523"/>
      <c r="Z8" s="1523"/>
      <c r="AA8" s="1523"/>
      <c r="AB8" s="2700" t="str">
        <f>Application!T196</f>
        <v>No</v>
      </c>
      <c r="AC8" s="2701"/>
      <c r="AD8" s="2702"/>
      <c r="AE8" s="1523"/>
      <c r="AF8" s="1523"/>
      <c r="AG8" s="1523"/>
      <c r="AH8" s="1523"/>
      <c r="AI8" s="1523"/>
      <c r="AJ8" s="1523"/>
      <c r="AK8" s="1523"/>
      <c r="AL8" s="1523"/>
      <c r="AM8" s="1523"/>
      <c r="AN8" s="1523"/>
      <c r="AO8" s="1523"/>
      <c r="AP8" s="1523"/>
      <c r="AQ8" s="1523"/>
      <c r="AR8" s="1523"/>
      <c r="AS8" s="1523"/>
      <c r="AT8" s="1523"/>
      <c r="AU8" s="1523"/>
      <c r="AV8" s="1523"/>
      <c r="AW8" s="1523"/>
      <c r="AX8" s="1523"/>
      <c r="AY8" s="1523"/>
      <c r="AZ8" s="1523"/>
      <c r="BA8" s="1523"/>
      <c r="BB8" s="1523"/>
      <c r="BC8" s="1523"/>
      <c r="BD8" s="1523"/>
      <c r="BE8" s="1524"/>
    </row>
    <row r="9" spans="1:58" ht="15" thickBot="1">
      <c r="A9" s="1802"/>
      <c r="B9" s="1523"/>
      <c r="C9" s="1523"/>
      <c r="D9" s="1523"/>
      <c r="E9" s="1523"/>
      <c r="F9" s="1523"/>
      <c r="G9" s="1523"/>
      <c r="H9" s="1523"/>
      <c r="I9" s="1523"/>
      <c r="J9" s="1523"/>
      <c r="K9" s="1523"/>
      <c r="L9" s="1523"/>
      <c r="M9" s="1523"/>
      <c r="N9" s="1523"/>
      <c r="O9" s="1523"/>
      <c r="P9" s="1523"/>
      <c r="Q9" s="1523"/>
      <c r="R9" s="1523"/>
      <c r="S9" s="1523"/>
      <c r="T9" s="1523"/>
      <c r="U9" s="1523"/>
      <c r="V9" s="1523"/>
      <c r="W9" s="1523"/>
      <c r="X9" s="1523"/>
      <c r="Y9" s="1523"/>
      <c r="Z9" s="1523"/>
      <c r="AA9" s="1523"/>
      <c r="AB9" s="1523"/>
      <c r="AC9" s="1523"/>
      <c r="AD9" s="1523"/>
      <c r="AE9" s="1523"/>
      <c r="AF9" s="1523"/>
      <c r="AG9" s="1523"/>
      <c r="AH9" s="1523"/>
      <c r="AI9" s="1523"/>
      <c r="AJ9" s="1523"/>
      <c r="AK9" s="1523"/>
      <c r="AL9" s="1523"/>
      <c r="AM9" s="1523"/>
      <c r="AN9" s="1523"/>
      <c r="AO9" s="1523"/>
      <c r="AP9" s="1523"/>
      <c r="AQ9" s="1526"/>
      <c r="AR9" s="1526"/>
      <c r="AS9" s="1523"/>
      <c r="AT9" s="1523"/>
      <c r="AU9" s="1523"/>
      <c r="AV9" s="1523"/>
      <c r="AW9" s="1523"/>
      <c r="AX9" s="1523"/>
      <c r="AY9" s="1523"/>
      <c r="AZ9" s="1523"/>
      <c r="BA9" s="1523"/>
      <c r="BB9" s="1523"/>
      <c r="BC9" s="1523"/>
      <c r="BD9" s="1523"/>
      <c r="BE9" s="1524"/>
    </row>
    <row r="10" spans="1:58" ht="15" thickBot="1">
      <c r="A10" s="1801"/>
      <c r="B10" s="1525" t="s">
        <v>2038</v>
      </c>
      <c r="C10" s="1525"/>
      <c r="D10" s="1525"/>
      <c r="E10" s="1525"/>
      <c r="F10" s="1525"/>
      <c r="G10" s="1525"/>
      <c r="H10" s="1525"/>
      <c r="I10" s="1525"/>
      <c r="J10" s="1525"/>
      <c r="K10" s="1525"/>
      <c r="L10" s="1525"/>
      <c r="M10" s="1523"/>
      <c r="N10" s="2703">
        <f>VLOOKUP("CalHFA Permanent Loan",Application!C564:AS575,37,TRUE)</f>
        <v>500622</v>
      </c>
      <c r="O10" s="2704"/>
      <c r="P10" s="2704"/>
      <c r="Q10" s="2704"/>
      <c r="R10" s="2704"/>
      <c r="S10" s="2704"/>
      <c r="T10" s="2705"/>
      <c r="U10" s="1523"/>
      <c r="V10" s="1523"/>
      <c r="W10" s="1523"/>
      <c r="X10" s="2683" t="s">
        <v>2039</v>
      </c>
      <c r="Y10" s="2684"/>
      <c r="Z10" s="2684"/>
      <c r="AA10" s="2684"/>
      <c r="AB10" s="2684"/>
      <c r="AC10" s="2684"/>
      <c r="AD10" s="2684"/>
      <c r="AE10" s="2684"/>
      <c r="AF10" s="2684"/>
      <c r="AG10" s="2684"/>
      <c r="AH10" s="2684"/>
      <c r="AI10" s="2684"/>
      <c r="AJ10" s="2684"/>
      <c r="AK10" s="2685"/>
      <c r="AL10" s="2689">
        <f>Application!W471</f>
        <v>20</v>
      </c>
      <c r="AM10" s="2690"/>
      <c r="AN10" s="2690"/>
      <c r="AO10" s="2690"/>
      <c r="AP10" s="2691"/>
      <c r="AQ10" s="1526"/>
      <c r="AR10" s="1526"/>
      <c r="AS10" s="1526"/>
      <c r="AT10" s="1526"/>
      <c r="AU10" s="1526"/>
      <c r="AV10" s="1526"/>
      <c r="AW10" s="1526"/>
      <c r="AX10" s="1523"/>
      <c r="AY10" s="1523"/>
      <c r="AZ10" s="1523"/>
      <c r="BA10" s="1523"/>
      <c r="BB10" s="1523"/>
      <c r="BC10" s="1523"/>
      <c r="BD10" s="1523"/>
      <c r="BE10" s="1524"/>
    </row>
    <row r="11" spans="1:58" ht="15" thickBot="1">
      <c r="A11" s="1801"/>
      <c r="B11" s="1525" t="s">
        <v>2040</v>
      </c>
      <c r="C11" s="1525"/>
      <c r="D11" s="1525"/>
      <c r="E11" s="1525"/>
      <c r="F11" s="1525"/>
      <c r="G11" s="1525"/>
      <c r="H11" s="1525"/>
      <c r="I11" s="1525"/>
      <c r="J11" s="1525"/>
      <c r="K11" s="1525"/>
      <c r="L11" s="1525"/>
      <c r="M11" s="1523"/>
      <c r="N11" s="2706">
        <f>Application!AA925</f>
        <v>0</v>
      </c>
      <c r="O11" s="2707"/>
      <c r="P11" s="2707"/>
      <c r="Q11" s="2707"/>
      <c r="R11" s="2707"/>
      <c r="S11" s="2707"/>
      <c r="T11" s="2708"/>
      <c r="U11" s="1523"/>
      <c r="V11" s="1523"/>
      <c r="W11" s="1523"/>
      <c r="X11" s="2709" t="s">
        <v>2041</v>
      </c>
      <c r="Y11" s="2710"/>
      <c r="Z11" s="2710"/>
      <c r="AA11" s="2710"/>
      <c r="AB11" s="2710"/>
      <c r="AC11" s="2710"/>
      <c r="AD11" s="2710"/>
      <c r="AE11" s="2710"/>
      <c r="AF11" s="2710"/>
      <c r="AG11" s="2710"/>
      <c r="AH11" s="2710"/>
      <c r="AI11" s="2710"/>
      <c r="AJ11" s="2710"/>
      <c r="AK11" s="2711"/>
      <c r="AL11" s="2686"/>
      <c r="AM11" s="2687"/>
      <c r="AN11" s="2687"/>
      <c r="AO11" s="2687"/>
      <c r="AP11" s="2688"/>
      <c r="AQ11" s="1527"/>
      <c r="AR11" s="1528"/>
      <c r="AS11" s="1526"/>
      <c r="AT11" s="1526"/>
      <c r="AU11" s="1526"/>
      <c r="AV11" s="1526"/>
      <c r="AW11" s="1526"/>
      <c r="AX11" s="1523"/>
      <c r="AY11" s="1523"/>
      <c r="AZ11" s="1523"/>
      <c r="BA11" s="1523"/>
      <c r="BB11" s="1523"/>
      <c r="BC11" s="1523"/>
      <c r="BD11" s="1523"/>
      <c r="BE11" s="1524"/>
    </row>
    <row r="12" spans="1:58" ht="15" thickBot="1">
      <c r="A12" s="1802"/>
      <c r="B12" s="1523"/>
      <c r="C12" s="1523"/>
      <c r="D12" s="1523"/>
      <c r="E12" s="1523"/>
      <c r="F12" s="1523"/>
      <c r="G12" s="1523"/>
      <c r="H12" s="1523"/>
      <c r="I12" s="1523"/>
      <c r="J12" s="1523"/>
      <c r="K12" s="1523"/>
      <c r="L12" s="1523"/>
      <c r="M12" s="1523"/>
      <c r="N12" s="1523"/>
      <c r="O12" s="1523"/>
      <c r="P12" s="1523"/>
      <c r="Q12" s="1523"/>
      <c r="R12" s="1523"/>
      <c r="S12" s="1523"/>
      <c r="T12" s="1523"/>
      <c r="U12" s="1523"/>
      <c r="V12" s="1523"/>
      <c r="W12" s="1523"/>
      <c r="X12" s="2683" t="s">
        <v>2042</v>
      </c>
      <c r="Y12" s="2684"/>
      <c r="Z12" s="2684"/>
      <c r="AA12" s="2684"/>
      <c r="AB12" s="2684"/>
      <c r="AC12" s="2684"/>
      <c r="AD12" s="2684"/>
      <c r="AE12" s="2684"/>
      <c r="AF12" s="2684"/>
      <c r="AG12" s="2684"/>
      <c r="AH12" s="2684"/>
      <c r="AI12" s="2684"/>
      <c r="AJ12" s="2684"/>
      <c r="AK12" s="2685"/>
      <c r="AL12" s="2686"/>
      <c r="AM12" s="2687"/>
      <c r="AN12" s="2687"/>
      <c r="AO12" s="2687"/>
      <c r="AP12" s="2688"/>
      <c r="AQ12" s="1526"/>
      <c r="AR12" s="1526"/>
      <c r="AS12" s="1526"/>
      <c r="AT12" s="1526"/>
      <c r="AU12" s="1526"/>
      <c r="AV12" s="1523"/>
      <c r="AW12" s="1523"/>
      <c r="AX12" s="1523"/>
      <c r="AY12" s="1523"/>
      <c r="AZ12" s="1523"/>
      <c r="BA12" s="1523"/>
      <c r="BB12" s="1523"/>
      <c r="BC12" s="1523"/>
      <c r="BD12" s="1523"/>
      <c r="BE12" s="1529"/>
    </row>
    <row r="13" spans="1:58" ht="15" thickBot="1">
      <c r="A13" s="1802"/>
      <c r="B13" s="2683" t="s">
        <v>2043</v>
      </c>
      <c r="C13" s="2684"/>
      <c r="D13" s="2684"/>
      <c r="E13" s="2684"/>
      <c r="F13" s="2684"/>
      <c r="G13" s="2684"/>
      <c r="H13" s="2684"/>
      <c r="I13" s="2684"/>
      <c r="J13" s="2684"/>
      <c r="K13" s="2684"/>
      <c r="L13" s="2684"/>
      <c r="M13" s="2684"/>
      <c r="N13" s="2684"/>
      <c r="O13" s="2684"/>
      <c r="P13" s="2685"/>
      <c r="Q13" s="2692" t="s">
        <v>2037</v>
      </c>
      <c r="R13" s="2679"/>
      <c r="S13" s="2679"/>
      <c r="T13" s="2680"/>
      <c r="U13" s="1526"/>
      <c r="V13" s="1523"/>
      <c r="W13" s="1523"/>
      <c r="X13" s="1523"/>
      <c r="Y13" s="1523"/>
      <c r="Z13" s="1523"/>
      <c r="AA13" s="1526"/>
      <c r="AB13" s="1526"/>
      <c r="AC13" s="1526"/>
      <c r="AD13" s="1526"/>
      <c r="AE13" s="1526"/>
      <c r="AF13" s="1526"/>
      <c r="AG13" s="1526"/>
      <c r="AH13" s="1526"/>
      <c r="AI13" s="1526"/>
      <c r="AJ13" s="1526"/>
      <c r="AK13" s="1526"/>
      <c r="AL13" s="1526"/>
      <c r="AM13" s="1526"/>
      <c r="AN13" s="1526"/>
      <c r="AO13" s="1526"/>
      <c r="AP13" s="1526"/>
      <c r="AQ13" s="1526"/>
      <c r="AR13" s="1526"/>
      <c r="AS13" s="1526"/>
      <c r="AT13" s="1526"/>
      <c r="AU13" s="1526"/>
      <c r="AV13" s="1526"/>
      <c r="AW13" s="1526"/>
      <c r="AX13" s="1526"/>
      <c r="AY13" s="1526"/>
      <c r="AZ13" s="1526"/>
      <c r="BA13" s="1526"/>
      <c r="BB13" s="1526"/>
      <c r="BC13" s="1526"/>
      <c r="BD13" s="1526"/>
      <c r="BE13" s="1529"/>
    </row>
    <row r="14" spans="1:58" ht="15" thickBot="1">
      <c r="A14" s="1802"/>
      <c r="B14" s="1523"/>
      <c r="C14" s="1523"/>
      <c r="D14" s="1523"/>
      <c r="E14" s="1523"/>
      <c r="F14" s="1523"/>
      <c r="G14" s="1523"/>
      <c r="H14" s="1523"/>
      <c r="I14" s="1523"/>
      <c r="J14" s="1523"/>
      <c r="K14" s="1523"/>
      <c r="L14" s="1523"/>
      <c r="M14" s="1523"/>
      <c r="N14" s="1523"/>
      <c r="O14" s="1523"/>
      <c r="P14" s="1523"/>
      <c r="Q14" s="1523"/>
      <c r="R14" s="1523"/>
      <c r="S14" s="1523"/>
      <c r="T14" s="1523"/>
      <c r="U14" s="1523"/>
      <c r="V14" s="1523"/>
      <c r="W14" s="1523"/>
      <c r="X14" s="1523"/>
      <c r="Y14" s="1523"/>
      <c r="Z14" s="1523"/>
      <c r="AA14" s="1526"/>
      <c r="AB14" s="1526"/>
      <c r="AC14" s="1526"/>
      <c r="AD14" s="1526"/>
      <c r="AE14" s="1526"/>
      <c r="AF14" s="1526"/>
      <c r="AG14" s="1526"/>
      <c r="AH14" s="1526"/>
      <c r="AI14" s="1526"/>
      <c r="AJ14" s="1526"/>
      <c r="AK14" s="1526"/>
      <c r="AL14" s="1526"/>
      <c r="AM14" s="1526"/>
      <c r="AN14" s="1526"/>
      <c r="AO14" s="1526"/>
      <c r="AP14" s="1526"/>
      <c r="AQ14" s="1526"/>
      <c r="AR14" s="1526"/>
      <c r="AS14" s="1526"/>
      <c r="AT14" s="1526"/>
      <c r="AU14" s="1526"/>
      <c r="AV14" s="1526"/>
      <c r="AW14" s="1526"/>
      <c r="AX14" s="1526"/>
      <c r="AY14" s="1526"/>
      <c r="AZ14" s="1526"/>
      <c r="BA14" s="1526"/>
      <c r="BB14" s="1526"/>
      <c r="BC14" s="1526"/>
      <c r="BD14" s="1526"/>
      <c r="BE14" s="1529"/>
    </row>
    <row r="15" spans="1:58" ht="14.4">
      <c r="A15" s="1802"/>
      <c r="B15" s="2693" t="s">
        <v>2044</v>
      </c>
      <c r="C15" s="2693"/>
      <c r="D15" s="2693"/>
      <c r="E15" s="2693"/>
      <c r="F15" s="2693"/>
      <c r="G15" s="2693"/>
      <c r="H15" s="2693"/>
      <c r="I15" s="2693"/>
      <c r="J15" s="2693"/>
      <c r="K15" s="2693"/>
      <c r="L15" s="2694"/>
      <c r="M15" s="2676" t="s">
        <v>2045</v>
      </c>
      <c r="N15" s="2677"/>
      <c r="O15" s="2677"/>
      <c r="P15" s="2677"/>
      <c r="Q15" s="2677"/>
      <c r="R15" s="2677"/>
      <c r="S15" s="2695" t="str">
        <f>IF(Application!AB214="","",Application!AB214)</f>
        <v/>
      </c>
      <c r="T15" s="2695"/>
      <c r="U15" s="2695"/>
      <c r="V15" s="2695"/>
      <c r="W15" s="2696"/>
      <c r="X15" s="1526"/>
      <c r="Y15" s="1523"/>
      <c r="Z15" s="1523"/>
      <c r="AA15" s="1526"/>
      <c r="AB15" s="1526"/>
      <c r="AC15" s="1526"/>
      <c r="AD15" s="1526"/>
      <c r="AE15" s="1526"/>
      <c r="AF15" s="1526"/>
      <c r="AG15" s="1526"/>
      <c r="AH15" s="1526"/>
      <c r="AI15" s="1526"/>
      <c r="AJ15" s="1526"/>
      <c r="AK15" s="1526"/>
      <c r="AL15" s="1526"/>
      <c r="AM15" s="1526"/>
      <c r="AN15" s="1526"/>
      <c r="AO15" s="1526"/>
      <c r="AP15" s="1526"/>
      <c r="AQ15" s="1526"/>
      <c r="AR15" s="1526"/>
      <c r="AS15" s="1526"/>
      <c r="AT15" s="1526"/>
      <c r="AU15" s="1526"/>
      <c r="AV15" s="1526"/>
      <c r="AW15" s="1526"/>
      <c r="AX15" s="1526"/>
      <c r="AY15" s="1526"/>
      <c r="AZ15" s="1526"/>
      <c r="BA15" s="1526"/>
      <c r="BB15" s="1526"/>
      <c r="BC15" s="1526"/>
      <c r="BD15" s="1526"/>
      <c r="BE15" s="1529"/>
    </row>
    <row r="16" spans="1:58" ht="15" thickBot="1">
      <c r="A16" s="1801"/>
      <c r="B16" s="1523"/>
      <c r="C16" s="1523"/>
      <c r="D16" s="1523"/>
      <c r="E16" s="1523"/>
      <c r="F16" s="1523"/>
      <c r="G16" s="1523"/>
      <c r="H16" s="1523"/>
      <c r="I16" s="1523"/>
      <c r="J16" s="1523"/>
      <c r="K16" s="1523"/>
      <c r="L16" s="1523"/>
      <c r="M16" s="1523"/>
      <c r="N16" s="1523"/>
      <c r="O16" s="1523"/>
      <c r="P16" s="1523"/>
      <c r="Q16" s="1523"/>
      <c r="R16" s="1523"/>
      <c r="S16" s="1523"/>
      <c r="T16" s="1523"/>
      <c r="U16" s="1523"/>
      <c r="V16" s="1523"/>
      <c r="W16" s="1523"/>
      <c r="X16" s="1523"/>
      <c r="Y16" s="1523"/>
      <c r="Z16" s="1523"/>
      <c r="AA16" s="1523"/>
      <c r="AB16" s="1523"/>
      <c r="AC16" s="1523"/>
      <c r="AD16" s="1523"/>
      <c r="AE16" s="1523"/>
      <c r="AF16" s="1523"/>
      <c r="AG16" s="1523"/>
      <c r="AH16" s="1523"/>
      <c r="AI16" s="1523"/>
      <c r="AJ16" s="1523"/>
      <c r="AK16" s="1523"/>
      <c r="AL16" s="1523"/>
      <c r="AM16" s="1523"/>
      <c r="AN16" s="1523"/>
      <c r="AO16" s="1523"/>
      <c r="AP16" s="1523"/>
      <c r="AQ16" s="1523"/>
      <c r="AR16" s="1523"/>
      <c r="AS16" s="1523"/>
      <c r="AT16" s="1523"/>
      <c r="AU16" s="1523"/>
      <c r="AV16" s="1523"/>
      <c r="AW16" s="1523"/>
      <c r="AX16" s="1523"/>
      <c r="AY16" s="1523"/>
      <c r="AZ16" s="1523"/>
      <c r="BA16" s="1523"/>
      <c r="BB16" s="1523"/>
      <c r="BC16" s="1523"/>
      <c r="BD16" s="1523"/>
      <c r="BE16" s="1529"/>
    </row>
    <row r="17" spans="1:58" ht="14.4">
      <c r="A17" s="1802"/>
      <c r="B17" s="2712" t="s">
        <v>2046</v>
      </c>
      <c r="C17" s="2713"/>
      <c r="D17" s="2713"/>
      <c r="E17" s="2713"/>
      <c r="F17" s="2713"/>
      <c r="G17" s="2713"/>
      <c r="H17" s="2713"/>
      <c r="I17" s="2713"/>
      <c r="J17" s="2713"/>
      <c r="K17" s="2713"/>
      <c r="L17" s="2713"/>
      <c r="M17" s="2713"/>
      <c r="N17" s="2713"/>
      <c r="O17" s="2713"/>
      <c r="P17" s="2713"/>
      <c r="Q17" s="2713"/>
      <c r="R17" s="2713"/>
      <c r="S17" s="2713"/>
      <c r="T17" s="2713"/>
      <c r="U17" s="2713"/>
      <c r="V17" s="2713"/>
      <c r="W17" s="2713"/>
      <c r="X17" s="2713"/>
      <c r="Y17" s="2713"/>
      <c r="Z17" s="2713"/>
      <c r="AA17" s="2713"/>
      <c r="AB17" s="2713"/>
      <c r="AC17" s="2713"/>
      <c r="AD17" s="2713"/>
      <c r="AE17" s="2713"/>
      <c r="AF17" s="2713"/>
      <c r="AG17" s="2713"/>
      <c r="AH17" s="2713"/>
      <c r="AI17" s="2713"/>
      <c r="AJ17" s="2713"/>
      <c r="AK17" s="2713"/>
      <c r="AL17" s="2713"/>
      <c r="AM17" s="2713"/>
      <c r="AN17" s="2713"/>
      <c r="AO17" s="2713"/>
      <c r="AP17" s="2713"/>
      <c r="AQ17" s="2713"/>
      <c r="AR17" s="2713"/>
      <c r="AS17" s="2713"/>
      <c r="AT17" s="2713"/>
      <c r="AU17" s="2713"/>
      <c r="AV17" s="2713"/>
      <c r="AW17" s="2713"/>
      <c r="AX17" s="2713"/>
      <c r="AY17" s="2714"/>
      <c r="AZ17" s="1523"/>
      <c r="BA17" s="1523"/>
      <c r="BB17" s="1523"/>
      <c r="BC17" s="1523"/>
      <c r="BD17" s="1523"/>
      <c r="BE17" s="1529"/>
      <c r="BF17" s="1521"/>
    </row>
    <row r="18" spans="1:58" ht="15.75" customHeight="1">
      <c r="A18" s="1802"/>
      <c r="B18" s="2715" t="s">
        <v>2047</v>
      </c>
      <c r="C18" s="2716"/>
      <c r="D18" s="2716"/>
      <c r="E18" s="2716"/>
      <c r="F18" s="2716"/>
      <c r="G18" s="2716"/>
      <c r="H18" s="2716"/>
      <c r="I18" s="2717"/>
      <c r="J18" s="2718" t="s">
        <v>1879</v>
      </c>
      <c r="K18" s="2719"/>
      <c r="L18" s="2719"/>
      <c r="M18" s="2719"/>
      <c r="N18" s="2719"/>
      <c r="O18" s="2720"/>
      <c r="P18" s="2718" t="s">
        <v>333</v>
      </c>
      <c r="Q18" s="2719"/>
      <c r="R18" s="2719"/>
      <c r="S18" s="2719"/>
      <c r="T18" s="2719"/>
      <c r="U18" s="2720"/>
      <c r="V18" s="2718" t="s">
        <v>334</v>
      </c>
      <c r="W18" s="2719"/>
      <c r="X18" s="2719"/>
      <c r="Y18" s="2719"/>
      <c r="Z18" s="2719"/>
      <c r="AA18" s="2720"/>
      <c r="AB18" s="2718" t="s">
        <v>168</v>
      </c>
      <c r="AC18" s="2719"/>
      <c r="AD18" s="2719"/>
      <c r="AE18" s="2719"/>
      <c r="AF18" s="2719"/>
      <c r="AG18" s="2720"/>
      <c r="AH18" s="2718" t="s">
        <v>169</v>
      </c>
      <c r="AI18" s="2719"/>
      <c r="AJ18" s="2719"/>
      <c r="AK18" s="2719"/>
      <c r="AL18" s="2719"/>
      <c r="AM18" s="2720"/>
      <c r="AN18" s="2718" t="s">
        <v>170</v>
      </c>
      <c r="AO18" s="2719"/>
      <c r="AP18" s="2719"/>
      <c r="AQ18" s="2719"/>
      <c r="AR18" s="2719"/>
      <c r="AS18" s="2720"/>
      <c r="AT18" s="2718" t="s">
        <v>2048</v>
      </c>
      <c r="AU18" s="2719"/>
      <c r="AV18" s="2719"/>
      <c r="AW18" s="2719"/>
      <c r="AX18" s="2719"/>
      <c r="AY18" s="2721"/>
      <c r="AZ18" s="1523"/>
      <c r="BA18" s="1523"/>
      <c r="BB18" s="1523"/>
      <c r="BC18" s="1523"/>
      <c r="BD18" s="1523"/>
      <c r="BE18" s="1529"/>
    </row>
    <row r="19" spans="1:58" ht="14.4">
      <c r="A19" s="1802"/>
      <c r="B19" s="2728">
        <v>0.2</v>
      </c>
      <c r="C19" s="2729"/>
      <c r="D19" s="2729"/>
      <c r="E19" s="2729"/>
      <c r="F19" s="2729"/>
      <c r="G19" s="2729"/>
      <c r="H19" s="2729"/>
      <c r="I19" s="2729"/>
      <c r="J19" s="2718">
        <f>SUM(P19:AS19)</f>
        <v>0</v>
      </c>
      <c r="K19" s="2719"/>
      <c r="L19" s="2719"/>
      <c r="M19" s="2719"/>
      <c r="N19" s="2719"/>
      <c r="O19" s="2720"/>
      <c r="P19" s="2722" cm="1">
        <f t="array" ref="P19">SUMPRODUCT((Application!$B$728:$B$752 = 'CalHFA Addendum'!P$18)*(Application!$AH$728:$AH$752 = 'CalHFA Addendum'!$B19),Application!$G$728:$G$752)</f>
        <v>0</v>
      </c>
      <c r="Q19" s="2723"/>
      <c r="R19" s="2723"/>
      <c r="S19" s="2723"/>
      <c r="T19" s="2723"/>
      <c r="U19" s="2724"/>
      <c r="V19" s="2722" cm="1">
        <f t="array" ref="V19">SUMPRODUCT((Application!$B$728:$B$752 = 'CalHFA Addendum'!V$18)*(Application!$AH$728:$AH$752 = 'CalHFA Addendum'!$B19),Application!$G$728:$G$752)</f>
        <v>0</v>
      </c>
      <c r="W19" s="2723"/>
      <c r="X19" s="2723"/>
      <c r="Y19" s="2723"/>
      <c r="Z19" s="2723"/>
      <c r="AA19" s="2724"/>
      <c r="AB19" s="2722" cm="1">
        <f t="array" ref="AB19">SUMPRODUCT((Application!$B$728:$B$752 = 'CalHFA Addendum'!AB$18)*(Application!$AH$728:$AH$752 = 'CalHFA Addendum'!$B19),Application!$G$728:$G$752)</f>
        <v>0</v>
      </c>
      <c r="AC19" s="2723"/>
      <c r="AD19" s="2723"/>
      <c r="AE19" s="2723"/>
      <c r="AF19" s="2723"/>
      <c r="AG19" s="2724"/>
      <c r="AH19" s="2722" cm="1">
        <f t="array" ref="AH19">SUMPRODUCT((Application!$B$728:$B$752 = 'CalHFA Addendum'!AH$18)*(Application!$AH$728:$AH$752 = 'CalHFA Addendum'!$B19),Application!$G$728:$G$752)</f>
        <v>0</v>
      </c>
      <c r="AI19" s="2723"/>
      <c r="AJ19" s="2723"/>
      <c r="AK19" s="2723"/>
      <c r="AL19" s="2723"/>
      <c r="AM19" s="2724"/>
      <c r="AN19" s="2722" cm="1">
        <f t="array" ref="AN19">SUMPRODUCT((Application!$B$728:$B$752 = 'CalHFA Addendum'!AN$18)*(Application!$AH$728:$AH$752 = 'CalHFA Addendum'!$B19),Application!$G$728:$G$752)</f>
        <v>0</v>
      </c>
      <c r="AO19" s="2723"/>
      <c r="AP19" s="2723"/>
      <c r="AQ19" s="2723"/>
      <c r="AR19" s="2723"/>
      <c r="AS19" s="2724"/>
      <c r="AT19" s="2725">
        <f t="shared" ref="AT19:AT27" si="0">J19/$J$29</f>
        <v>0</v>
      </c>
      <c r="AU19" s="2726"/>
      <c r="AV19" s="2726"/>
      <c r="AW19" s="2726"/>
      <c r="AX19" s="2726"/>
      <c r="AY19" s="2727"/>
      <c r="AZ19" s="1530"/>
      <c r="BA19" s="1523"/>
      <c r="BB19" s="1523"/>
      <c r="BC19" s="1523"/>
      <c r="BD19" s="1523"/>
      <c r="BE19" s="1529"/>
    </row>
    <row r="20" spans="1:58" ht="15" customHeight="1">
      <c r="A20" s="1802"/>
      <c r="B20" s="2728">
        <v>0.3</v>
      </c>
      <c r="C20" s="2729"/>
      <c r="D20" s="2729"/>
      <c r="E20" s="2729"/>
      <c r="F20" s="2729"/>
      <c r="G20" s="2729"/>
      <c r="H20" s="2729"/>
      <c r="I20" s="2729"/>
      <c r="J20" s="2718">
        <f t="shared" ref="J20:J27" si="1">SUM(P20:AS20)</f>
        <v>27</v>
      </c>
      <c r="K20" s="2719"/>
      <c r="L20" s="2719"/>
      <c r="M20" s="2719"/>
      <c r="N20" s="2719"/>
      <c r="O20" s="2720"/>
      <c r="P20" s="2722" cm="1">
        <f t="array" ref="P20">SUMPRODUCT((Application!$B$728:$B$752 = 'CalHFA Addendum'!P$18)*(Application!$AH$728:$AH$752 = 'CalHFA Addendum'!$B20),Application!$G$728:$G$752)</f>
        <v>0</v>
      </c>
      <c r="Q20" s="2723"/>
      <c r="R20" s="2723"/>
      <c r="S20" s="2723"/>
      <c r="T20" s="2723"/>
      <c r="U20" s="2724"/>
      <c r="V20" s="2722" cm="1">
        <f t="array" ref="V20">SUMPRODUCT((Application!$B$728:$B$752 = 'CalHFA Addendum'!V$18)*(Application!$AH$728:$AH$752 = 'CalHFA Addendum'!$B20),Application!$G$728:$G$752)</f>
        <v>9</v>
      </c>
      <c r="W20" s="2723"/>
      <c r="X20" s="2723"/>
      <c r="Y20" s="2723"/>
      <c r="Z20" s="2723"/>
      <c r="AA20" s="2724"/>
      <c r="AB20" s="2722" cm="1">
        <f t="array" ref="AB20">SUMPRODUCT((Application!$B$728:$B$752 = 'CalHFA Addendum'!AB$18)*(Application!$AH$728:$AH$752 = 'CalHFA Addendum'!$B20),Application!$G$728:$G$752)</f>
        <v>9</v>
      </c>
      <c r="AC20" s="2723"/>
      <c r="AD20" s="2723"/>
      <c r="AE20" s="2723"/>
      <c r="AF20" s="2723"/>
      <c r="AG20" s="2724"/>
      <c r="AH20" s="2722" cm="1">
        <f t="array" ref="AH20">SUMPRODUCT((Application!$B$728:$B$752 = 'CalHFA Addendum'!AH$18)*(Application!$AH$728:$AH$752 = 'CalHFA Addendum'!$B20),Application!$G$728:$G$752)</f>
        <v>9</v>
      </c>
      <c r="AI20" s="2723"/>
      <c r="AJ20" s="2723"/>
      <c r="AK20" s="2723"/>
      <c r="AL20" s="2723"/>
      <c r="AM20" s="2724"/>
      <c r="AN20" s="2722" cm="1">
        <f t="array" ref="AN20">SUMPRODUCT((Application!$B$728:$B$752 = 'CalHFA Addendum'!AN$18)*(Application!$AH$728:$AH$752 = 'CalHFA Addendum'!$B20),Application!$G$728:$G$752)</f>
        <v>0</v>
      </c>
      <c r="AO20" s="2723"/>
      <c r="AP20" s="2723"/>
      <c r="AQ20" s="2723"/>
      <c r="AR20" s="2723"/>
      <c r="AS20" s="2724"/>
      <c r="AT20" s="2725">
        <f t="shared" si="0"/>
        <v>0.13500000000000001</v>
      </c>
      <c r="AU20" s="2726"/>
      <c r="AV20" s="2726"/>
      <c r="AW20" s="2726"/>
      <c r="AX20" s="2726"/>
      <c r="AY20" s="2727"/>
      <c r="AZ20" s="1523"/>
      <c r="BA20" s="1523"/>
      <c r="BB20" s="1523"/>
      <c r="BC20" s="1523"/>
      <c r="BD20" s="1523"/>
      <c r="BE20" s="1529"/>
    </row>
    <row r="21" spans="1:58" ht="14.4">
      <c r="A21" s="1802"/>
      <c r="B21" s="2728">
        <v>0.4</v>
      </c>
      <c r="C21" s="2729"/>
      <c r="D21" s="2729"/>
      <c r="E21" s="2729"/>
      <c r="F21" s="2729"/>
      <c r="G21" s="2729"/>
      <c r="H21" s="2729"/>
      <c r="I21" s="2729"/>
      <c r="J21" s="2718">
        <f t="shared" si="1"/>
        <v>0</v>
      </c>
      <c r="K21" s="2719"/>
      <c r="L21" s="2719"/>
      <c r="M21" s="2719"/>
      <c r="N21" s="2719"/>
      <c r="O21" s="2720"/>
      <c r="P21" s="2722" cm="1">
        <f t="array" ref="P21">SUMPRODUCT((Application!$B$728:$B$752 = 'CalHFA Addendum'!P$18)*(Application!$AH$728:$AH$752 = 'CalHFA Addendum'!$B21),Application!$G$728:$G$752)</f>
        <v>0</v>
      </c>
      <c r="Q21" s="2723"/>
      <c r="R21" s="2723"/>
      <c r="S21" s="2723"/>
      <c r="T21" s="2723"/>
      <c r="U21" s="2724"/>
      <c r="V21" s="2722" cm="1">
        <f t="array" ref="V21">SUMPRODUCT((Application!$B$728:$B$752 = 'CalHFA Addendum'!V$18)*(Application!$AH$728:$AH$752 = 'CalHFA Addendum'!$B21),Application!$G$728:$G$752)</f>
        <v>0</v>
      </c>
      <c r="W21" s="2723"/>
      <c r="X21" s="2723"/>
      <c r="Y21" s="2723"/>
      <c r="Z21" s="2723"/>
      <c r="AA21" s="2724"/>
      <c r="AB21" s="2722" cm="1">
        <f t="array" ref="AB21">SUMPRODUCT((Application!$B$728:$B$752 = 'CalHFA Addendum'!AB$18)*(Application!$AH$728:$AH$752 = 'CalHFA Addendum'!$B21),Application!$G$728:$G$752)</f>
        <v>0</v>
      </c>
      <c r="AC21" s="2723"/>
      <c r="AD21" s="2723"/>
      <c r="AE21" s="2723"/>
      <c r="AF21" s="2723"/>
      <c r="AG21" s="2724"/>
      <c r="AH21" s="2722" cm="1">
        <f t="array" ref="AH21">SUMPRODUCT((Application!$B$728:$B$752 = 'CalHFA Addendum'!AH$18)*(Application!$AH$728:$AH$752 = 'CalHFA Addendum'!$B21),Application!$G$728:$G$752)</f>
        <v>0</v>
      </c>
      <c r="AI21" s="2723"/>
      <c r="AJ21" s="2723"/>
      <c r="AK21" s="2723"/>
      <c r="AL21" s="2723"/>
      <c r="AM21" s="2724"/>
      <c r="AN21" s="2722" cm="1">
        <f t="array" ref="AN21">SUMPRODUCT((Application!$B$728:$B$752 = 'CalHFA Addendum'!AN$18)*(Application!$AH$728:$AH$752 = 'CalHFA Addendum'!$B21),Application!$G$728:$G$752)</f>
        <v>0</v>
      </c>
      <c r="AO21" s="2723"/>
      <c r="AP21" s="2723"/>
      <c r="AQ21" s="2723"/>
      <c r="AR21" s="2723"/>
      <c r="AS21" s="2724"/>
      <c r="AT21" s="2725">
        <f t="shared" si="0"/>
        <v>0</v>
      </c>
      <c r="AU21" s="2726"/>
      <c r="AV21" s="2726"/>
      <c r="AW21" s="2726"/>
      <c r="AX21" s="2726"/>
      <c r="AY21" s="2727"/>
      <c r="AZ21" s="1523"/>
      <c r="BA21" s="1523"/>
      <c r="BB21" s="1523"/>
      <c r="BC21" s="1523"/>
      <c r="BD21" s="1523"/>
      <c r="BE21" s="1529"/>
    </row>
    <row r="22" spans="1:58" ht="14.4">
      <c r="A22" s="1802"/>
      <c r="B22" s="2728">
        <v>0.5</v>
      </c>
      <c r="C22" s="2729"/>
      <c r="D22" s="2729"/>
      <c r="E22" s="2729"/>
      <c r="F22" s="2729"/>
      <c r="G22" s="2729"/>
      <c r="H22" s="2729"/>
      <c r="I22" s="2729"/>
      <c r="J22" s="2718">
        <f t="shared" si="1"/>
        <v>71</v>
      </c>
      <c r="K22" s="2719"/>
      <c r="L22" s="2719"/>
      <c r="M22" s="2719"/>
      <c r="N22" s="2719"/>
      <c r="O22" s="2720"/>
      <c r="P22" s="2722" cm="1">
        <f t="array" ref="P22">SUMPRODUCT((Application!$B$728:$B$752 = 'CalHFA Addendum'!P$18)*(Application!$AH$728:$AH$752 = 'CalHFA Addendum'!$B22),Application!$G$728:$G$752)</f>
        <v>0</v>
      </c>
      <c r="Q22" s="2723"/>
      <c r="R22" s="2723"/>
      <c r="S22" s="2723"/>
      <c r="T22" s="2723"/>
      <c r="U22" s="2724"/>
      <c r="V22" s="2722" cm="1">
        <f t="array" ref="V22">SUMPRODUCT((Application!$B$728:$B$752 = 'CalHFA Addendum'!V$18)*(Application!$AH$728:$AH$752 = 'CalHFA Addendum'!$B22),Application!$G$728:$G$752)</f>
        <v>10</v>
      </c>
      <c r="W22" s="2723"/>
      <c r="X22" s="2723"/>
      <c r="Y22" s="2723"/>
      <c r="Z22" s="2723"/>
      <c r="AA22" s="2724"/>
      <c r="AB22" s="2722" cm="1">
        <f t="array" ref="AB22">SUMPRODUCT((Application!$B$728:$B$752 = 'CalHFA Addendum'!AB$18)*(Application!$AH$728:$AH$752 = 'CalHFA Addendum'!$B22),Application!$G$728:$G$752)</f>
        <v>44</v>
      </c>
      <c r="AC22" s="2723"/>
      <c r="AD22" s="2723"/>
      <c r="AE22" s="2723"/>
      <c r="AF22" s="2723"/>
      <c r="AG22" s="2724"/>
      <c r="AH22" s="2722" cm="1">
        <f t="array" ref="AH22">SUMPRODUCT((Application!$B$728:$B$752 = 'CalHFA Addendum'!AH$18)*(Application!$AH$728:$AH$752 = 'CalHFA Addendum'!$B22),Application!$G$728:$G$752)</f>
        <v>17</v>
      </c>
      <c r="AI22" s="2723"/>
      <c r="AJ22" s="2723"/>
      <c r="AK22" s="2723"/>
      <c r="AL22" s="2723"/>
      <c r="AM22" s="2724"/>
      <c r="AN22" s="2722" cm="1">
        <f t="array" ref="AN22">SUMPRODUCT((Application!$B$728:$B$752 = 'CalHFA Addendum'!AN$18)*(Application!$AH$728:$AH$752 = 'CalHFA Addendum'!$B22),Application!$G$728:$G$752)</f>
        <v>0</v>
      </c>
      <c r="AO22" s="2723"/>
      <c r="AP22" s="2723"/>
      <c r="AQ22" s="2723"/>
      <c r="AR22" s="2723"/>
      <c r="AS22" s="2724"/>
      <c r="AT22" s="2725">
        <f t="shared" si="0"/>
        <v>0.35499999999999998</v>
      </c>
      <c r="AU22" s="2726"/>
      <c r="AV22" s="2726"/>
      <c r="AW22" s="2726"/>
      <c r="AX22" s="2726"/>
      <c r="AY22" s="2727"/>
      <c r="AZ22" s="1523"/>
      <c r="BA22" s="1523"/>
      <c r="BB22" s="1523"/>
      <c r="BC22" s="1523"/>
      <c r="BD22" s="1523"/>
      <c r="BE22" s="1529"/>
    </row>
    <row r="23" spans="1:58" ht="14.4">
      <c r="A23" s="1802"/>
      <c r="B23" s="2728">
        <v>0.6</v>
      </c>
      <c r="C23" s="2729"/>
      <c r="D23" s="2729"/>
      <c r="E23" s="2729"/>
      <c r="F23" s="2729"/>
      <c r="G23" s="2729"/>
      <c r="H23" s="2729"/>
      <c r="I23" s="2729"/>
      <c r="J23" s="2718">
        <f t="shared" si="1"/>
        <v>51</v>
      </c>
      <c r="K23" s="2719"/>
      <c r="L23" s="2719"/>
      <c r="M23" s="2719"/>
      <c r="N23" s="2719"/>
      <c r="O23" s="2720"/>
      <c r="P23" s="2722" cm="1">
        <f t="array" ref="P23">SUMPRODUCT((Application!$B$728:$B$752 = 'CalHFA Addendum'!P$18)*(Application!$AH$728:$AH$752 = 'CalHFA Addendum'!$B23),Application!$G$728:$G$752)</f>
        <v>0</v>
      </c>
      <c r="Q23" s="2723"/>
      <c r="R23" s="2723"/>
      <c r="S23" s="2723"/>
      <c r="T23" s="2723"/>
      <c r="U23" s="2724"/>
      <c r="V23" s="2722" cm="1">
        <f t="array" ref="V23">SUMPRODUCT((Application!$B$728:$B$752 = 'CalHFA Addendum'!V$18)*(Application!$AH$728:$AH$752 = 'CalHFA Addendum'!$B23),Application!$G$728:$G$752)</f>
        <v>15</v>
      </c>
      <c r="W23" s="2723"/>
      <c r="X23" s="2723"/>
      <c r="Y23" s="2723"/>
      <c r="Z23" s="2723"/>
      <c r="AA23" s="2724"/>
      <c r="AB23" s="2722" cm="1">
        <f t="array" ref="AB23">SUMPRODUCT((Application!$B$728:$B$752 = 'CalHFA Addendum'!AB$18)*(Application!$AH$728:$AH$752 = 'CalHFA Addendum'!$B23),Application!$G$728:$G$752)</f>
        <v>22</v>
      </c>
      <c r="AC23" s="2723"/>
      <c r="AD23" s="2723"/>
      <c r="AE23" s="2723"/>
      <c r="AF23" s="2723"/>
      <c r="AG23" s="2724"/>
      <c r="AH23" s="2722" cm="1">
        <f t="array" ref="AH23">SUMPRODUCT((Application!$B$728:$B$752 = 'CalHFA Addendum'!AH$18)*(Application!$AH$728:$AH$752 = 'CalHFA Addendum'!$B23),Application!$G$728:$G$752)</f>
        <v>14</v>
      </c>
      <c r="AI23" s="2723"/>
      <c r="AJ23" s="2723"/>
      <c r="AK23" s="2723"/>
      <c r="AL23" s="2723"/>
      <c r="AM23" s="2724"/>
      <c r="AN23" s="2722" cm="1">
        <f t="array" ref="AN23">SUMPRODUCT((Application!$B$728:$B$752 = 'CalHFA Addendum'!AN$18)*(Application!$AH$728:$AH$752 = 'CalHFA Addendum'!$B23),Application!$G$728:$G$752)</f>
        <v>0</v>
      </c>
      <c r="AO23" s="2723"/>
      <c r="AP23" s="2723"/>
      <c r="AQ23" s="2723"/>
      <c r="AR23" s="2723"/>
      <c r="AS23" s="2724"/>
      <c r="AT23" s="2725">
        <f t="shared" si="0"/>
        <v>0.255</v>
      </c>
      <c r="AU23" s="2726"/>
      <c r="AV23" s="2726"/>
      <c r="AW23" s="2726"/>
      <c r="AX23" s="2726"/>
      <c r="AY23" s="2727"/>
      <c r="AZ23" s="1523"/>
      <c r="BA23" s="1523"/>
      <c r="BB23" s="1523"/>
      <c r="BC23" s="1523"/>
      <c r="BD23" s="1523"/>
      <c r="BE23" s="1529"/>
    </row>
    <row r="24" spans="1:58" ht="14.4">
      <c r="A24" s="1802"/>
      <c r="B24" s="2728">
        <v>0.7</v>
      </c>
      <c r="C24" s="2729"/>
      <c r="D24" s="2729"/>
      <c r="E24" s="2729"/>
      <c r="F24" s="2729"/>
      <c r="G24" s="2729"/>
      <c r="H24" s="2729"/>
      <c r="I24" s="2729"/>
      <c r="J24" s="2718">
        <f t="shared" si="1"/>
        <v>49</v>
      </c>
      <c r="K24" s="2719"/>
      <c r="L24" s="2719"/>
      <c r="M24" s="2719"/>
      <c r="N24" s="2719"/>
      <c r="O24" s="2720"/>
      <c r="P24" s="2722" cm="1">
        <f t="array" ref="P24">SUMPRODUCT((Application!$B$728:$B$752 = 'CalHFA Addendum'!P$18)*(Application!$AH$728:$AH$752 = 'CalHFA Addendum'!$B24),Application!$G$728:$G$752)</f>
        <v>0</v>
      </c>
      <c r="Q24" s="2723"/>
      <c r="R24" s="2723"/>
      <c r="S24" s="2723"/>
      <c r="T24" s="2723"/>
      <c r="U24" s="2724"/>
      <c r="V24" s="2722" cm="1">
        <f t="array" ref="V24">SUMPRODUCT((Application!$B$728:$B$752 = 'CalHFA Addendum'!V$18)*(Application!$AH$728:$AH$752 = 'CalHFA Addendum'!$B24),Application!$G$728:$G$752)</f>
        <v>13</v>
      </c>
      <c r="W24" s="2723"/>
      <c r="X24" s="2723"/>
      <c r="Y24" s="2723"/>
      <c r="Z24" s="2723"/>
      <c r="AA24" s="2724"/>
      <c r="AB24" s="2722" cm="1">
        <f t="array" ref="AB24">SUMPRODUCT((Application!$B$728:$B$752 = 'CalHFA Addendum'!AB$18)*(Application!$AH$728:$AH$752 = 'CalHFA Addendum'!$B24),Application!$G$728:$G$752)</f>
        <v>18</v>
      </c>
      <c r="AC24" s="2723"/>
      <c r="AD24" s="2723"/>
      <c r="AE24" s="2723"/>
      <c r="AF24" s="2723"/>
      <c r="AG24" s="2724"/>
      <c r="AH24" s="2722" cm="1">
        <f t="array" ref="AH24">SUMPRODUCT((Application!$B$728:$B$752 = 'CalHFA Addendum'!AH$18)*(Application!$AH$728:$AH$752 = 'CalHFA Addendum'!$B24),Application!$G$728:$G$752)</f>
        <v>18</v>
      </c>
      <c r="AI24" s="2723"/>
      <c r="AJ24" s="2723"/>
      <c r="AK24" s="2723"/>
      <c r="AL24" s="2723"/>
      <c r="AM24" s="2724"/>
      <c r="AN24" s="2722" cm="1">
        <f t="array" ref="AN24">SUMPRODUCT((Application!$B$728:$B$752 = 'CalHFA Addendum'!AN$18)*(Application!$AH$728:$AH$752 = 'CalHFA Addendum'!$B24),Application!$G$728:$G$752)</f>
        <v>0</v>
      </c>
      <c r="AO24" s="2723"/>
      <c r="AP24" s="2723"/>
      <c r="AQ24" s="2723"/>
      <c r="AR24" s="2723"/>
      <c r="AS24" s="2724"/>
      <c r="AT24" s="2725">
        <f t="shared" si="0"/>
        <v>0.245</v>
      </c>
      <c r="AU24" s="2726"/>
      <c r="AV24" s="2726"/>
      <c r="AW24" s="2726"/>
      <c r="AX24" s="2726"/>
      <c r="AY24" s="2727"/>
      <c r="AZ24" s="1523"/>
      <c r="BA24" s="1523"/>
      <c r="BB24" s="1523"/>
      <c r="BC24" s="1523"/>
      <c r="BD24" s="1523"/>
      <c r="BE24" s="1529"/>
    </row>
    <row r="25" spans="1:58" ht="14.4">
      <c r="A25" s="1802"/>
      <c r="B25" s="2728">
        <v>0.8</v>
      </c>
      <c r="C25" s="2729"/>
      <c r="D25" s="2729"/>
      <c r="E25" s="2729"/>
      <c r="F25" s="2729"/>
      <c r="G25" s="2729"/>
      <c r="H25" s="2729"/>
      <c r="I25" s="2729"/>
      <c r="J25" s="2718">
        <f t="shared" si="1"/>
        <v>0</v>
      </c>
      <c r="K25" s="2719"/>
      <c r="L25" s="2719"/>
      <c r="M25" s="2719"/>
      <c r="N25" s="2719"/>
      <c r="O25" s="2720"/>
      <c r="P25" s="2722" cm="1">
        <f t="array" ref="P25">SUMPRODUCT((Application!$B$728:$B$752 = 'CalHFA Addendum'!P$18)*(Application!$AH$728:$AH$752 = 'CalHFA Addendum'!$B25),Application!$G$728:$G$752)</f>
        <v>0</v>
      </c>
      <c r="Q25" s="2723"/>
      <c r="R25" s="2723"/>
      <c r="S25" s="2723"/>
      <c r="T25" s="2723"/>
      <c r="U25" s="2724"/>
      <c r="V25" s="2722" cm="1">
        <f t="array" ref="V25">SUMPRODUCT((Application!$B$728:$B$752 = 'CalHFA Addendum'!V$18)*(Application!$AH$728:$AH$752 = 'CalHFA Addendum'!$B25),Application!$G$728:$G$752)</f>
        <v>0</v>
      </c>
      <c r="W25" s="2723"/>
      <c r="X25" s="2723"/>
      <c r="Y25" s="2723"/>
      <c r="Z25" s="2723"/>
      <c r="AA25" s="2724"/>
      <c r="AB25" s="2722" cm="1">
        <f t="array" ref="AB25">SUMPRODUCT((Application!$B$728:$B$752 = 'CalHFA Addendum'!AB$18)*(Application!$AH$728:$AH$752 = 'CalHFA Addendum'!$B25),Application!$G$728:$G$752)</f>
        <v>0</v>
      </c>
      <c r="AC25" s="2723"/>
      <c r="AD25" s="2723"/>
      <c r="AE25" s="2723"/>
      <c r="AF25" s="2723"/>
      <c r="AG25" s="2724"/>
      <c r="AH25" s="2722" cm="1">
        <f t="array" ref="AH25">SUMPRODUCT((Application!$B$728:$B$752 = 'CalHFA Addendum'!AH$18)*(Application!$AH$728:$AH$752 = 'CalHFA Addendum'!$B25),Application!$G$728:$G$752)</f>
        <v>0</v>
      </c>
      <c r="AI25" s="2723"/>
      <c r="AJ25" s="2723"/>
      <c r="AK25" s="2723"/>
      <c r="AL25" s="2723"/>
      <c r="AM25" s="2724"/>
      <c r="AN25" s="2722" cm="1">
        <f t="array" ref="AN25">SUMPRODUCT((Application!$B$728:$B$752 = 'CalHFA Addendum'!AN$18)*(Application!$AH$728:$AH$752 = 'CalHFA Addendum'!$B25),Application!$G$728:$G$752)</f>
        <v>0</v>
      </c>
      <c r="AO25" s="2723"/>
      <c r="AP25" s="2723"/>
      <c r="AQ25" s="2723"/>
      <c r="AR25" s="2723"/>
      <c r="AS25" s="2724"/>
      <c r="AT25" s="2725">
        <f t="shared" si="0"/>
        <v>0</v>
      </c>
      <c r="AU25" s="2726"/>
      <c r="AV25" s="2726"/>
      <c r="AW25" s="2726"/>
      <c r="AX25" s="2726"/>
      <c r="AY25" s="2727"/>
      <c r="AZ25" s="1523"/>
      <c r="BA25" s="1523"/>
      <c r="BB25" s="1523"/>
      <c r="BC25" s="1523"/>
      <c r="BD25" s="1523"/>
      <c r="BE25" s="1529"/>
    </row>
    <row r="26" spans="1:58" ht="14.4">
      <c r="A26" s="1802"/>
      <c r="B26" s="2728">
        <v>0.9</v>
      </c>
      <c r="C26" s="2729"/>
      <c r="D26" s="2729"/>
      <c r="E26" s="2729"/>
      <c r="F26" s="2729"/>
      <c r="G26" s="2729"/>
      <c r="H26" s="2729"/>
      <c r="I26" s="2729"/>
      <c r="J26" s="2718">
        <f t="shared" si="1"/>
        <v>0</v>
      </c>
      <c r="K26" s="2719"/>
      <c r="L26" s="2719"/>
      <c r="M26" s="2719"/>
      <c r="N26" s="2719"/>
      <c r="O26" s="2720"/>
      <c r="P26" s="2722" cm="1">
        <f t="array" ref="P26">SUMPRODUCT((Application!$B$728:$B$752 = 'CalHFA Addendum'!P$18)*(Application!$AH$728:$AH$752 = 'CalHFA Addendum'!$B26),Application!$G$728:$G$752)</f>
        <v>0</v>
      </c>
      <c r="Q26" s="2723"/>
      <c r="R26" s="2723"/>
      <c r="S26" s="2723"/>
      <c r="T26" s="2723"/>
      <c r="U26" s="2724"/>
      <c r="V26" s="2722" cm="1">
        <f t="array" ref="V26">SUMPRODUCT((Application!$B$728:$B$752 = 'CalHFA Addendum'!V$18)*(Application!$AH$728:$AH$752 = 'CalHFA Addendum'!$B26),Application!$G$728:$G$752)</f>
        <v>0</v>
      </c>
      <c r="W26" s="2723"/>
      <c r="X26" s="2723"/>
      <c r="Y26" s="2723"/>
      <c r="Z26" s="2723"/>
      <c r="AA26" s="2724"/>
      <c r="AB26" s="2722" cm="1">
        <f t="array" ref="AB26">SUMPRODUCT((Application!$B$728:$B$752 = 'CalHFA Addendum'!AB$18)*(Application!$AH$728:$AH$752 = 'CalHFA Addendum'!$B26),Application!$G$728:$G$752)</f>
        <v>0</v>
      </c>
      <c r="AC26" s="2723"/>
      <c r="AD26" s="2723"/>
      <c r="AE26" s="2723"/>
      <c r="AF26" s="2723"/>
      <c r="AG26" s="2724"/>
      <c r="AH26" s="2722" cm="1">
        <f t="array" ref="AH26">SUMPRODUCT((Application!$B$728:$B$752 = 'CalHFA Addendum'!AH$18)*(Application!$AH$728:$AH$752 = 'CalHFA Addendum'!$B26),Application!$G$728:$G$752)</f>
        <v>0</v>
      </c>
      <c r="AI26" s="2723"/>
      <c r="AJ26" s="2723"/>
      <c r="AK26" s="2723"/>
      <c r="AL26" s="2723"/>
      <c r="AM26" s="2724"/>
      <c r="AN26" s="2722" cm="1">
        <f t="array" ref="AN26">SUMPRODUCT((Application!$B$728:$B$752 = 'CalHFA Addendum'!AN$18)*(Application!$AH$728:$AH$752 = 'CalHFA Addendum'!$B26),Application!$G$728:$G$752)</f>
        <v>0</v>
      </c>
      <c r="AO26" s="2723"/>
      <c r="AP26" s="2723"/>
      <c r="AQ26" s="2723"/>
      <c r="AR26" s="2723"/>
      <c r="AS26" s="2724"/>
      <c r="AT26" s="2725">
        <f t="shared" si="0"/>
        <v>0</v>
      </c>
      <c r="AU26" s="2726"/>
      <c r="AV26" s="2726"/>
      <c r="AW26" s="2726"/>
      <c r="AX26" s="2726"/>
      <c r="AY26" s="2727"/>
      <c r="AZ26" s="1523"/>
      <c r="BA26" s="1523"/>
      <c r="BB26" s="1523"/>
      <c r="BC26" s="1523"/>
      <c r="BD26" s="1523"/>
      <c r="BE26" s="1529"/>
    </row>
    <row r="27" spans="1:58" ht="14.4">
      <c r="A27" s="1802"/>
      <c r="B27" s="2728">
        <v>1</v>
      </c>
      <c r="C27" s="2729"/>
      <c r="D27" s="2729"/>
      <c r="E27" s="2729"/>
      <c r="F27" s="2729"/>
      <c r="G27" s="2729"/>
      <c r="H27" s="2729"/>
      <c r="I27" s="2729"/>
      <c r="J27" s="2718">
        <f t="shared" si="1"/>
        <v>0</v>
      </c>
      <c r="K27" s="2719"/>
      <c r="L27" s="2719"/>
      <c r="M27" s="2719"/>
      <c r="N27" s="2719"/>
      <c r="O27" s="2720"/>
      <c r="P27" s="2722" cm="1">
        <f t="array" ref="P27">SUMPRODUCT((Application!$B$728:$B$752 = 'CalHFA Addendum'!P$18)*(Application!$AH$728:$AH$752 = 'CalHFA Addendum'!$B27),Application!$G$728:$G$752)</f>
        <v>0</v>
      </c>
      <c r="Q27" s="2723"/>
      <c r="R27" s="2723"/>
      <c r="S27" s="2723"/>
      <c r="T27" s="2723"/>
      <c r="U27" s="2724"/>
      <c r="V27" s="2722" cm="1">
        <f t="array" ref="V27">SUMPRODUCT((Application!$B$728:$B$752 = 'CalHFA Addendum'!V$18)*(Application!$AH$728:$AH$752 = 'CalHFA Addendum'!$B27),Application!$G$728:$G$752)</f>
        <v>0</v>
      </c>
      <c r="W27" s="2723"/>
      <c r="X27" s="2723"/>
      <c r="Y27" s="2723"/>
      <c r="Z27" s="2723"/>
      <c r="AA27" s="2724"/>
      <c r="AB27" s="2722" cm="1">
        <f t="array" ref="AB27">SUMPRODUCT((Application!$B$728:$B$752 = 'CalHFA Addendum'!AB$18)*(Application!$AH$728:$AH$752 = 'CalHFA Addendum'!$B27),Application!$G$728:$G$752)</f>
        <v>0</v>
      </c>
      <c r="AC27" s="2723"/>
      <c r="AD27" s="2723"/>
      <c r="AE27" s="2723"/>
      <c r="AF27" s="2723"/>
      <c r="AG27" s="2724"/>
      <c r="AH27" s="2722" cm="1">
        <f t="array" ref="AH27">SUMPRODUCT((Application!$B$728:$B$752 = 'CalHFA Addendum'!AH$18)*(Application!$AH$728:$AH$752 = 'CalHFA Addendum'!$B27),Application!$G$728:$G$752)</f>
        <v>0</v>
      </c>
      <c r="AI27" s="2723"/>
      <c r="AJ27" s="2723"/>
      <c r="AK27" s="2723"/>
      <c r="AL27" s="2723"/>
      <c r="AM27" s="2724"/>
      <c r="AN27" s="2722" cm="1">
        <f t="array" ref="AN27">SUMPRODUCT((Application!$B$728:$B$752 = 'CalHFA Addendum'!AN$18)*(Application!$AH$728:$AH$752 = 'CalHFA Addendum'!$B27),Application!$G$728:$G$752)</f>
        <v>0</v>
      </c>
      <c r="AO27" s="2723"/>
      <c r="AP27" s="2723"/>
      <c r="AQ27" s="2723"/>
      <c r="AR27" s="2723"/>
      <c r="AS27" s="2724"/>
      <c r="AT27" s="2725">
        <f t="shared" si="0"/>
        <v>0</v>
      </c>
      <c r="AU27" s="2726"/>
      <c r="AV27" s="2726"/>
      <c r="AW27" s="2726"/>
      <c r="AX27" s="2726"/>
      <c r="AY27" s="2727"/>
      <c r="AZ27" s="1523"/>
      <c r="BA27" s="1523"/>
      <c r="BB27" s="1523"/>
      <c r="BC27" s="1523"/>
      <c r="BD27" s="1523"/>
      <c r="BE27" s="1529"/>
      <c r="BF27" s="1684"/>
    </row>
    <row r="28" spans="1:58" ht="15" thickBot="1">
      <c r="A28" s="1802"/>
      <c r="B28" s="2740" t="s">
        <v>2049</v>
      </c>
      <c r="C28" s="2741"/>
      <c r="D28" s="2741"/>
      <c r="E28" s="2741"/>
      <c r="F28" s="2741"/>
      <c r="G28" s="2741"/>
      <c r="H28" s="2741"/>
      <c r="I28" s="2742"/>
      <c r="J28" s="2718">
        <f t="shared" ref="J28" si="2">SUM(P28:AS28)</f>
        <v>2</v>
      </c>
      <c r="K28" s="2719"/>
      <c r="L28" s="2719"/>
      <c r="M28" s="2719"/>
      <c r="N28" s="2719"/>
      <c r="O28" s="2720"/>
      <c r="P28" s="2730">
        <f>_xlfn.IFNA(VLOOKUP(P$18,Application!$J$772:$S$775,6,FALSE), 0)</f>
        <v>0</v>
      </c>
      <c r="Q28" s="2731"/>
      <c r="R28" s="2731"/>
      <c r="S28" s="2731"/>
      <c r="T28" s="2731"/>
      <c r="U28" s="2732"/>
      <c r="V28" s="2730">
        <f>_xlfn.IFNA(VLOOKUP(V$18,Application!$J$772:$S$775,6,FALSE), 0)</f>
        <v>0</v>
      </c>
      <c r="W28" s="2731"/>
      <c r="X28" s="2731"/>
      <c r="Y28" s="2731"/>
      <c r="Z28" s="2731"/>
      <c r="AA28" s="2732"/>
      <c r="AB28" s="2730">
        <f>_xlfn.IFNA(VLOOKUP(AB$18,Application!$J$772:$S$775,6,FALSE), 0)</f>
        <v>2</v>
      </c>
      <c r="AC28" s="2731"/>
      <c r="AD28" s="2731"/>
      <c r="AE28" s="2731"/>
      <c r="AF28" s="2731"/>
      <c r="AG28" s="2732"/>
      <c r="AH28" s="2730">
        <f>_xlfn.IFNA(VLOOKUP(AH$18,Application!$J$772:$S$775,6,FALSE), 0)</f>
        <v>0</v>
      </c>
      <c r="AI28" s="2731"/>
      <c r="AJ28" s="2731"/>
      <c r="AK28" s="2731"/>
      <c r="AL28" s="2731"/>
      <c r="AM28" s="2732"/>
      <c r="AN28" s="2730">
        <f>_xlfn.IFNA(VLOOKUP(AN$18,Application!$J$772:$S$775,6,FALSE), 0)</f>
        <v>0</v>
      </c>
      <c r="AO28" s="2731"/>
      <c r="AP28" s="2731"/>
      <c r="AQ28" s="2731"/>
      <c r="AR28" s="2731"/>
      <c r="AS28" s="2732"/>
      <c r="AT28" s="2725">
        <f t="shared" ref="AT28" si="3">J28/$J$29</f>
        <v>0.01</v>
      </c>
      <c r="AU28" s="2726"/>
      <c r="AV28" s="2726"/>
      <c r="AW28" s="2726"/>
      <c r="AX28" s="2726"/>
      <c r="AY28" s="2727"/>
      <c r="AZ28" s="1523"/>
      <c r="BA28" s="1523"/>
      <c r="BB28" s="1523"/>
      <c r="BC28" s="1523"/>
      <c r="BD28" s="1523"/>
      <c r="BE28" s="1529"/>
    </row>
    <row r="29" spans="1:58" ht="15" thickBot="1">
      <c r="A29" s="1802"/>
      <c r="B29" s="2733" t="s">
        <v>1879</v>
      </c>
      <c r="C29" s="2734"/>
      <c r="D29" s="2734"/>
      <c r="E29" s="2734"/>
      <c r="F29" s="2734"/>
      <c r="G29" s="2734"/>
      <c r="H29" s="2734"/>
      <c r="I29" s="2735"/>
      <c r="J29" s="2736">
        <f>SUM(J19:O28)</f>
        <v>200</v>
      </c>
      <c r="K29" s="2734"/>
      <c r="L29" s="2734"/>
      <c r="M29" s="2734"/>
      <c r="N29" s="2734"/>
      <c r="O29" s="2735"/>
      <c r="P29" s="2736">
        <f>SUM(P19:U28)</f>
        <v>0</v>
      </c>
      <c r="Q29" s="2734"/>
      <c r="R29" s="2734"/>
      <c r="S29" s="2734"/>
      <c r="T29" s="2734"/>
      <c r="U29" s="2735"/>
      <c r="V29" s="2736">
        <f>SUM(V19:AA28)</f>
        <v>47</v>
      </c>
      <c r="W29" s="2734"/>
      <c r="X29" s="2734"/>
      <c r="Y29" s="2734"/>
      <c r="Z29" s="2734"/>
      <c r="AA29" s="2735"/>
      <c r="AB29" s="2736">
        <f>SUM(AB19:AG28)</f>
        <v>95</v>
      </c>
      <c r="AC29" s="2734"/>
      <c r="AD29" s="2734"/>
      <c r="AE29" s="2734"/>
      <c r="AF29" s="2734"/>
      <c r="AG29" s="2735"/>
      <c r="AH29" s="2736">
        <f>SUM(AH19:AM28)</f>
        <v>58</v>
      </c>
      <c r="AI29" s="2734"/>
      <c r="AJ29" s="2734"/>
      <c r="AK29" s="2734"/>
      <c r="AL29" s="2734"/>
      <c r="AM29" s="2735"/>
      <c r="AN29" s="2736">
        <f>SUM(AN19:AS28)</f>
        <v>0</v>
      </c>
      <c r="AO29" s="2734"/>
      <c r="AP29" s="2734"/>
      <c r="AQ29" s="2734"/>
      <c r="AR29" s="2734"/>
      <c r="AS29" s="2735"/>
      <c r="AT29" s="2737">
        <f>J29/$J$29</f>
        <v>1</v>
      </c>
      <c r="AU29" s="2738"/>
      <c r="AV29" s="2738"/>
      <c r="AW29" s="2738"/>
      <c r="AX29" s="2738"/>
      <c r="AY29" s="2739"/>
      <c r="AZ29" s="1523"/>
      <c r="BA29" s="1523"/>
      <c r="BB29" s="1523"/>
      <c r="BC29" s="1523"/>
      <c r="BD29" s="1523"/>
      <c r="BE29" s="1529"/>
    </row>
    <row r="30" spans="1:58" ht="15" thickBot="1">
      <c r="A30" s="1801"/>
      <c r="B30" s="1523"/>
      <c r="C30" s="1523"/>
      <c r="D30" s="1523"/>
      <c r="E30" s="1523"/>
      <c r="F30" s="1523"/>
      <c r="G30" s="1523"/>
      <c r="H30" s="1523"/>
      <c r="I30" s="1523"/>
      <c r="J30" s="1523"/>
      <c r="K30" s="1523"/>
      <c r="L30" s="1523"/>
      <c r="M30" s="1523"/>
      <c r="N30" s="1523"/>
      <c r="O30" s="1523"/>
      <c r="P30" s="1523"/>
      <c r="Q30" s="1523"/>
      <c r="R30" s="1523"/>
      <c r="S30" s="1523"/>
      <c r="T30" s="1523"/>
      <c r="U30" s="1523"/>
      <c r="V30" s="1523"/>
      <c r="W30" s="1523"/>
      <c r="X30" s="1523"/>
      <c r="Y30" s="1523"/>
      <c r="Z30" s="1523"/>
      <c r="AA30" s="1523"/>
      <c r="AB30" s="1523"/>
      <c r="AC30" s="1523"/>
      <c r="AD30" s="1523"/>
      <c r="AE30" s="1523"/>
      <c r="AF30" s="1523"/>
      <c r="AG30" s="1523"/>
      <c r="AH30" s="1523"/>
      <c r="AI30" s="1523"/>
      <c r="AJ30" s="1523"/>
      <c r="AK30" s="1523"/>
      <c r="AL30" s="1523"/>
      <c r="AM30" s="1523"/>
      <c r="AN30" s="1523"/>
      <c r="AO30" s="1523"/>
      <c r="AP30" s="1523"/>
      <c r="AQ30" s="1523"/>
      <c r="AR30" s="1523"/>
      <c r="AS30" s="1523"/>
      <c r="AT30" s="1523"/>
      <c r="AU30" s="1523"/>
      <c r="AV30" s="1523"/>
      <c r="AW30" s="1523"/>
      <c r="AX30" s="1523"/>
      <c r="AY30" s="1523"/>
      <c r="AZ30" s="1523"/>
      <c r="BA30" s="1523"/>
      <c r="BB30" s="1523"/>
      <c r="BC30" s="1523"/>
      <c r="BD30" s="1523"/>
      <c r="BE30" s="1529"/>
    </row>
    <row r="31" spans="1:58" ht="15" thickBot="1">
      <c r="A31" s="1802"/>
      <c r="B31" s="2743" t="s">
        <v>2050</v>
      </c>
      <c r="C31" s="2744"/>
      <c r="D31" s="2744"/>
      <c r="E31" s="2744"/>
      <c r="F31" s="2744"/>
      <c r="G31" s="2744"/>
      <c r="H31" s="2744"/>
      <c r="I31" s="2744"/>
      <c r="J31" s="2744"/>
      <c r="K31" s="2744"/>
      <c r="L31" s="2744"/>
      <c r="M31" s="2744"/>
      <c r="N31" s="2744"/>
      <c r="O31" s="2744"/>
      <c r="P31" s="2744"/>
      <c r="Q31" s="2744"/>
      <c r="R31" s="2744"/>
      <c r="S31" s="2744"/>
      <c r="T31" s="2744"/>
      <c r="U31" s="2744"/>
      <c r="V31" s="2744"/>
      <c r="W31" s="2744"/>
      <c r="X31" s="2744"/>
      <c r="Y31" s="2744"/>
      <c r="Z31" s="2744"/>
      <c r="AA31" s="2744"/>
      <c r="AB31" s="2744"/>
      <c r="AC31" s="2744"/>
      <c r="AD31" s="2744"/>
      <c r="AE31" s="2744"/>
      <c r="AF31" s="2744"/>
      <c r="AG31" s="2744"/>
      <c r="AH31" s="2744"/>
      <c r="AI31" s="2744"/>
      <c r="AJ31" s="2744"/>
      <c r="AK31" s="2744"/>
      <c r="AL31" s="2744"/>
      <c r="AM31" s="2744"/>
      <c r="AN31" s="2744"/>
      <c r="AO31" s="2744"/>
      <c r="AP31" s="2744"/>
      <c r="AQ31" s="2744"/>
      <c r="AR31" s="2744"/>
      <c r="AS31" s="2744"/>
      <c r="AT31" s="2744"/>
      <c r="AU31" s="2744"/>
      <c r="AV31" s="2744"/>
      <c r="AW31" s="2744"/>
      <c r="AX31" s="2744"/>
      <c r="AY31" s="2744"/>
      <c r="AZ31" s="2745"/>
      <c r="BA31" s="1523"/>
      <c r="BB31" s="1523"/>
      <c r="BC31" s="1523"/>
      <c r="BD31" s="1523"/>
      <c r="BE31" s="1529"/>
    </row>
    <row r="32" spans="1:58" ht="15" thickBot="1">
      <c r="A32" s="1802"/>
      <c r="B32" s="2746" t="s">
        <v>2051</v>
      </c>
      <c r="C32" s="2747"/>
      <c r="D32" s="2747"/>
      <c r="E32" s="2747"/>
      <c r="F32" s="2747"/>
      <c r="G32" s="2747"/>
      <c r="H32" s="2747"/>
      <c r="I32" s="2748"/>
      <c r="J32" s="2750" t="s">
        <v>2052</v>
      </c>
      <c r="K32" s="2751"/>
      <c r="L32" s="2751"/>
      <c r="M32" s="2752"/>
      <c r="N32" s="2750" t="s">
        <v>2053</v>
      </c>
      <c r="O32" s="2751"/>
      <c r="P32" s="2751"/>
      <c r="Q32" s="2751"/>
      <c r="R32" s="2754" t="s">
        <v>2054</v>
      </c>
      <c r="S32" s="2755"/>
      <c r="T32" s="2755"/>
      <c r="U32" s="2755"/>
      <c r="V32" s="2755"/>
      <c r="W32" s="2755"/>
      <c r="X32" s="2755"/>
      <c r="Y32" s="2755"/>
      <c r="Z32" s="2755"/>
      <c r="AA32" s="2755"/>
      <c r="AB32" s="2755"/>
      <c r="AC32" s="2755"/>
      <c r="AD32" s="2755"/>
      <c r="AE32" s="2755"/>
      <c r="AF32" s="2755"/>
      <c r="AG32" s="2755"/>
      <c r="AH32" s="2755"/>
      <c r="AI32" s="2755"/>
      <c r="AJ32" s="2755"/>
      <c r="AK32" s="2755"/>
      <c r="AL32" s="2755"/>
      <c r="AM32" s="2755"/>
      <c r="AN32" s="2755"/>
      <c r="AO32" s="2755"/>
      <c r="AP32" s="2755"/>
      <c r="AQ32" s="2755"/>
      <c r="AR32" s="2755"/>
      <c r="AS32" s="2755"/>
      <c r="AT32" s="2755"/>
      <c r="AU32" s="2755"/>
      <c r="AV32" s="2755"/>
      <c r="AW32" s="2755"/>
      <c r="AX32" s="2755"/>
      <c r="AY32" s="2755"/>
      <c r="AZ32" s="2756"/>
      <c r="BA32" s="1523"/>
      <c r="BB32" s="1523"/>
      <c r="BC32" s="1523"/>
      <c r="BD32" s="1523"/>
      <c r="BE32" s="1529"/>
    </row>
    <row r="33" spans="1:58" ht="15" customHeight="1">
      <c r="A33" s="1802"/>
      <c r="B33" s="2749"/>
      <c r="C33" s="2747"/>
      <c r="D33" s="2747"/>
      <c r="E33" s="2747"/>
      <c r="F33" s="2747"/>
      <c r="G33" s="2747"/>
      <c r="H33" s="2747"/>
      <c r="I33" s="2748"/>
      <c r="J33" s="2753"/>
      <c r="K33" s="2751"/>
      <c r="L33" s="2751"/>
      <c r="M33" s="2752"/>
      <c r="N33" s="2753"/>
      <c r="O33" s="2751"/>
      <c r="P33" s="2751"/>
      <c r="Q33" s="2751"/>
      <c r="R33" s="2757" t="s">
        <v>2055</v>
      </c>
      <c r="S33" s="2758"/>
      <c r="T33" s="2758"/>
      <c r="U33" s="2758"/>
      <c r="V33" s="2758"/>
      <c r="W33" s="2758"/>
      <c r="X33" s="2758"/>
      <c r="Y33" s="2758"/>
      <c r="Z33" s="2758"/>
      <c r="AA33" s="2758"/>
      <c r="AB33" s="2758"/>
      <c r="AC33" s="2758"/>
      <c r="AD33" s="2758"/>
      <c r="AE33" s="2758"/>
      <c r="AF33" s="2758"/>
      <c r="AG33" s="2758"/>
      <c r="AH33" s="2758"/>
      <c r="AI33" s="2758"/>
      <c r="AJ33" s="2758"/>
      <c r="AK33" s="2758"/>
      <c r="AL33" s="2758"/>
      <c r="AM33" s="2758"/>
      <c r="AN33" s="2758"/>
      <c r="AO33" s="2758"/>
      <c r="AP33" s="2758"/>
      <c r="AQ33" s="2758"/>
      <c r="AR33" s="2758"/>
      <c r="AS33" s="2758"/>
      <c r="AT33" s="2758"/>
      <c r="AU33" s="2758"/>
      <c r="AV33" s="2758"/>
      <c r="AW33" s="2758"/>
      <c r="AX33" s="2758"/>
      <c r="AY33" s="2758"/>
      <c r="AZ33" s="2759"/>
      <c r="BA33" s="1530"/>
      <c r="BB33" s="1523"/>
      <c r="BC33" s="1523"/>
      <c r="BD33" s="1523"/>
      <c r="BE33" s="1529"/>
    </row>
    <row r="34" spans="1:58" ht="15.75" customHeight="1" thickBot="1">
      <c r="A34" s="1802"/>
      <c r="B34" s="2749"/>
      <c r="C34" s="2747"/>
      <c r="D34" s="2747"/>
      <c r="E34" s="2747"/>
      <c r="F34" s="2747"/>
      <c r="G34" s="2747"/>
      <c r="H34" s="2747"/>
      <c r="I34" s="2748"/>
      <c r="J34" s="2753"/>
      <c r="K34" s="2751"/>
      <c r="L34" s="2751"/>
      <c r="M34" s="2752"/>
      <c r="N34" s="2753"/>
      <c r="O34" s="2751"/>
      <c r="P34" s="2751"/>
      <c r="Q34" s="2751"/>
      <c r="R34" s="2760"/>
      <c r="S34" s="2761"/>
      <c r="T34" s="2761"/>
      <c r="U34" s="2761"/>
      <c r="V34" s="2761"/>
      <c r="W34" s="2761"/>
      <c r="X34" s="2761"/>
      <c r="Y34" s="2761"/>
      <c r="Z34" s="2761"/>
      <c r="AA34" s="2761"/>
      <c r="AB34" s="2761"/>
      <c r="AC34" s="2761"/>
      <c r="AD34" s="2761"/>
      <c r="AE34" s="2761"/>
      <c r="AF34" s="2761"/>
      <c r="AG34" s="2761"/>
      <c r="AH34" s="2761"/>
      <c r="AI34" s="2761"/>
      <c r="AJ34" s="2761"/>
      <c r="AK34" s="2761"/>
      <c r="AL34" s="2761"/>
      <c r="AM34" s="2761"/>
      <c r="AN34" s="2761"/>
      <c r="AO34" s="2761"/>
      <c r="AP34" s="2761"/>
      <c r="AQ34" s="2761"/>
      <c r="AR34" s="2761"/>
      <c r="AS34" s="2761"/>
      <c r="AT34" s="2761"/>
      <c r="AU34" s="2761"/>
      <c r="AV34" s="2761"/>
      <c r="AW34" s="2761"/>
      <c r="AX34" s="2761"/>
      <c r="AY34" s="2761"/>
      <c r="AZ34" s="2762"/>
      <c r="BA34" s="1530"/>
      <c r="BB34" s="1523"/>
      <c r="BC34" s="1523"/>
      <c r="BD34" s="1523"/>
      <c r="BE34" s="1529"/>
    </row>
    <row r="35" spans="1:58" ht="15.75" customHeight="1" thickBot="1">
      <c r="A35" s="1802"/>
      <c r="B35" s="2749"/>
      <c r="C35" s="2747"/>
      <c r="D35" s="2747"/>
      <c r="E35" s="2747"/>
      <c r="F35" s="2747"/>
      <c r="G35" s="2747"/>
      <c r="H35" s="2747"/>
      <c r="I35" s="2748"/>
      <c r="J35" s="2753"/>
      <c r="K35" s="2751"/>
      <c r="L35" s="2751"/>
      <c r="M35" s="2752"/>
      <c r="N35" s="2753"/>
      <c r="O35" s="2751"/>
      <c r="P35" s="2751"/>
      <c r="Q35" s="2751"/>
      <c r="R35" s="2763">
        <v>0.5</v>
      </c>
      <c r="S35" s="2764"/>
      <c r="T35" s="2764"/>
      <c r="U35" s="2765"/>
      <c r="V35" s="2763">
        <v>0.6</v>
      </c>
      <c r="W35" s="2764"/>
      <c r="X35" s="2764"/>
      <c r="Y35" s="2765"/>
      <c r="Z35" s="2763">
        <v>0.7</v>
      </c>
      <c r="AA35" s="2764"/>
      <c r="AB35" s="2764"/>
      <c r="AC35" s="2765"/>
      <c r="AD35" s="2763">
        <v>0.8</v>
      </c>
      <c r="AE35" s="2764"/>
      <c r="AF35" s="2764"/>
      <c r="AG35" s="2765"/>
      <c r="AH35" s="2763">
        <v>1</v>
      </c>
      <c r="AI35" s="2764"/>
      <c r="AJ35" s="2764"/>
      <c r="AK35" s="2765"/>
      <c r="AL35" s="2763">
        <v>1.2</v>
      </c>
      <c r="AM35" s="2764"/>
      <c r="AN35" s="2765"/>
      <c r="AO35" s="2775" t="s">
        <v>2056</v>
      </c>
      <c r="AP35" s="2776"/>
      <c r="AQ35" s="2776"/>
      <c r="AR35" s="2776"/>
      <c r="AS35" s="2776"/>
      <c r="AT35" s="2777"/>
      <c r="AU35" s="2775" t="s">
        <v>2057</v>
      </c>
      <c r="AV35" s="2776"/>
      <c r="AW35" s="2776"/>
      <c r="AX35" s="2776"/>
      <c r="AY35" s="2776"/>
      <c r="AZ35" s="2777"/>
      <c r="BA35" s="1530"/>
      <c r="BB35" s="1523"/>
      <c r="BC35" s="1523"/>
      <c r="BD35" s="1523"/>
      <c r="BE35" s="1529"/>
      <c r="BF35" s="1521"/>
    </row>
    <row r="36" spans="1:58" ht="15.75" customHeight="1">
      <c r="A36" s="1802"/>
      <c r="B36" s="2778" t="s">
        <v>2058</v>
      </c>
      <c r="C36" s="2779"/>
      <c r="D36" s="2779"/>
      <c r="E36" s="2779"/>
      <c r="F36" s="2779"/>
      <c r="G36" s="2779"/>
      <c r="H36" s="2779"/>
      <c r="I36" s="2780"/>
      <c r="J36" s="2781"/>
      <c r="K36" s="2782"/>
      <c r="L36" s="2782"/>
      <c r="M36" s="2783"/>
      <c r="N36" s="2784"/>
      <c r="O36" s="2785"/>
      <c r="P36" s="2785"/>
      <c r="Q36" s="2786"/>
      <c r="R36" s="2787"/>
      <c r="S36" s="2787"/>
      <c r="T36" s="2787"/>
      <c r="U36" s="2787"/>
      <c r="V36" s="2787"/>
      <c r="W36" s="2787"/>
      <c r="X36" s="2787"/>
      <c r="Y36" s="2787"/>
      <c r="Z36" s="2787"/>
      <c r="AA36" s="2787"/>
      <c r="AB36" s="2787"/>
      <c r="AC36" s="2787"/>
      <c r="AD36" s="2787"/>
      <c r="AE36" s="2787"/>
      <c r="AF36" s="2787"/>
      <c r="AG36" s="2787"/>
      <c r="AH36" s="2790"/>
      <c r="AI36" s="2790"/>
      <c r="AJ36" s="2790"/>
      <c r="AK36" s="2790"/>
      <c r="AL36" s="2790"/>
      <c r="AM36" s="2790"/>
      <c r="AN36" s="2790"/>
      <c r="AO36" s="2788">
        <f>SUM(R36:AN36)</f>
        <v>0</v>
      </c>
      <c r="AP36" s="2788"/>
      <c r="AQ36" s="2788"/>
      <c r="AR36" s="2788"/>
      <c r="AS36" s="2788"/>
      <c r="AT36" s="2788"/>
      <c r="AU36" s="2789">
        <f>AO36/$J$29</f>
        <v>0</v>
      </c>
      <c r="AV36" s="2789"/>
      <c r="AW36" s="2789"/>
      <c r="AX36" s="2789"/>
      <c r="AY36" s="2789"/>
      <c r="AZ36" s="2789"/>
      <c r="BA36" s="1523"/>
      <c r="BB36" s="1523"/>
      <c r="BC36" s="1523"/>
      <c r="BD36" s="1523"/>
      <c r="BE36" s="1529"/>
      <c r="BF36" s="1521"/>
    </row>
    <row r="37" spans="1:58" ht="15.75" customHeight="1">
      <c r="A37" s="1802"/>
      <c r="B37" s="2766" t="s">
        <v>2059</v>
      </c>
      <c r="C37" s="2767"/>
      <c r="D37" s="2767"/>
      <c r="E37" s="2767"/>
      <c r="F37" s="2767"/>
      <c r="G37" s="2767"/>
      <c r="H37" s="2767"/>
      <c r="I37" s="2768"/>
      <c r="J37" s="2769"/>
      <c r="K37" s="2770"/>
      <c r="L37" s="2770"/>
      <c r="M37" s="2771"/>
      <c r="N37" s="2772"/>
      <c r="O37" s="2770"/>
      <c r="P37" s="2770"/>
      <c r="Q37" s="2773"/>
      <c r="R37" s="2774"/>
      <c r="S37" s="2774"/>
      <c r="T37" s="2774"/>
      <c r="U37" s="2774"/>
      <c r="V37" s="2774"/>
      <c r="W37" s="2774"/>
      <c r="X37" s="2774"/>
      <c r="Y37" s="2774"/>
      <c r="Z37" s="2774"/>
      <c r="AA37" s="2774"/>
      <c r="AB37" s="2774"/>
      <c r="AC37" s="2774"/>
      <c r="AD37" s="2774"/>
      <c r="AE37" s="2774"/>
      <c r="AF37" s="2774"/>
      <c r="AG37" s="2774"/>
      <c r="AH37" s="2774"/>
      <c r="AI37" s="2774"/>
      <c r="AJ37" s="2774"/>
      <c r="AK37" s="2774"/>
      <c r="AL37" s="2774"/>
      <c r="AM37" s="2774"/>
      <c r="AN37" s="2774"/>
      <c r="AO37" s="2788">
        <f t="shared" ref="AO37:AO47" si="4">SUM(R37:AN37)</f>
        <v>0</v>
      </c>
      <c r="AP37" s="2788"/>
      <c r="AQ37" s="2788"/>
      <c r="AR37" s="2788"/>
      <c r="AS37" s="2788"/>
      <c r="AT37" s="2788"/>
      <c r="AU37" s="2789">
        <f t="shared" ref="AU37:AU47" si="5">AO37/$J$29</f>
        <v>0</v>
      </c>
      <c r="AV37" s="2789"/>
      <c r="AW37" s="2789"/>
      <c r="AX37" s="2789"/>
      <c r="AY37" s="2789"/>
      <c r="AZ37" s="2789"/>
      <c r="BA37" s="1523"/>
      <c r="BB37" s="1523"/>
      <c r="BC37" s="1523"/>
      <c r="BD37" s="1523"/>
      <c r="BE37" s="1529"/>
      <c r="BF37" s="1521"/>
    </row>
    <row r="38" spans="1:58" ht="15.75" customHeight="1">
      <c r="A38" s="1802"/>
      <c r="B38" s="2766" t="s">
        <v>2060</v>
      </c>
      <c r="C38" s="2767"/>
      <c r="D38" s="2767"/>
      <c r="E38" s="2767"/>
      <c r="F38" s="2767"/>
      <c r="G38" s="2767"/>
      <c r="H38" s="2767"/>
      <c r="I38" s="2768"/>
      <c r="J38" s="2769"/>
      <c r="K38" s="2770"/>
      <c r="L38" s="2770"/>
      <c r="M38" s="2771"/>
      <c r="N38" s="2772"/>
      <c r="O38" s="2770"/>
      <c r="P38" s="2770"/>
      <c r="Q38" s="2773"/>
      <c r="R38" s="2774"/>
      <c r="S38" s="2774"/>
      <c r="T38" s="2774"/>
      <c r="U38" s="2774"/>
      <c r="V38" s="2774"/>
      <c r="W38" s="2774"/>
      <c r="X38" s="2774"/>
      <c r="Y38" s="2774"/>
      <c r="Z38" s="2774"/>
      <c r="AA38" s="2774"/>
      <c r="AB38" s="2774"/>
      <c r="AC38" s="2774"/>
      <c r="AD38" s="2774"/>
      <c r="AE38" s="2774"/>
      <c r="AF38" s="2774"/>
      <c r="AG38" s="2774"/>
      <c r="AH38" s="2774"/>
      <c r="AI38" s="2774"/>
      <c r="AJ38" s="2774"/>
      <c r="AK38" s="2774"/>
      <c r="AL38" s="2774"/>
      <c r="AM38" s="2774"/>
      <c r="AN38" s="2774"/>
      <c r="AO38" s="2788">
        <f t="shared" si="4"/>
        <v>0</v>
      </c>
      <c r="AP38" s="2788"/>
      <c r="AQ38" s="2788"/>
      <c r="AR38" s="2788"/>
      <c r="AS38" s="2788"/>
      <c r="AT38" s="2788"/>
      <c r="AU38" s="2789">
        <f t="shared" si="5"/>
        <v>0</v>
      </c>
      <c r="AV38" s="2789"/>
      <c r="AW38" s="2789"/>
      <c r="AX38" s="2789"/>
      <c r="AY38" s="2789"/>
      <c r="AZ38" s="2789"/>
      <c r="BA38" s="1523"/>
      <c r="BB38" s="1523"/>
      <c r="BC38" s="1523"/>
      <c r="BD38" s="1523"/>
      <c r="BE38" s="1529"/>
      <c r="BF38" s="1521"/>
    </row>
    <row r="39" spans="1:58" ht="15.75" customHeight="1">
      <c r="A39" s="1802"/>
      <c r="B39" s="2766" t="s">
        <v>2061</v>
      </c>
      <c r="C39" s="2767"/>
      <c r="D39" s="2767"/>
      <c r="E39" s="2767"/>
      <c r="F39" s="2767"/>
      <c r="G39" s="2767"/>
      <c r="H39" s="2767"/>
      <c r="I39" s="2768"/>
      <c r="J39" s="2791"/>
      <c r="K39" s="2792"/>
      <c r="L39" s="2792"/>
      <c r="M39" s="2793"/>
      <c r="N39" s="2794"/>
      <c r="O39" s="2792"/>
      <c r="P39" s="2792"/>
      <c r="Q39" s="2795"/>
      <c r="R39" s="2774"/>
      <c r="S39" s="2774"/>
      <c r="T39" s="2774"/>
      <c r="U39" s="2774"/>
      <c r="V39" s="2774"/>
      <c r="W39" s="2774"/>
      <c r="X39" s="2774"/>
      <c r="Y39" s="2774"/>
      <c r="Z39" s="2774"/>
      <c r="AA39" s="2774"/>
      <c r="AB39" s="2774"/>
      <c r="AC39" s="2774"/>
      <c r="AD39" s="2774"/>
      <c r="AE39" s="2774"/>
      <c r="AF39" s="2774"/>
      <c r="AG39" s="2774"/>
      <c r="AH39" s="2774"/>
      <c r="AI39" s="2774"/>
      <c r="AJ39" s="2774"/>
      <c r="AK39" s="2774"/>
      <c r="AL39" s="2774"/>
      <c r="AM39" s="2774"/>
      <c r="AN39" s="2774"/>
      <c r="AO39" s="2788">
        <f t="shared" si="4"/>
        <v>0</v>
      </c>
      <c r="AP39" s="2788"/>
      <c r="AQ39" s="2788"/>
      <c r="AR39" s="2788"/>
      <c r="AS39" s="2788"/>
      <c r="AT39" s="2788"/>
      <c r="AU39" s="2789">
        <f t="shared" si="5"/>
        <v>0</v>
      </c>
      <c r="AV39" s="2789"/>
      <c r="AW39" s="2789"/>
      <c r="AX39" s="2789"/>
      <c r="AY39" s="2789"/>
      <c r="AZ39" s="2789"/>
      <c r="BA39" s="1523"/>
      <c r="BB39" s="1523"/>
      <c r="BC39" s="1523"/>
      <c r="BD39" s="1523"/>
      <c r="BE39" s="1529"/>
    </row>
    <row r="40" spans="1:58" ht="15.75" customHeight="1">
      <c r="A40" s="1802"/>
      <c r="B40" s="2766" t="s">
        <v>2061</v>
      </c>
      <c r="C40" s="2767"/>
      <c r="D40" s="2767"/>
      <c r="E40" s="2767"/>
      <c r="F40" s="2767"/>
      <c r="G40" s="2767"/>
      <c r="H40" s="2767"/>
      <c r="I40" s="2768"/>
      <c r="J40" s="2791"/>
      <c r="K40" s="2792"/>
      <c r="L40" s="2792"/>
      <c r="M40" s="2793"/>
      <c r="N40" s="2794"/>
      <c r="O40" s="2792"/>
      <c r="P40" s="2792"/>
      <c r="Q40" s="2795"/>
      <c r="R40" s="2774"/>
      <c r="S40" s="2774"/>
      <c r="T40" s="2774"/>
      <c r="U40" s="2774"/>
      <c r="V40" s="2774"/>
      <c r="W40" s="2774"/>
      <c r="X40" s="2774"/>
      <c r="Y40" s="2774"/>
      <c r="Z40" s="2774"/>
      <c r="AA40" s="2774"/>
      <c r="AB40" s="2774"/>
      <c r="AC40" s="2774"/>
      <c r="AD40" s="2774"/>
      <c r="AE40" s="2774"/>
      <c r="AF40" s="2774"/>
      <c r="AG40" s="2774"/>
      <c r="AH40" s="2774"/>
      <c r="AI40" s="2774"/>
      <c r="AJ40" s="2774"/>
      <c r="AK40" s="2774"/>
      <c r="AL40" s="2774"/>
      <c r="AM40" s="2774"/>
      <c r="AN40" s="2774"/>
      <c r="AO40" s="2788">
        <f t="shared" si="4"/>
        <v>0</v>
      </c>
      <c r="AP40" s="2788"/>
      <c r="AQ40" s="2788"/>
      <c r="AR40" s="2788"/>
      <c r="AS40" s="2788"/>
      <c r="AT40" s="2788"/>
      <c r="AU40" s="2789">
        <f t="shared" si="5"/>
        <v>0</v>
      </c>
      <c r="AV40" s="2789"/>
      <c r="AW40" s="2789"/>
      <c r="AX40" s="2789"/>
      <c r="AY40" s="2789"/>
      <c r="AZ40" s="2789"/>
      <c r="BA40" s="1523"/>
      <c r="BB40" s="1523"/>
      <c r="BC40" s="1523"/>
      <c r="BD40" s="1523"/>
      <c r="BE40" s="1529"/>
    </row>
    <row r="41" spans="1:58" ht="15.75" customHeight="1">
      <c r="A41" s="1802"/>
      <c r="B41" s="2796" t="s">
        <v>2062</v>
      </c>
      <c r="C41" s="2797"/>
      <c r="D41" s="2797"/>
      <c r="E41" s="2797"/>
      <c r="F41" s="2797"/>
      <c r="G41" s="2797"/>
      <c r="H41" s="2797"/>
      <c r="I41" s="2798"/>
      <c r="J41" s="2791"/>
      <c r="K41" s="2792"/>
      <c r="L41" s="2792"/>
      <c r="M41" s="2793"/>
      <c r="N41" s="2794"/>
      <c r="O41" s="2792"/>
      <c r="P41" s="2792"/>
      <c r="Q41" s="2795"/>
      <c r="R41" s="2774"/>
      <c r="S41" s="2774"/>
      <c r="T41" s="2774"/>
      <c r="U41" s="2774"/>
      <c r="V41" s="2774"/>
      <c r="W41" s="2774"/>
      <c r="X41" s="2774"/>
      <c r="Y41" s="2774"/>
      <c r="Z41" s="2774"/>
      <c r="AA41" s="2774"/>
      <c r="AB41" s="2774"/>
      <c r="AC41" s="2774"/>
      <c r="AD41" s="2774"/>
      <c r="AE41" s="2774"/>
      <c r="AF41" s="2774"/>
      <c r="AG41" s="2774"/>
      <c r="AH41" s="2774"/>
      <c r="AI41" s="2774"/>
      <c r="AJ41" s="2774"/>
      <c r="AK41" s="2774"/>
      <c r="AL41" s="2774"/>
      <c r="AM41" s="2774"/>
      <c r="AN41" s="2774"/>
      <c r="AO41" s="2788">
        <f t="shared" si="4"/>
        <v>0</v>
      </c>
      <c r="AP41" s="2788"/>
      <c r="AQ41" s="2788"/>
      <c r="AR41" s="2788"/>
      <c r="AS41" s="2788"/>
      <c r="AT41" s="2788"/>
      <c r="AU41" s="2789">
        <f t="shared" si="5"/>
        <v>0</v>
      </c>
      <c r="AV41" s="2789"/>
      <c r="AW41" s="2789"/>
      <c r="AX41" s="2789"/>
      <c r="AY41" s="2789"/>
      <c r="AZ41" s="2789"/>
      <c r="BA41" s="1523"/>
      <c r="BB41" s="1523"/>
      <c r="BC41" s="1523"/>
      <c r="BD41" s="1523"/>
      <c r="BE41" s="1529"/>
    </row>
    <row r="42" spans="1:58" ht="15.75" customHeight="1">
      <c r="A42" s="1802"/>
      <c r="B42" s="2796" t="s">
        <v>2062</v>
      </c>
      <c r="C42" s="2797"/>
      <c r="D42" s="2797"/>
      <c r="E42" s="2797"/>
      <c r="F42" s="2797"/>
      <c r="G42" s="2797"/>
      <c r="H42" s="2797"/>
      <c r="I42" s="2798"/>
      <c r="J42" s="2791"/>
      <c r="K42" s="2792"/>
      <c r="L42" s="2792"/>
      <c r="M42" s="2793"/>
      <c r="N42" s="2794"/>
      <c r="O42" s="2792"/>
      <c r="P42" s="2792"/>
      <c r="Q42" s="2795"/>
      <c r="R42" s="2774"/>
      <c r="S42" s="2774"/>
      <c r="T42" s="2774"/>
      <c r="U42" s="2774"/>
      <c r="V42" s="2774"/>
      <c r="W42" s="2774"/>
      <c r="X42" s="2774"/>
      <c r="Y42" s="2774"/>
      <c r="Z42" s="2774"/>
      <c r="AA42" s="2774"/>
      <c r="AB42" s="2774"/>
      <c r="AC42" s="2774"/>
      <c r="AD42" s="2774"/>
      <c r="AE42" s="2774"/>
      <c r="AF42" s="2774"/>
      <c r="AG42" s="2774"/>
      <c r="AH42" s="2774"/>
      <c r="AI42" s="2774"/>
      <c r="AJ42" s="2774"/>
      <c r="AK42" s="2774"/>
      <c r="AL42" s="2774"/>
      <c r="AM42" s="2774"/>
      <c r="AN42" s="2774"/>
      <c r="AO42" s="2788">
        <f t="shared" si="4"/>
        <v>0</v>
      </c>
      <c r="AP42" s="2788"/>
      <c r="AQ42" s="2788"/>
      <c r="AR42" s="2788"/>
      <c r="AS42" s="2788"/>
      <c r="AT42" s="2788"/>
      <c r="AU42" s="2789">
        <f t="shared" si="5"/>
        <v>0</v>
      </c>
      <c r="AV42" s="2789"/>
      <c r="AW42" s="2789"/>
      <c r="AX42" s="2789"/>
      <c r="AY42" s="2789"/>
      <c r="AZ42" s="2789"/>
      <c r="BA42" s="1523"/>
      <c r="BB42" s="1523"/>
      <c r="BC42" s="1523"/>
      <c r="BD42" s="1523"/>
      <c r="BE42" s="1529"/>
    </row>
    <row r="43" spans="1:58" ht="15.75" customHeight="1">
      <c r="A43" s="1802"/>
      <c r="B43" s="2799" t="s">
        <v>2063</v>
      </c>
      <c r="C43" s="2800"/>
      <c r="D43" s="2800"/>
      <c r="E43" s="2800"/>
      <c r="F43" s="2800"/>
      <c r="G43" s="2800"/>
      <c r="H43" s="2800"/>
      <c r="I43" s="2801"/>
      <c r="J43" s="2791"/>
      <c r="K43" s="2792"/>
      <c r="L43" s="2792"/>
      <c r="M43" s="2793"/>
      <c r="N43" s="2794"/>
      <c r="O43" s="2792"/>
      <c r="P43" s="2792"/>
      <c r="Q43" s="2795"/>
      <c r="R43" s="2774"/>
      <c r="S43" s="2774"/>
      <c r="T43" s="2774"/>
      <c r="U43" s="2774"/>
      <c r="V43" s="2774"/>
      <c r="W43" s="2774"/>
      <c r="X43" s="2774"/>
      <c r="Y43" s="2774"/>
      <c r="Z43" s="2774"/>
      <c r="AA43" s="2774"/>
      <c r="AB43" s="2774"/>
      <c r="AC43" s="2774"/>
      <c r="AD43" s="2774"/>
      <c r="AE43" s="2774"/>
      <c r="AF43" s="2774"/>
      <c r="AG43" s="2774"/>
      <c r="AH43" s="2774"/>
      <c r="AI43" s="2774"/>
      <c r="AJ43" s="2774"/>
      <c r="AK43" s="2774"/>
      <c r="AL43" s="2774"/>
      <c r="AM43" s="2774"/>
      <c r="AN43" s="2774"/>
      <c r="AO43" s="2788">
        <f t="shared" si="4"/>
        <v>0</v>
      </c>
      <c r="AP43" s="2788"/>
      <c r="AQ43" s="2788"/>
      <c r="AR43" s="2788"/>
      <c r="AS43" s="2788"/>
      <c r="AT43" s="2788"/>
      <c r="AU43" s="2789">
        <f t="shared" si="5"/>
        <v>0</v>
      </c>
      <c r="AV43" s="2789"/>
      <c r="AW43" s="2789"/>
      <c r="AX43" s="2789"/>
      <c r="AY43" s="2789"/>
      <c r="AZ43" s="2789"/>
      <c r="BA43" s="1523"/>
      <c r="BB43" s="1523"/>
      <c r="BC43" s="1523"/>
      <c r="BD43" s="1523"/>
      <c r="BE43" s="1529"/>
    </row>
    <row r="44" spans="1:58" ht="15.75" customHeight="1">
      <c r="A44" s="1802"/>
      <c r="B44" s="2799" t="s">
        <v>2064</v>
      </c>
      <c r="C44" s="2800"/>
      <c r="D44" s="2800"/>
      <c r="E44" s="2800"/>
      <c r="F44" s="2800"/>
      <c r="G44" s="2800"/>
      <c r="H44" s="2800"/>
      <c r="I44" s="2801"/>
      <c r="J44" s="2791"/>
      <c r="K44" s="2792"/>
      <c r="L44" s="2792"/>
      <c r="M44" s="2793"/>
      <c r="N44" s="2794"/>
      <c r="O44" s="2792"/>
      <c r="P44" s="2792"/>
      <c r="Q44" s="2795"/>
      <c r="R44" s="2774"/>
      <c r="S44" s="2774"/>
      <c r="T44" s="2774"/>
      <c r="U44" s="2774"/>
      <c r="V44" s="2774"/>
      <c r="W44" s="2774"/>
      <c r="X44" s="2774"/>
      <c r="Y44" s="2774"/>
      <c r="Z44" s="2774"/>
      <c r="AA44" s="2774"/>
      <c r="AB44" s="2774"/>
      <c r="AC44" s="2774"/>
      <c r="AD44" s="2774"/>
      <c r="AE44" s="2774"/>
      <c r="AF44" s="2774"/>
      <c r="AG44" s="2774"/>
      <c r="AH44" s="2774"/>
      <c r="AI44" s="2774"/>
      <c r="AJ44" s="2774"/>
      <c r="AK44" s="2774"/>
      <c r="AL44" s="2774"/>
      <c r="AM44" s="2774"/>
      <c r="AN44" s="2774"/>
      <c r="AO44" s="2788">
        <f t="shared" si="4"/>
        <v>0</v>
      </c>
      <c r="AP44" s="2788"/>
      <c r="AQ44" s="2788"/>
      <c r="AR44" s="2788"/>
      <c r="AS44" s="2788"/>
      <c r="AT44" s="2788"/>
      <c r="AU44" s="2789">
        <f t="shared" si="5"/>
        <v>0</v>
      </c>
      <c r="AV44" s="2789"/>
      <c r="AW44" s="2789"/>
      <c r="AX44" s="2789"/>
      <c r="AY44" s="2789"/>
      <c r="AZ44" s="2789"/>
      <c r="BA44" s="1523"/>
      <c r="BB44" s="1523"/>
      <c r="BC44" s="1523"/>
      <c r="BD44" s="1523"/>
      <c r="BE44" s="1529"/>
    </row>
    <row r="45" spans="1:58" ht="15.75" customHeight="1">
      <c r="A45" s="1802"/>
      <c r="B45" s="2802" t="s">
        <v>2065</v>
      </c>
      <c r="C45" s="2803"/>
      <c r="D45" s="2803"/>
      <c r="E45" s="2803"/>
      <c r="F45" s="2803"/>
      <c r="G45" s="2803"/>
      <c r="H45" s="2803"/>
      <c r="I45" s="2804"/>
      <c r="J45" s="2791"/>
      <c r="K45" s="2792"/>
      <c r="L45" s="2792"/>
      <c r="M45" s="2793"/>
      <c r="N45" s="2794"/>
      <c r="O45" s="2792"/>
      <c r="P45" s="2792"/>
      <c r="Q45" s="2795"/>
      <c r="R45" s="2774"/>
      <c r="S45" s="2774"/>
      <c r="T45" s="2774"/>
      <c r="U45" s="2774"/>
      <c r="V45" s="2774"/>
      <c r="W45" s="2774"/>
      <c r="X45" s="2774"/>
      <c r="Y45" s="2774"/>
      <c r="Z45" s="2774"/>
      <c r="AA45" s="2774"/>
      <c r="AB45" s="2774"/>
      <c r="AC45" s="2774"/>
      <c r="AD45" s="2774"/>
      <c r="AE45" s="2774"/>
      <c r="AF45" s="2774"/>
      <c r="AG45" s="2774"/>
      <c r="AH45" s="2774"/>
      <c r="AI45" s="2774"/>
      <c r="AJ45" s="2774"/>
      <c r="AK45" s="2774"/>
      <c r="AL45" s="2774"/>
      <c r="AM45" s="2774"/>
      <c r="AN45" s="2774"/>
      <c r="AO45" s="2788">
        <f t="shared" si="4"/>
        <v>0</v>
      </c>
      <c r="AP45" s="2788"/>
      <c r="AQ45" s="2788"/>
      <c r="AR45" s="2788"/>
      <c r="AS45" s="2788"/>
      <c r="AT45" s="2788"/>
      <c r="AU45" s="2789">
        <f t="shared" si="5"/>
        <v>0</v>
      </c>
      <c r="AV45" s="2789"/>
      <c r="AW45" s="2789"/>
      <c r="AX45" s="2789"/>
      <c r="AY45" s="2789"/>
      <c r="AZ45" s="2789"/>
      <c r="BA45" s="1523"/>
      <c r="BB45" s="1523"/>
      <c r="BC45" s="1523"/>
      <c r="BD45" s="1523"/>
      <c r="BE45" s="1529"/>
    </row>
    <row r="46" spans="1:58" ht="15.75" customHeight="1">
      <c r="A46" s="1802"/>
      <c r="B46" s="2802" t="s">
        <v>2066</v>
      </c>
      <c r="C46" s="2803"/>
      <c r="D46" s="2803"/>
      <c r="E46" s="2803"/>
      <c r="F46" s="2803"/>
      <c r="G46" s="2803"/>
      <c r="H46" s="2803"/>
      <c r="I46" s="2804"/>
      <c r="J46" s="2791"/>
      <c r="K46" s="2792"/>
      <c r="L46" s="2792"/>
      <c r="M46" s="2793"/>
      <c r="N46" s="2772"/>
      <c r="O46" s="2770"/>
      <c r="P46" s="2770"/>
      <c r="Q46" s="2773"/>
      <c r="R46" s="2774"/>
      <c r="S46" s="2774"/>
      <c r="T46" s="2774"/>
      <c r="U46" s="2774"/>
      <c r="V46" s="2774"/>
      <c r="W46" s="2774"/>
      <c r="X46" s="2774"/>
      <c r="Y46" s="2774"/>
      <c r="Z46" s="2774"/>
      <c r="AA46" s="2774"/>
      <c r="AB46" s="2774"/>
      <c r="AC46" s="2774"/>
      <c r="AD46" s="2774"/>
      <c r="AE46" s="2774"/>
      <c r="AF46" s="2774"/>
      <c r="AG46" s="2774"/>
      <c r="AH46" s="2774"/>
      <c r="AI46" s="2774"/>
      <c r="AJ46" s="2774"/>
      <c r="AK46" s="2774"/>
      <c r="AL46" s="2774"/>
      <c r="AM46" s="2774"/>
      <c r="AN46" s="2774"/>
      <c r="AO46" s="2788">
        <f t="shared" si="4"/>
        <v>0</v>
      </c>
      <c r="AP46" s="2788"/>
      <c r="AQ46" s="2788"/>
      <c r="AR46" s="2788"/>
      <c r="AS46" s="2788"/>
      <c r="AT46" s="2788"/>
      <c r="AU46" s="2789">
        <f t="shared" si="5"/>
        <v>0</v>
      </c>
      <c r="AV46" s="2789"/>
      <c r="AW46" s="2789"/>
      <c r="AX46" s="2789"/>
      <c r="AY46" s="2789"/>
      <c r="AZ46" s="2789"/>
      <c r="BA46" s="1523"/>
      <c r="BB46" s="1523"/>
      <c r="BC46" s="1523"/>
      <c r="BD46" s="1523"/>
      <c r="BE46" s="1529"/>
    </row>
    <row r="47" spans="1:58" ht="15.75" customHeight="1" thickBot="1">
      <c r="A47" s="1802"/>
      <c r="B47" s="2805" t="s">
        <v>308</v>
      </c>
      <c r="C47" s="2806"/>
      <c r="D47" s="2806"/>
      <c r="E47" s="2806"/>
      <c r="F47" s="2806"/>
      <c r="G47" s="2806"/>
      <c r="H47" s="2806"/>
      <c r="I47" s="2807"/>
      <c r="J47" s="2808"/>
      <c r="K47" s="2809"/>
      <c r="L47" s="2809"/>
      <c r="M47" s="2810"/>
      <c r="N47" s="2811"/>
      <c r="O47" s="2809"/>
      <c r="P47" s="2809"/>
      <c r="Q47" s="2812"/>
      <c r="R47" s="2774"/>
      <c r="S47" s="2774"/>
      <c r="T47" s="2774"/>
      <c r="U47" s="2774"/>
      <c r="V47" s="2774"/>
      <c r="W47" s="2774"/>
      <c r="X47" s="2774"/>
      <c r="Y47" s="2774"/>
      <c r="Z47" s="2774"/>
      <c r="AA47" s="2774"/>
      <c r="AB47" s="2774"/>
      <c r="AC47" s="2774"/>
      <c r="AD47" s="2774"/>
      <c r="AE47" s="2774"/>
      <c r="AF47" s="2774"/>
      <c r="AG47" s="2774"/>
      <c r="AH47" s="2774"/>
      <c r="AI47" s="2774"/>
      <c r="AJ47" s="2774"/>
      <c r="AK47" s="2774"/>
      <c r="AL47" s="2774"/>
      <c r="AM47" s="2774"/>
      <c r="AN47" s="2774"/>
      <c r="AO47" s="2788">
        <f t="shared" si="4"/>
        <v>0</v>
      </c>
      <c r="AP47" s="2788"/>
      <c r="AQ47" s="2788"/>
      <c r="AR47" s="2788"/>
      <c r="AS47" s="2788"/>
      <c r="AT47" s="2788"/>
      <c r="AU47" s="2789">
        <f t="shared" si="5"/>
        <v>0</v>
      </c>
      <c r="AV47" s="2789"/>
      <c r="AW47" s="2789"/>
      <c r="AX47" s="2789"/>
      <c r="AY47" s="2789"/>
      <c r="AZ47" s="2789"/>
      <c r="BA47" s="1523"/>
      <c r="BB47" s="1523"/>
      <c r="BC47" s="1523"/>
      <c r="BD47" s="1523"/>
      <c r="BE47" s="1529"/>
    </row>
    <row r="48" spans="1:58" ht="15.75" customHeight="1">
      <c r="A48" s="1802"/>
      <c r="B48" s="1531" t="s">
        <v>2067</v>
      </c>
      <c r="C48" s="1523"/>
      <c r="D48" s="1523"/>
      <c r="E48" s="1523"/>
      <c r="F48" s="1523"/>
      <c r="G48" s="1523"/>
      <c r="H48" s="1523"/>
      <c r="I48" s="1523"/>
      <c r="J48" s="1523"/>
      <c r="K48" s="1523"/>
      <c r="L48" s="1523"/>
      <c r="M48" s="1523"/>
      <c r="N48" s="1523"/>
      <c r="O48" s="1523"/>
      <c r="P48" s="1523"/>
      <c r="Q48" s="1523"/>
      <c r="R48" s="1523"/>
      <c r="S48" s="1523"/>
      <c r="T48" s="1523"/>
      <c r="U48" s="1523"/>
      <c r="V48" s="1523"/>
      <c r="W48" s="1523"/>
      <c r="X48" s="1523"/>
      <c r="Y48" s="1523"/>
      <c r="Z48" s="1523"/>
      <c r="AA48" s="1523"/>
      <c r="AB48" s="1523"/>
      <c r="AC48" s="1523"/>
      <c r="AD48" s="1523"/>
      <c r="AE48" s="1523"/>
      <c r="AF48" s="1523"/>
      <c r="AG48" s="1523"/>
      <c r="AH48" s="1523"/>
      <c r="AI48" s="1523"/>
      <c r="AJ48" s="1523"/>
      <c r="AK48" s="1523"/>
      <c r="AL48" s="1523"/>
      <c r="AM48" s="1523"/>
      <c r="AN48" s="1523"/>
      <c r="AO48" s="1523"/>
      <c r="AP48" s="1523"/>
      <c r="AQ48" s="1523"/>
      <c r="AR48" s="1523"/>
      <c r="AS48" s="1523"/>
      <c r="AT48" s="1523"/>
      <c r="AU48" s="1523"/>
      <c r="AV48" s="1523"/>
      <c r="AW48" s="1523"/>
      <c r="AX48" s="1523"/>
      <c r="AY48" s="1523"/>
      <c r="AZ48" s="1523"/>
      <c r="BA48" s="1523"/>
      <c r="BB48" s="1523"/>
      <c r="BC48" s="1523"/>
      <c r="BD48" s="1523"/>
      <c r="BE48" s="1529"/>
      <c r="BF48" s="1521"/>
    </row>
    <row r="49" spans="1:58" ht="15.75" customHeight="1" thickBot="1">
      <c r="A49" s="1802"/>
      <c r="B49" s="1531" t="s">
        <v>2068</v>
      </c>
      <c r="C49" s="1523"/>
      <c r="D49" s="1523"/>
      <c r="E49" s="1523"/>
      <c r="F49" s="1523"/>
      <c r="G49" s="1523"/>
      <c r="H49" s="1523"/>
      <c r="I49" s="1523"/>
      <c r="J49" s="1523"/>
      <c r="K49" s="1523"/>
      <c r="L49" s="1523"/>
      <c r="M49" s="1523"/>
      <c r="N49" s="1523"/>
      <c r="O49" s="1523"/>
      <c r="P49" s="1523"/>
      <c r="Q49" s="1523"/>
      <c r="R49" s="1523"/>
      <c r="S49" s="1523"/>
      <c r="T49" s="1523"/>
      <c r="U49" s="1523"/>
      <c r="V49" s="1523"/>
      <c r="W49" s="1523"/>
      <c r="X49" s="1523"/>
      <c r="Y49" s="1523"/>
      <c r="Z49" s="1523"/>
      <c r="AA49" s="1523"/>
      <c r="AB49" s="1523"/>
      <c r="AC49" s="1523"/>
      <c r="AD49" s="1523"/>
      <c r="AE49" s="1523"/>
      <c r="AF49" s="1523"/>
      <c r="AG49" s="1523"/>
      <c r="AH49" s="1523"/>
      <c r="AI49" s="1523"/>
      <c r="AJ49" s="1523"/>
      <c r="AK49" s="1523"/>
      <c r="AL49" s="1523"/>
      <c r="AM49" s="1523"/>
      <c r="AN49" s="1523"/>
      <c r="AO49" s="1523"/>
      <c r="AP49" s="1525"/>
      <c r="AQ49" s="1525"/>
      <c r="AR49" s="1525"/>
      <c r="AS49" s="1525"/>
      <c r="AT49" s="1525"/>
      <c r="AU49" s="1525"/>
      <c r="AV49" s="1525"/>
      <c r="AW49" s="1525"/>
      <c r="AX49" s="1523"/>
      <c r="AY49" s="1523"/>
      <c r="AZ49" s="1523"/>
      <c r="BA49" s="1523"/>
      <c r="BB49" s="1523"/>
      <c r="BC49" s="1523"/>
      <c r="BD49" s="1523"/>
      <c r="BE49" s="1529"/>
      <c r="BF49" s="1521"/>
    </row>
    <row r="50" spans="1:58" ht="15.75" customHeight="1" thickBot="1">
      <c r="A50" s="1802"/>
      <c r="B50" s="2813" t="s">
        <v>2069</v>
      </c>
      <c r="C50" s="2814"/>
      <c r="D50" s="2814"/>
      <c r="E50" s="2814"/>
      <c r="F50" s="2814"/>
      <c r="G50" s="2814"/>
      <c r="H50" s="2814"/>
      <c r="I50" s="2814"/>
      <c r="J50" s="2814"/>
      <c r="K50" s="2814"/>
      <c r="L50" s="2814"/>
      <c r="M50" s="2814"/>
      <c r="N50" s="2814"/>
      <c r="O50" s="2814"/>
      <c r="P50" s="2814"/>
      <c r="Q50" s="2814"/>
      <c r="R50" s="2814"/>
      <c r="S50" s="2814"/>
      <c r="T50" s="2814"/>
      <c r="U50" s="2814"/>
      <c r="V50" s="2814"/>
      <c r="W50" s="2814"/>
      <c r="X50" s="2814"/>
      <c r="Y50" s="2814"/>
      <c r="Z50" s="2814"/>
      <c r="AA50" s="2814"/>
      <c r="AB50" s="2814"/>
      <c r="AC50" s="2814"/>
      <c r="AD50" s="2814"/>
      <c r="AE50" s="2814"/>
      <c r="AF50" s="2814"/>
      <c r="AG50" s="2814"/>
      <c r="AH50" s="2814"/>
      <c r="AI50" s="2814"/>
      <c r="AJ50" s="2814"/>
      <c r="AK50" s="2814"/>
      <c r="AL50" s="2814"/>
      <c r="AM50" s="2814"/>
      <c r="AN50" s="2814"/>
      <c r="AO50" s="2815"/>
      <c r="AP50" s="1525"/>
      <c r="AQ50" s="1525"/>
      <c r="AR50" s="1525"/>
      <c r="AS50" s="1525"/>
      <c r="AT50" s="1525"/>
      <c r="AU50" s="1525"/>
      <c r="AV50" s="1525"/>
      <c r="AW50" s="1525"/>
      <c r="AX50" s="1523"/>
      <c r="AY50" s="1523"/>
      <c r="AZ50" s="1523"/>
      <c r="BA50" s="1523"/>
      <c r="BB50" s="1523"/>
      <c r="BC50" s="1523"/>
      <c r="BD50" s="1523"/>
      <c r="BE50" s="1529"/>
    </row>
    <row r="51" spans="1:58" ht="33.75" customHeight="1">
      <c r="A51" s="1802"/>
      <c r="B51" s="2816" t="s">
        <v>2070</v>
      </c>
      <c r="C51" s="2817"/>
      <c r="D51" s="2817"/>
      <c r="E51" s="2817"/>
      <c r="F51" s="2817"/>
      <c r="G51" s="2817"/>
      <c r="H51" s="2817"/>
      <c r="I51" s="2818"/>
      <c r="J51" s="2816" t="s">
        <v>2071</v>
      </c>
      <c r="K51" s="2817"/>
      <c r="L51" s="2817"/>
      <c r="M51" s="2817"/>
      <c r="N51" s="2817"/>
      <c r="O51" s="2817"/>
      <c r="P51" s="2817"/>
      <c r="Q51" s="2818"/>
      <c r="R51" s="2819" t="s">
        <v>2072</v>
      </c>
      <c r="S51" s="2820"/>
      <c r="T51" s="2820"/>
      <c r="U51" s="2820"/>
      <c r="V51" s="2820"/>
      <c r="W51" s="2820"/>
      <c r="X51" s="2820"/>
      <c r="Y51" s="2821"/>
      <c r="Z51" s="2822" t="s">
        <v>2073</v>
      </c>
      <c r="AA51" s="2823"/>
      <c r="AB51" s="2823"/>
      <c r="AC51" s="2823"/>
      <c r="AD51" s="2823"/>
      <c r="AE51" s="2823"/>
      <c r="AF51" s="2823"/>
      <c r="AG51" s="2824"/>
      <c r="AH51" s="2822" t="s">
        <v>2074</v>
      </c>
      <c r="AI51" s="2823"/>
      <c r="AJ51" s="2823"/>
      <c r="AK51" s="2823"/>
      <c r="AL51" s="2823"/>
      <c r="AM51" s="2823"/>
      <c r="AN51" s="2823"/>
      <c r="AO51" s="2824"/>
      <c r="AP51" s="1525"/>
      <c r="AQ51" s="1525"/>
      <c r="AR51" s="1525"/>
      <c r="AS51" s="1525"/>
      <c r="AT51" s="1525"/>
      <c r="AU51" s="1525"/>
      <c r="AV51" s="1525"/>
      <c r="AW51" s="1525"/>
      <c r="AX51" s="1530"/>
      <c r="AY51" s="1523"/>
      <c r="AZ51" s="1523"/>
      <c r="BA51" s="1523"/>
      <c r="BB51" s="1523"/>
      <c r="BC51" s="1523"/>
      <c r="BD51" s="1523"/>
      <c r="BE51" s="1529"/>
    </row>
    <row r="52" spans="1:58" ht="15.75" customHeight="1">
      <c r="A52" s="1802"/>
      <c r="B52" s="2825"/>
      <c r="C52" s="2826"/>
      <c r="D52" s="2826"/>
      <c r="E52" s="2826"/>
      <c r="F52" s="2826"/>
      <c r="G52" s="2826"/>
      <c r="H52" s="2826"/>
      <c r="I52" s="2826"/>
      <c r="J52" s="2826"/>
      <c r="K52" s="2826"/>
      <c r="L52" s="2826"/>
      <c r="M52" s="2826"/>
      <c r="N52" s="2826"/>
      <c r="O52" s="2826"/>
      <c r="P52" s="2826"/>
      <c r="Q52" s="2826"/>
      <c r="R52" s="2827"/>
      <c r="S52" s="2827"/>
      <c r="T52" s="2827"/>
      <c r="U52" s="2827"/>
      <c r="V52" s="2827"/>
      <c r="W52" s="2827"/>
      <c r="X52" s="2827"/>
      <c r="Y52" s="2827"/>
      <c r="Z52" s="2826"/>
      <c r="AA52" s="2826"/>
      <c r="AB52" s="2826"/>
      <c r="AC52" s="2826"/>
      <c r="AD52" s="2826"/>
      <c r="AE52" s="2826"/>
      <c r="AF52" s="2826"/>
      <c r="AG52" s="2826"/>
      <c r="AH52" s="2826"/>
      <c r="AI52" s="2826"/>
      <c r="AJ52" s="2826"/>
      <c r="AK52" s="2826"/>
      <c r="AL52" s="2826"/>
      <c r="AM52" s="2826"/>
      <c r="AN52" s="2826"/>
      <c r="AO52" s="2828"/>
      <c r="AP52" s="1525"/>
      <c r="AQ52" s="1525"/>
      <c r="AR52" s="1525"/>
      <c r="AS52" s="1525"/>
      <c r="AT52" s="1525"/>
      <c r="AU52" s="1525"/>
      <c r="AV52" s="1525"/>
      <c r="AW52" s="1525"/>
      <c r="AX52" s="1530"/>
      <c r="AY52" s="1523"/>
      <c r="AZ52" s="1523"/>
      <c r="BA52" s="1523"/>
      <c r="BB52" s="1523"/>
      <c r="BC52" s="1523"/>
      <c r="BD52" s="1523"/>
      <c r="BE52" s="1529"/>
    </row>
    <row r="53" spans="1:58" ht="15.75" customHeight="1">
      <c r="A53" s="1802"/>
      <c r="B53" s="2825"/>
      <c r="C53" s="2826"/>
      <c r="D53" s="2826"/>
      <c r="E53" s="2826"/>
      <c r="F53" s="2826"/>
      <c r="G53" s="2826"/>
      <c r="H53" s="2826"/>
      <c r="I53" s="2826"/>
      <c r="J53" s="2826"/>
      <c r="K53" s="2826"/>
      <c r="L53" s="2826"/>
      <c r="M53" s="2826"/>
      <c r="N53" s="2826"/>
      <c r="O53" s="2826"/>
      <c r="P53" s="2826"/>
      <c r="Q53" s="2826"/>
      <c r="R53" s="2827"/>
      <c r="S53" s="2827"/>
      <c r="T53" s="2827"/>
      <c r="U53" s="2827"/>
      <c r="V53" s="2827"/>
      <c r="W53" s="2827"/>
      <c r="X53" s="2827"/>
      <c r="Y53" s="2827"/>
      <c r="Z53" s="2826"/>
      <c r="AA53" s="2826"/>
      <c r="AB53" s="2826"/>
      <c r="AC53" s="2826"/>
      <c r="AD53" s="2826"/>
      <c r="AE53" s="2826"/>
      <c r="AF53" s="2826"/>
      <c r="AG53" s="2826"/>
      <c r="AH53" s="2826"/>
      <c r="AI53" s="2826"/>
      <c r="AJ53" s="2826"/>
      <c r="AK53" s="2826"/>
      <c r="AL53" s="2826"/>
      <c r="AM53" s="2826"/>
      <c r="AN53" s="2826"/>
      <c r="AO53" s="2828"/>
      <c r="AP53" s="1525"/>
      <c r="AQ53" s="1525"/>
      <c r="AR53" s="1525"/>
      <c r="AS53" s="1525"/>
      <c r="AT53" s="1525"/>
      <c r="AU53" s="1525"/>
      <c r="AV53" s="1525"/>
      <c r="AW53" s="1525"/>
      <c r="AX53" s="1523"/>
      <c r="AY53" s="1523"/>
      <c r="AZ53" s="1523"/>
      <c r="BA53" s="1523"/>
      <c r="BB53" s="1523"/>
      <c r="BC53" s="1523"/>
      <c r="BD53" s="1523"/>
      <c r="BE53" s="1529"/>
    </row>
    <row r="54" spans="1:58" ht="15.75" customHeight="1">
      <c r="A54" s="1802"/>
      <c r="B54" s="2825"/>
      <c r="C54" s="2826"/>
      <c r="D54" s="2826"/>
      <c r="E54" s="2826"/>
      <c r="F54" s="2826"/>
      <c r="G54" s="2826"/>
      <c r="H54" s="2826"/>
      <c r="I54" s="2826"/>
      <c r="J54" s="2826"/>
      <c r="K54" s="2826"/>
      <c r="L54" s="2826"/>
      <c r="M54" s="2826"/>
      <c r="N54" s="2826"/>
      <c r="O54" s="2826"/>
      <c r="P54" s="2826"/>
      <c r="Q54" s="2826"/>
      <c r="R54" s="2827"/>
      <c r="S54" s="2827"/>
      <c r="T54" s="2827"/>
      <c r="U54" s="2827"/>
      <c r="V54" s="2827"/>
      <c r="W54" s="2827"/>
      <c r="X54" s="2827"/>
      <c r="Y54" s="2827"/>
      <c r="Z54" s="2826"/>
      <c r="AA54" s="2826"/>
      <c r="AB54" s="2826"/>
      <c r="AC54" s="2826"/>
      <c r="AD54" s="2826"/>
      <c r="AE54" s="2826"/>
      <c r="AF54" s="2826"/>
      <c r="AG54" s="2826"/>
      <c r="AH54" s="2826"/>
      <c r="AI54" s="2826"/>
      <c r="AJ54" s="2826"/>
      <c r="AK54" s="2826"/>
      <c r="AL54" s="2826"/>
      <c r="AM54" s="2826"/>
      <c r="AN54" s="2826"/>
      <c r="AO54" s="2828"/>
      <c r="AP54" s="1525"/>
      <c r="AQ54" s="1525"/>
      <c r="AR54" s="1525"/>
      <c r="AS54" s="1525"/>
      <c r="AT54" s="1525"/>
      <c r="AU54" s="1525"/>
      <c r="AV54" s="1525"/>
      <c r="AW54" s="1525"/>
      <c r="AX54" s="1523"/>
      <c r="AY54" s="1523"/>
      <c r="AZ54" s="1523"/>
      <c r="BA54" s="1523"/>
      <c r="BB54" s="1523"/>
      <c r="BC54" s="1523"/>
      <c r="BD54" s="1523"/>
      <c r="BE54" s="1529"/>
    </row>
    <row r="55" spans="1:58" ht="15.75" customHeight="1">
      <c r="A55" s="1802"/>
      <c r="B55" s="2825"/>
      <c r="C55" s="2826"/>
      <c r="D55" s="2826"/>
      <c r="E55" s="2826"/>
      <c r="F55" s="2826"/>
      <c r="G55" s="2826"/>
      <c r="H55" s="2826"/>
      <c r="I55" s="2826"/>
      <c r="J55" s="2826"/>
      <c r="K55" s="2826"/>
      <c r="L55" s="2826"/>
      <c r="M55" s="2826"/>
      <c r="N55" s="2826"/>
      <c r="O55" s="2826"/>
      <c r="P55" s="2826"/>
      <c r="Q55" s="2826"/>
      <c r="R55" s="2827"/>
      <c r="S55" s="2827"/>
      <c r="T55" s="2827"/>
      <c r="U55" s="2827"/>
      <c r="V55" s="2827"/>
      <c r="W55" s="2827"/>
      <c r="X55" s="2827"/>
      <c r="Y55" s="2827"/>
      <c r="Z55" s="2826"/>
      <c r="AA55" s="2826"/>
      <c r="AB55" s="2826"/>
      <c r="AC55" s="2826"/>
      <c r="AD55" s="2826"/>
      <c r="AE55" s="2826"/>
      <c r="AF55" s="2826"/>
      <c r="AG55" s="2826"/>
      <c r="AH55" s="2826"/>
      <c r="AI55" s="2826"/>
      <c r="AJ55" s="2826"/>
      <c r="AK55" s="2826"/>
      <c r="AL55" s="2826"/>
      <c r="AM55" s="2826"/>
      <c r="AN55" s="2826"/>
      <c r="AO55" s="2828"/>
      <c r="AP55" s="1525"/>
      <c r="AQ55" s="1525"/>
      <c r="AR55" s="1525"/>
      <c r="AS55" s="1525"/>
      <c r="AT55" s="1525" t="s">
        <v>256</v>
      </c>
      <c r="AU55" s="1525"/>
      <c r="AV55" s="1525"/>
      <c r="AW55" s="1525"/>
      <c r="AX55" s="1523"/>
      <c r="AY55" s="1523"/>
      <c r="AZ55" s="1523"/>
      <c r="BA55" s="1523"/>
      <c r="BB55" s="1523"/>
      <c r="BC55" s="1523"/>
      <c r="BD55" s="1523"/>
      <c r="BE55" s="1529"/>
    </row>
    <row r="56" spans="1:58" ht="15.75" customHeight="1" thickBot="1">
      <c r="A56" s="1802"/>
      <c r="B56" s="2838"/>
      <c r="C56" s="2839"/>
      <c r="D56" s="2839"/>
      <c r="E56" s="2839"/>
      <c r="F56" s="2839"/>
      <c r="G56" s="2839"/>
      <c r="H56" s="2839"/>
      <c r="I56" s="2839"/>
      <c r="J56" s="2839"/>
      <c r="K56" s="2839"/>
      <c r="L56" s="2839"/>
      <c r="M56" s="2839"/>
      <c r="N56" s="2839"/>
      <c r="O56" s="2839"/>
      <c r="P56" s="2839"/>
      <c r="Q56" s="2839"/>
      <c r="R56" s="2840"/>
      <c r="S56" s="2840"/>
      <c r="T56" s="2840"/>
      <c r="U56" s="2840"/>
      <c r="V56" s="2840"/>
      <c r="W56" s="2840"/>
      <c r="X56" s="2840"/>
      <c r="Y56" s="2840"/>
      <c r="Z56" s="2839"/>
      <c r="AA56" s="2839"/>
      <c r="AB56" s="2839"/>
      <c r="AC56" s="2839"/>
      <c r="AD56" s="2839"/>
      <c r="AE56" s="2839"/>
      <c r="AF56" s="2839"/>
      <c r="AG56" s="2839"/>
      <c r="AH56" s="2839"/>
      <c r="AI56" s="2839"/>
      <c r="AJ56" s="2839"/>
      <c r="AK56" s="2839"/>
      <c r="AL56" s="2839"/>
      <c r="AM56" s="2839"/>
      <c r="AN56" s="2839"/>
      <c r="AO56" s="2841"/>
      <c r="AP56" s="1525"/>
      <c r="AQ56" s="1525"/>
      <c r="AR56" s="1525"/>
      <c r="AS56" s="1525"/>
      <c r="AT56" s="1525"/>
      <c r="AU56" s="1525"/>
      <c r="AV56" s="1525"/>
      <c r="AW56" s="1525"/>
      <c r="AX56" s="1523"/>
      <c r="AY56" s="1523"/>
      <c r="AZ56" s="1523"/>
      <c r="BA56" s="1523"/>
      <c r="BB56" s="1523"/>
      <c r="BC56" s="1523"/>
      <c r="BD56" s="1523"/>
      <c r="BE56" s="1529"/>
    </row>
    <row r="57" spans="1:58" s="1533" customFormat="1" ht="15.75" customHeight="1" thickBot="1">
      <c r="A57" s="1803"/>
      <c r="B57" s="2842" t="s">
        <v>1879</v>
      </c>
      <c r="C57" s="2843"/>
      <c r="D57" s="2843"/>
      <c r="E57" s="2843"/>
      <c r="F57" s="2843"/>
      <c r="G57" s="2843"/>
      <c r="H57" s="2843"/>
      <c r="I57" s="2843"/>
      <c r="J57" s="2843"/>
      <c r="K57" s="2843"/>
      <c r="L57" s="2843"/>
      <c r="M57" s="2843"/>
      <c r="N57" s="2843"/>
      <c r="O57" s="2843"/>
      <c r="P57" s="2843"/>
      <c r="Q57" s="2843"/>
      <c r="R57" s="2844">
        <f>SUM(R52:Y56)</f>
        <v>0</v>
      </c>
      <c r="S57" s="2844"/>
      <c r="T57" s="2844"/>
      <c r="U57" s="2844"/>
      <c r="V57" s="2844"/>
      <c r="W57" s="2844"/>
      <c r="X57" s="2844"/>
      <c r="Y57" s="2844"/>
      <c r="Z57" s="2844">
        <f t="shared" ref="Z57" si="6">SUM(Z52:AG56)</f>
        <v>0</v>
      </c>
      <c r="AA57" s="2844"/>
      <c r="AB57" s="2844"/>
      <c r="AC57" s="2844"/>
      <c r="AD57" s="2844"/>
      <c r="AE57" s="2844"/>
      <c r="AF57" s="2844"/>
      <c r="AG57" s="2844"/>
      <c r="AH57" s="2844">
        <f t="shared" ref="AH57" si="7">SUM(AH52:AO56)</f>
        <v>0</v>
      </c>
      <c r="AI57" s="2844"/>
      <c r="AJ57" s="2844"/>
      <c r="AK57" s="2844"/>
      <c r="AL57" s="2844"/>
      <c r="AM57" s="2844"/>
      <c r="AN57" s="2844"/>
      <c r="AO57" s="2844"/>
      <c r="AP57" s="1525"/>
      <c r="AQ57" s="1525"/>
      <c r="AR57" s="1525"/>
      <c r="AS57" s="1525"/>
      <c r="AT57" s="1525"/>
      <c r="AU57" s="1525"/>
      <c r="AV57" s="1525"/>
      <c r="AW57" s="1525"/>
      <c r="AX57" s="1525"/>
      <c r="AY57" s="1525"/>
      <c r="AZ57" s="1525"/>
      <c r="BA57" s="1525"/>
      <c r="BB57" s="1525"/>
      <c r="BC57" s="1525"/>
      <c r="BD57" s="1525"/>
      <c r="BE57" s="1532"/>
    </row>
    <row r="58" spans="1:58" ht="15.75" customHeight="1" thickBot="1">
      <c r="A58" s="1802"/>
      <c r="B58" s="1523"/>
      <c r="C58" s="1523"/>
      <c r="D58" s="1523"/>
      <c r="E58" s="1523"/>
      <c r="F58" s="1523"/>
      <c r="G58" s="1523"/>
      <c r="H58" s="1523"/>
      <c r="I58" s="1523"/>
      <c r="J58" s="1523"/>
      <c r="K58" s="1523"/>
      <c r="L58" s="1523"/>
      <c r="M58" s="1523"/>
      <c r="N58" s="1523"/>
      <c r="O58" s="1523"/>
      <c r="P58" s="1523"/>
      <c r="Q58" s="1523"/>
      <c r="R58" s="1523"/>
      <c r="S58" s="1523"/>
      <c r="T58" s="1523"/>
      <c r="U58" s="1523"/>
      <c r="V58" s="1523"/>
      <c r="W58" s="1523"/>
      <c r="X58" s="1523"/>
      <c r="Y58" s="1523"/>
      <c r="Z58" s="1523"/>
      <c r="AA58" s="1523"/>
      <c r="AB58" s="1523"/>
      <c r="AC58" s="1523"/>
      <c r="AD58" s="1523"/>
      <c r="AE58" s="1523"/>
      <c r="AF58" s="1523"/>
      <c r="AG58" s="1523"/>
      <c r="AH58" s="1523"/>
      <c r="AI58" s="1523"/>
      <c r="AJ58" s="1523"/>
      <c r="AK58" s="1523"/>
      <c r="AL58" s="1523"/>
      <c r="AM58" s="1523"/>
      <c r="AN58" s="1523"/>
      <c r="AO58" s="1523"/>
      <c r="AP58" s="1523"/>
      <c r="AQ58" s="1523"/>
      <c r="AR58" s="1523"/>
      <c r="AS58" s="1523"/>
      <c r="AT58" s="1523"/>
      <c r="AU58" s="1523"/>
      <c r="AV58" s="1523"/>
      <c r="AW58" s="1523"/>
      <c r="AX58" s="1523"/>
      <c r="AY58" s="1523"/>
      <c r="AZ58" s="1523"/>
      <c r="BA58" s="1523"/>
      <c r="BB58" s="1523"/>
      <c r="BC58" s="1523"/>
      <c r="BD58" s="1523"/>
      <c r="BE58" s="1529"/>
    </row>
    <row r="59" spans="1:58" ht="15.75" customHeight="1">
      <c r="A59" s="1802"/>
      <c r="B59" s="2829" t="s">
        <v>2070</v>
      </c>
      <c r="C59" s="2830"/>
      <c r="D59" s="2830"/>
      <c r="E59" s="2830"/>
      <c r="F59" s="2830"/>
      <c r="G59" s="2830"/>
      <c r="H59" s="2830"/>
      <c r="I59" s="2831"/>
      <c r="J59" s="2832" t="s">
        <v>2075</v>
      </c>
      <c r="K59" s="2832"/>
      <c r="L59" s="2832"/>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3"/>
      <c r="AX59" s="1523"/>
      <c r="AY59" s="1523"/>
      <c r="AZ59" s="1523"/>
      <c r="BA59" s="1523"/>
      <c r="BB59" s="1523"/>
      <c r="BC59" s="1523"/>
      <c r="BD59" s="1523"/>
      <c r="BE59" s="1529"/>
    </row>
    <row r="60" spans="1:58" ht="15.75" customHeight="1">
      <c r="A60" s="1802"/>
      <c r="B60" s="2834" t="str">
        <f>IF(B52="", "", B52)</f>
        <v/>
      </c>
      <c r="C60" s="2835"/>
      <c r="D60" s="2835"/>
      <c r="E60" s="2835"/>
      <c r="F60" s="2835"/>
      <c r="G60" s="2835"/>
      <c r="H60" s="2835"/>
      <c r="I60" s="2836"/>
      <c r="J60" s="2837"/>
      <c r="K60" s="2826"/>
      <c r="L60" s="2826"/>
      <c r="M60" s="2826"/>
      <c r="N60" s="2826"/>
      <c r="O60" s="2826"/>
      <c r="P60" s="2826"/>
      <c r="Q60" s="2826"/>
      <c r="R60" s="2826"/>
      <c r="S60" s="2826"/>
      <c r="T60" s="2826"/>
      <c r="U60" s="2826"/>
      <c r="V60" s="2826"/>
      <c r="W60" s="2826"/>
      <c r="X60" s="2826"/>
      <c r="Y60" s="2826"/>
      <c r="Z60" s="2826"/>
      <c r="AA60" s="2826"/>
      <c r="AB60" s="2826"/>
      <c r="AC60" s="2826"/>
      <c r="AD60" s="2826"/>
      <c r="AE60" s="2826"/>
      <c r="AF60" s="2826"/>
      <c r="AG60" s="2826"/>
      <c r="AH60" s="2826"/>
      <c r="AI60" s="2826"/>
      <c r="AJ60" s="2826"/>
      <c r="AK60" s="2826"/>
      <c r="AL60" s="2826"/>
      <c r="AM60" s="2826"/>
      <c r="AN60" s="2826"/>
      <c r="AO60" s="2826"/>
      <c r="AP60" s="2826"/>
      <c r="AQ60" s="2826"/>
      <c r="AR60" s="2826"/>
      <c r="AS60" s="2826"/>
      <c r="AT60" s="2826"/>
      <c r="AU60" s="2826"/>
      <c r="AV60" s="2826"/>
      <c r="AW60" s="2828"/>
      <c r="AX60" s="1523"/>
      <c r="AY60" s="1523"/>
      <c r="AZ60" s="1523"/>
      <c r="BA60" s="1523"/>
      <c r="BB60" s="1523"/>
      <c r="BC60" s="1523"/>
      <c r="BD60" s="1523"/>
      <c r="BE60" s="1529"/>
    </row>
    <row r="61" spans="1:58" ht="15.75" customHeight="1">
      <c r="A61" s="1802"/>
      <c r="B61" s="2834" t="str">
        <f t="shared" ref="B61:B64" si="8">IF(B53="", "", B53)</f>
        <v/>
      </c>
      <c r="C61" s="2835"/>
      <c r="D61" s="2835"/>
      <c r="E61" s="2835"/>
      <c r="F61" s="2835"/>
      <c r="G61" s="2835"/>
      <c r="H61" s="2835"/>
      <c r="I61" s="2836"/>
      <c r="J61" s="2837"/>
      <c r="K61" s="2826"/>
      <c r="L61" s="2826"/>
      <c r="M61" s="2826"/>
      <c r="N61" s="2826"/>
      <c r="O61" s="2826"/>
      <c r="P61" s="2826"/>
      <c r="Q61" s="2826"/>
      <c r="R61" s="2826"/>
      <c r="S61" s="2826"/>
      <c r="T61" s="2826"/>
      <c r="U61" s="2826"/>
      <c r="V61" s="2826"/>
      <c r="W61" s="2826"/>
      <c r="X61" s="2826"/>
      <c r="Y61" s="2826"/>
      <c r="Z61" s="2826"/>
      <c r="AA61" s="2826"/>
      <c r="AB61" s="2826"/>
      <c r="AC61" s="2826"/>
      <c r="AD61" s="2826"/>
      <c r="AE61" s="2826"/>
      <c r="AF61" s="2826"/>
      <c r="AG61" s="2826"/>
      <c r="AH61" s="2826"/>
      <c r="AI61" s="2826"/>
      <c r="AJ61" s="2826"/>
      <c r="AK61" s="2826"/>
      <c r="AL61" s="2826"/>
      <c r="AM61" s="2826"/>
      <c r="AN61" s="2826"/>
      <c r="AO61" s="2826"/>
      <c r="AP61" s="2826"/>
      <c r="AQ61" s="2826"/>
      <c r="AR61" s="2826"/>
      <c r="AS61" s="2826"/>
      <c r="AT61" s="2826"/>
      <c r="AU61" s="2826"/>
      <c r="AV61" s="2826"/>
      <c r="AW61" s="2828"/>
      <c r="AX61" s="1523"/>
      <c r="AY61" s="1523"/>
      <c r="AZ61" s="1523"/>
      <c r="BA61" s="1523"/>
      <c r="BB61" s="1523"/>
      <c r="BC61" s="1523"/>
      <c r="BD61" s="1523"/>
      <c r="BE61" s="1529"/>
    </row>
    <row r="62" spans="1:58" ht="15.75" customHeight="1">
      <c r="A62" s="1802"/>
      <c r="B62" s="2834" t="str">
        <f t="shared" si="8"/>
        <v/>
      </c>
      <c r="C62" s="2835"/>
      <c r="D62" s="2835"/>
      <c r="E62" s="2835"/>
      <c r="F62" s="2835"/>
      <c r="G62" s="2835"/>
      <c r="H62" s="2835"/>
      <c r="I62" s="2836"/>
      <c r="J62" s="2837"/>
      <c r="K62" s="2826"/>
      <c r="L62" s="2826"/>
      <c r="M62" s="2826"/>
      <c r="N62" s="2826"/>
      <c r="O62" s="2826"/>
      <c r="P62" s="2826"/>
      <c r="Q62" s="2826"/>
      <c r="R62" s="2826"/>
      <c r="S62" s="2826"/>
      <c r="T62" s="2826"/>
      <c r="U62" s="2826"/>
      <c r="V62" s="2826"/>
      <c r="W62" s="2826"/>
      <c r="X62" s="2826"/>
      <c r="Y62" s="2826"/>
      <c r="Z62" s="2826"/>
      <c r="AA62" s="2826"/>
      <c r="AB62" s="2826"/>
      <c r="AC62" s="2826"/>
      <c r="AD62" s="2826"/>
      <c r="AE62" s="2826"/>
      <c r="AF62" s="2826"/>
      <c r="AG62" s="2826"/>
      <c r="AH62" s="2826"/>
      <c r="AI62" s="2826"/>
      <c r="AJ62" s="2826"/>
      <c r="AK62" s="2826"/>
      <c r="AL62" s="2826"/>
      <c r="AM62" s="2826"/>
      <c r="AN62" s="2826"/>
      <c r="AO62" s="2826"/>
      <c r="AP62" s="2826"/>
      <c r="AQ62" s="2826"/>
      <c r="AR62" s="2826"/>
      <c r="AS62" s="2826"/>
      <c r="AT62" s="2826"/>
      <c r="AU62" s="2826"/>
      <c r="AV62" s="2826"/>
      <c r="AW62" s="2828"/>
      <c r="AX62" s="1523"/>
      <c r="AY62" s="1523"/>
      <c r="AZ62" s="1523"/>
      <c r="BA62" s="1523"/>
      <c r="BB62" s="1523"/>
      <c r="BC62" s="1523"/>
      <c r="BD62" s="1523"/>
      <c r="BE62" s="1529"/>
    </row>
    <row r="63" spans="1:58" ht="15.75" customHeight="1">
      <c r="A63" s="1802"/>
      <c r="B63" s="2834" t="str">
        <f t="shared" si="8"/>
        <v/>
      </c>
      <c r="C63" s="2835"/>
      <c r="D63" s="2835"/>
      <c r="E63" s="2835"/>
      <c r="F63" s="2835"/>
      <c r="G63" s="2835"/>
      <c r="H63" s="2835"/>
      <c r="I63" s="2836"/>
      <c r="J63" s="2837"/>
      <c r="K63" s="2826"/>
      <c r="L63" s="2826"/>
      <c r="M63" s="2826"/>
      <c r="N63" s="2826"/>
      <c r="O63" s="2826"/>
      <c r="P63" s="2826"/>
      <c r="Q63" s="2826"/>
      <c r="R63" s="2826"/>
      <c r="S63" s="2826"/>
      <c r="T63" s="2826"/>
      <c r="U63" s="2826"/>
      <c r="V63" s="2826"/>
      <c r="W63" s="2826"/>
      <c r="X63" s="2826"/>
      <c r="Y63" s="2826"/>
      <c r="Z63" s="2826"/>
      <c r="AA63" s="2826"/>
      <c r="AB63" s="2826"/>
      <c r="AC63" s="2826"/>
      <c r="AD63" s="2826"/>
      <c r="AE63" s="2826"/>
      <c r="AF63" s="2826"/>
      <c r="AG63" s="2826"/>
      <c r="AH63" s="2826"/>
      <c r="AI63" s="2826"/>
      <c r="AJ63" s="2826"/>
      <c r="AK63" s="2826"/>
      <c r="AL63" s="2826"/>
      <c r="AM63" s="2826"/>
      <c r="AN63" s="2826"/>
      <c r="AO63" s="2826"/>
      <c r="AP63" s="2826"/>
      <c r="AQ63" s="2826"/>
      <c r="AR63" s="2826"/>
      <c r="AS63" s="2826"/>
      <c r="AT63" s="2826"/>
      <c r="AU63" s="2826"/>
      <c r="AV63" s="2826"/>
      <c r="AW63" s="2828"/>
      <c r="AX63" s="1523"/>
      <c r="AY63" s="1523"/>
      <c r="AZ63" s="1523"/>
      <c r="BA63" s="1523"/>
      <c r="BB63" s="1523"/>
      <c r="BC63" s="1523"/>
      <c r="BD63" s="1523"/>
      <c r="BE63" s="1529"/>
    </row>
    <row r="64" spans="1:58" ht="15.75" customHeight="1" thickBot="1">
      <c r="A64" s="1802"/>
      <c r="B64" s="2857" t="str">
        <f t="shared" si="8"/>
        <v/>
      </c>
      <c r="C64" s="2858"/>
      <c r="D64" s="2858"/>
      <c r="E64" s="2858"/>
      <c r="F64" s="2858"/>
      <c r="G64" s="2858"/>
      <c r="H64" s="2858"/>
      <c r="I64" s="2859"/>
      <c r="J64" s="2860"/>
      <c r="K64" s="2839"/>
      <c r="L64" s="2839"/>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c r="AS64" s="2839"/>
      <c r="AT64" s="2839"/>
      <c r="AU64" s="2839"/>
      <c r="AV64" s="2839"/>
      <c r="AW64" s="2841"/>
      <c r="AX64" s="1523"/>
      <c r="AY64" s="1523"/>
      <c r="AZ64" s="1523"/>
      <c r="BA64" s="1523"/>
      <c r="BB64" s="1523"/>
      <c r="BC64" s="1523"/>
      <c r="BD64" s="1523"/>
      <c r="BE64" s="1529"/>
    </row>
    <row r="65" spans="1:57" ht="15.75" customHeight="1">
      <c r="A65" s="1802"/>
      <c r="B65" s="1523"/>
      <c r="C65" s="1523"/>
      <c r="D65" s="1523"/>
      <c r="E65" s="1523"/>
      <c r="F65" s="1523"/>
      <c r="G65" s="1523"/>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c r="AI65" s="1523"/>
      <c r="AJ65" s="1523"/>
      <c r="AK65" s="1523"/>
      <c r="AL65" s="1523"/>
      <c r="AM65" s="1523"/>
      <c r="AN65" s="1523"/>
      <c r="AO65" s="1523"/>
      <c r="AP65" s="1523"/>
      <c r="AQ65" s="1523"/>
      <c r="AR65" s="1523"/>
      <c r="AS65" s="1523"/>
      <c r="AT65" s="1523"/>
      <c r="AU65" s="1523"/>
      <c r="AV65" s="1523"/>
      <c r="AW65" s="1523"/>
      <c r="AX65" s="1523"/>
      <c r="AY65" s="1523"/>
      <c r="AZ65" s="1523"/>
      <c r="BA65" s="1523"/>
      <c r="BB65" s="1523"/>
      <c r="BC65" s="1523"/>
      <c r="BD65" s="1523"/>
      <c r="BE65" s="1529"/>
    </row>
    <row r="66" spans="1:57" ht="15.75" customHeight="1">
      <c r="A66" s="1804"/>
      <c r="B66" s="1533" t="s">
        <v>2076</v>
      </c>
      <c r="C66" s="1533"/>
      <c r="D66" s="1533"/>
      <c r="E66" s="1533"/>
      <c r="F66" s="1533"/>
      <c r="G66" s="1533"/>
      <c r="H66" s="1533"/>
      <c r="I66" s="1533"/>
      <c r="J66" s="1533"/>
      <c r="K66" s="1533"/>
      <c r="L66" s="1523"/>
      <c r="M66" s="1523"/>
      <c r="N66" s="1523"/>
      <c r="O66" s="1523"/>
      <c r="P66" s="1523"/>
      <c r="Q66" s="1523"/>
      <c r="R66" s="1523"/>
      <c r="S66" s="1523"/>
      <c r="T66" s="1523"/>
      <c r="U66" s="1523"/>
      <c r="V66" s="1523"/>
      <c r="W66" s="1523"/>
      <c r="X66" s="1523"/>
      <c r="Y66" s="1523"/>
      <c r="Z66" s="1523"/>
      <c r="AA66" s="1523"/>
      <c r="AB66" s="1523"/>
      <c r="AC66" s="1523"/>
      <c r="AD66" s="1523"/>
      <c r="AE66" s="1523"/>
      <c r="AF66" s="1523"/>
      <c r="AG66" s="1523"/>
      <c r="AH66" s="1523"/>
      <c r="AI66" s="1523"/>
      <c r="AJ66" s="1523"/>
      <c r="AK66" s="1523"/>
      <c r="AL66" s="1523"/>
      <c r="AM66" s="1523"/>
      <c r="AN66" s="1523"/>
      <c r="AO66" s="1523"/>
      <c r="AP66" s="1523"/>
      <c r="AQ66" s="1523"/>
      <c r="AR66" s="1523"/>
      <c r="AS66" s="1523"/>
      <c r="AT66" s="1523"/>
      <c r="AU66" s="1523"/>
      <c r="AV66" s="1523"/>
      <c r="AW66" s="1523"/>
      <c r="AX66" s="1523"/>
      <c r="AY66" s="1523"/>
      <c r="AZ66" s="1523"/>
      <c r="BA66" s="1523"/>
      <c r="BB66" s="1523"/>
      <c r="BC66" s="1523"/>
      <c r="BD66" s="1523"/>
      <c r="BE66" s="1529"/>
    </row>
    <row r="67" spans="1:57" ht="15.75" customHeight="1" thickBot="1">
      <c r="A67" s="1802"/>
      <c r="B67" s="1523"/>
      <c r="C67" s="1523"/>
      <c r="D67" s="1523"/>
      <c r="E67" s="1523"/>
      <c r="F67" s="1523"/>
      <c r="G67" s="1523"/>
      <c r="H67" s="1523"/>
      <c r="I67" s="1523"/>
      <c r="J67" s="1523"/>
      <c r="K67" s="1523"/>
      <c r="L67" s="1523"/>
      <c r="M67" s="1523"/>
      <c r="N67" s="1523"/>
      <c r="O67" s="1523"/>
      <c r="P67" s="1523"/>
      <c r="Q67" s="1523"/>
      <c r="R67" s="1523"/>
      <c r="S67" s="1523"/>
      <c r="T67" s="1523"/>
      <c r="U67" s="1523"/>
      <c r="V67" s="1523"/>
      <c r="W67" s="1523"/>
      <c r="X67" s="1523"/>
      <c r="Y67" s="1523"/>
      <c r="Z67" s="1523"/>
      <c r="AA67" s="1523"/>
      <c r="AB67" s="1523"/>
      <c r="AC67" s="1523"/>
      <c r="AD67" s="1523"/>
      <c r="AE67" s="1523"/>
      <c r="AF67" s="1523"/>
      <c r="AG67" s="1523"/>
      <c r="AH67" s="1523"/>
      <c r="AI67" s="1523"/>
      <c r="AJ67" s="1523"/>
      <c r="AK67" s="1523"/>
      <c r="AL67" s="1523"/>
      <c r="AM67" s="1523"/>
      <c r="AN67" s="1523"/>
      <c r="AO67" s="1523"/>
      <c r="AP67" s="1523"/>
      <c r="AQ67" s="1523"/>
      <c r="AR67" s="1523"/>
      <c r="AS67" s="1523"/>
      <c r="AT67" s="1523"/>
      <c r="AU67" s="1523"/>
      <c r="AV67" s="1523"/>
      <c r="AW67" s="1523"/>
      <c r="AX67" s="1523"/>
      <c r="AY67" s="1523"/>
      <c r="AZ67" s="1523"/>
      <c r="BA67" s="1523"/>
      <c r="BB67" s="1523"/>
      <c r="BC67" s="1523"/>
      <c r="BD67" s="1523"/>
      <c r="BE67" s="1529"/>
    </row>
    <row r="68" spans="1:57" ht="15.75" customHeight="1">
      <c r="A68" s="1802"/>
      <c r="B68" s="2712" t="s">
        <v>2077</v>
      </c>
      <c r="C68" s="2713"/>
      <c r="D68" s="2713"/>
      <c r="E68" s="2713"/>
      <c r="F68" s="2713"/>
      <c r="G68" s="2713"/>
      <c r="H68" s="2713"/>
      <c r="I68" s="2713"/>
      <c r="J68" s="2713"/>
      <c r="K68" s="2713"/>
      <c r="L68" s="2713"/>
      <c r="M68" s="2713"/>
      <c r="N68" s="2713"/>
      <c r="O68" s="2713"/>
      <c r="P68" s="2713"/>
      <c r="Q68" s="2713"/>
      <c r="R68" s="2713"/>
      <c r="S68" s="2713"/>
      <c r="T68" s="2713"/>
      <c r="U68" s="2713"/>
      <c r="V68" s="2713"/>
      <c r="W68" s="2713"/>
      <c r="X68" s="2713"/>
      <c r="Y68" s="2713"/>
      <c r="Z68" s="2713"/>
      <c r="AA68" s="2714"/>
      <c r="AB68" s="1523"/>
      <c r="AC68" s="2871" t="s">
        <v>2078</v>
      </c>
      <c r="AD68" s="2872"/>
      <c r="AE68" s="2872"/>
      <c r="AF68" s="2872"/>
      <c r="AG68" s="2872"/>
      <c r="AH68" s="2872"/>
      <c r="AI68" s="2872"/>
      <c r="AJ68" s="2872"/>
      <c r="AK68" s="2872"/>
      <c r="AL68" s="2872"/>
      <c r="AM68" s="2872"/>
      <c r="AN68" s="2872"/>
      <c r="AO68" s="2872"/>
      <c r="AP68" s="2872"/>
      <c r="AQ68" s="2872"/>
      <c r="AR68" s="2872"/>
      <c r="AS68" s="2872"/>
      <c r="AT68" s="2872"/>
      <c r="AU68" s="2872"/>
      <c r="AV68" s="2845" t="s">
        <v>2037</v>
      </c>
      <c r="AW68" s="2845"/>
      <c r="AX68" s="2845"/>
      <c r="AY68" s="2845"/>
      <c r="AZ68" s="2845"/>
      <c r="BA68" s="2845"/>
      <c r="BB68" s="2845"/>
      <c r="BC68" s="2846"/>
      <c r="BD68" s="1523"/>
      <c r="BE68" s="1529"/>
    </row>
    <row r="69" spans="1:57" ht="15.75" customHeight="1" thickBot="1">
      <c r="A69" s="1802"/>
      <c r="B69" s="2847" t="s">
        <v>2079</v>
      </c>
      <c r="C69" s="2848"/>
      <c r="D69" s="2848"/>
      <c r="E69" s="2848"/>
      <c r="F69" s="2848"/>
      <c r="G69" s="2848"/>
      <c r="H69" s="2848"/>
      <c r="I69" s="2848"/>
      <c r="J69" s="2848"/>
      <c r="K69" s="2848"/>
      <c r="L69" s="2848"/>
      <c r="M69" s="2848"/>
      <c r="N69" s="2848"/>
      <c r="O69" s="2849" t="s">
        <v>2080</v>
      </c>
      <c r="P69" s="2850"/>
      <c r="Q69" s="2850"/>
      <c r="R69" s="2850"/>
      <c r="S69" s="2850"/>
      <c r="T69" s="2850"/>
      <c r="U69" s="2850"/>
      <c r="V69" s="2850"/>
      <c r="W69" s="2850"/>
      <c r="X69" s="2850"/>
      <c r="Y69" s="2850"/>
      <c r="Z69" s="2850"/>
      <c r="AA69" s="2851"/>
      <c r="AB69" s="1523"/>
      <c r="AC69" s="2852" t="s">
        <v>2081</v>
      </c>
      <c r="AD69" s="2853"/>
      <c r="AE69" s="2853"/>
      <c r="AF69" s="2853"/>
      <c r="AG69" s="2853"/>
      <c r="AH69" s="2853"/>
      <c r="AI69" s="2853"/>
      <c r="AJ69" s="2853"/>
      <c r="AK69" s="2853"/>
      <c r="AL69" s="2853"/>
      <c r="AM69" s="2853"/>
      <c r="AN69" s="2853"/>
      <c r="AO69" s="2853"/>
      <c r="AP69" s="2853"/>
      <c r="AQ69" s="2853"/>
      <c r="AR69" s="2853"/>
      <c r="AS69" s="2853"/>
      <c r="AT69" s="2853"/>
      <c r="AU69" s="2853"/>
      <c r="AV69" s="2854"/>
      <c r="AW69" s="2855"/>
      <c r="AX69" s="2855"/>
      <c r="AY69" s="2855"/>
      <c r="AZ69" s="2855"/>
      <c r="BA69" s="2855"/>
      <c r="BB69" s="2855"/>
      <c r="BC69" s="2856"/>
      <c r="BD69" s="1523"/>
      <c r="BE69" s="1529"/>
    </row>
    <row r="70" spans="1:57" ht="15.75" customHeight="1">
      <c r="A70" s="1802"/>
      <c r="B70" s="2861"/>
      <c r="C70" s="2862"/>
      <c r="D70" s="2862"/>
      <c r="E70" s="2862"/>
      <c r="F70" s="2862"/>
      <c r="G70" s="2862"/>
      <c r="H70" s="2862"/>
      <c r="I70" s="2862"/>
      <c r="J70" s="2862"/>
      <c r="K70" s="2862"/>
      <c r="L70" s="2862"/>
      <c r="M70" s="2862"/>
      <c r="N70" s="2862"/>
      <c r="O70" s="2863"/>
      <c r="P70" s="2863"/>
      <c r="Q70" s="2863"/>
      <c r="R70" s="2863"/>
      <c r="S70" s="2863"/>
      <c r="T70" s="2863"/>
      <c r="U70" s="2863"/>
      <c r="V70" s="2863"/>
      <c r="W70" s="2863"/>
      <c r="X70" s="2863"/>
      <c r="Y70" s="2863"/>
      <c r="Z70" s="2863"/>
      <c r="AA70" s="2864"/>
      <c r="AB70" s="1523"/>
      <c r="AC70" s="2865" t="s">
        <v>2082</v>
      </c>
      <c r="AD70" s="2866"/>
      <c r="AE70" s="2866"/>
      <c r="AF70" s="2867"/>
      <c r="AG70" s="2867"/>
      <c r="AH70" s="2867"/>
      <c r="AI70" s="2867"/>
      <c r="AJ70" s="2867"/>
      <c r="AK70" s="2867"/>
      <c r="AL70" s="2867"/>
      <c r="AM70" s="2867"/>
      <c r="AN70" s="2867"/>
      <c r="AO70" s="2867"/>
      <c r="AP70" s="2867"/>
      <c r="AQ70" s="2867"/>
      <c r="AR70" s="2867"/>
      <c r="AS70" s="2867"/>
      <c r="AT70" s="2867"/>
      <c r="AU70" s="2868"/>
      <c r="AV70" s="1523"/>
      <c r="AW70" s="1523"/>
      <c r="AX70" s="1523"/>
      <c r="AY70" s="1523"/>
      <c r="AZ70" s="1523"/>
      <c r="BA70" s="1523"/>
      <c r="BB70" s="1523"/>
      <c r="BC70" s="1523"/>
      <c r="BD70" s="1523"/>
      <c r="BE70" s="1529"/>
    </row>
    <row r="71" spans="1:57" ht="15.75" customHeight="1" thickBot="1">
      <c r="A71" s="1802"/>
      <c r="B71" s="2794"/>
      <c r="C71" s="2792"/>
      <c r="D71" s="2792"/>
      <c r="E71" s="2792"/>
      <c r="F71" s="2792"/>
      <c r="G71" s="2792"/>
      <c r="H71" s="2792"/>
      <c r="I71" s="2792"/>
      <c r="J71" s="2792"/>
      <c r="K71" s="2792"/>
      <c r="L71" s="2792"/>
      <c r="M71" s="2792"/>
      <c r="N71" s="2792"/>
      <c r="O71" s="2863"/>
      <c r="P71" s="2863"/>
      <c r="Q71" s="2863"/>
      <c r="R71" s="2863"/>
      <c r="S71" s="2863"/>
      <c r="T71" s="2863"/>
      <c r="U71" s="2863"/>
      <c r="V71" s="2863"/>
      <c r="W71" s="2863"/>
      <c r="X71" s="2863"/>
      <c r="Y71" s="2863"/>
      <c r="Z71" s="2863"/>
      <c r="AA71" s="2864"/>
      <c r="AB71" s="1523"/>
      <c r="AC71" s="2869" t="s">
        <v>2083</v>
      </c>
      <c r="AD71" s="2870"/>
      <c r="AE71" s="2870"/>
      <c r="AF71" s="2809"/>
      <c r="AG71" s="2809"/>
      <c r="AH71" s="2809"/>
      <c r="AI71" s="2809"/>
      <c r="AJ71" s="2809"/>
      <c r="AK71" s="2809"/>
      <c r="AL71" s="2809"/>
      <c r="AM71" s="2809"/>
      <c r="AN71" s="2809"/>
      <c r="AO71" s="2809"/>
      <c r="AP71" s="2809"/>
      <c r="AQ71" s="2809"/>
      <c r="AR71" s="2809"/>
      <c r="AS71" s="2809"/>
      <c r="AT71" s="2809"/>
      <c r="AU71" s="2810"/>
      <c r="AV71" s="1523"/>
      <c r="AW71" s="1523"/>
      <c r="AX71" s="1523"/>
      <c r="AY71" s="1523"/>
      <c r="AZ71" s="1523"/>
      <c r="BA71" s="1523"/>
      <c r="BB71" s="1523"/>
      <c r="BC71" s="1523"/>
      <c r="BD71" s="1523"/>
      <c r="BE71" s="1529"/>
    </row>
    <row r="72" spans="1:57" ht="15.75" customHeight="1">
      <c r="A72" s="1802"/>
      <c r="B72" s="2794"/>
      <c r="C72" s="2792"/>
      <c r="D72" s="2792"/>
      <c r="E72" s="2792"/>
      <c r="F72" s="2792"/>
      <c r="G72" s="2792"/>
      <c r="H72" s="2792"/>
      <c r="I72" s="2792"/>
      <c r="J72" s="2792"/>
      <c r="K72" s="2792"/>
      <c r="L72" s="2792"/>
      <c r="M72" s="2792"/>
      <c r="N72" s="2792"/>
      <c r="O72" s="2863"/>
      <c r="P72" s="2863"/>
      <c r="Q72" s="2863"/>
      <c r="R72" s="2863"/>
      <c r="S72" s="2863"/>
      <c r="T72" s="2863"/>
      <c r="U72" s="2863"/>
      <c r="V72" s="2863"/>
      <c r="W72" s="2863"/>
      <c r="X72" s="2863"/>
      <c r="Y72" s="2863"/>
      <c r="Z72" s="2863"/>
      <c r="AA72" s="2864"/>
      <c r="AB72" s="1523"/>
      <c r="AC72" s="2878" t="s">
        <v>2084</v>
      </c>
      <c r="AD72" s="2879"/>
      <c r="AE72" s="2879"/>
      <c r="AF72" s="2879"/>
      <c r="AG72" s="2879"/>
      <c r="AH72" s="2879"/>
      <c r="AI72" s="2879"/>
      <c r="AJ72" s="2879"/>
      <c r="AK72" s="2879"/>
      <c r="AL72" s="2879"/>
      <c r="AM72" s="2879"/>
      <c r="AN72" s="2879"/>
      <c r="AO72" s="2879"/>
      <c r="AP72" s="2879"/>
      <c r="AQ72" s="2879"/>
      <c r="AR72" s="2879"/>
      <c r="AS72" s="2879"/>
      <c r="AT72" s="2879"/>
      <c r="AU72" s="2879"/>
      <c r="AV72" s="2879"/>
      <c r="AW72" s="2879"/>
      <c r="AX72" s="2879"/>
      <c r="AY72" s="2879"/>
      <c r="AZ72" s="2879"/>
      <c r="BA72" s="2879"/>
      <c r="BB72" s="2879"/>
      <c r="BC72" s="2880"/>
      <c r="BD72" s="1523"/>
      <c r="BE72" s="1529"/>
    </row>
    <row r="73" spans="1:57" ht="15.75" customHeight="1">
      <c r="A73" s="1802"/>
      <c r="B73" s="2794"/>
      <c r="C73" s="2792"/>
      <c r="D73" s="2792"/>
      <c r="E73" s="2792"/>
      <c r="F73" s="2792"/>
      <c r="G73" s="2792"/>
      <c r="H73" s="2792"/>
      <c r="I73" s="2792"/>
      <c r="J73" s="2792"/>
      <c r="K73" s="2792"/>
      <c r="L73" s="2792"/>
      <c r="M73" s="2792"/>
      <c r="N73" s="2792"/>
      <c r="O73" s="2863"/>
      <c r="P73" s="2863"/>
      <c r="Q73" s="2863"/>
      <c r="R73" s="2863"/>
      <c r="S73" s="2863"/>
      <c r="T73" s="2863"/>
      <c r="U73" s="2863"/>
      <c r="V73" s="2863"/>
      <c r="W73" s="2863"/>
      <c r="X73" s="2863"/>
      <c r="Y73" s="2863"/>
      <c r="Z73" s="2863"/>
      <c r="AA73" s="2864"/>
      <c r="AB73" s="1523"/>
      <c r="AC73" s="2794"/>
      <c r="AD73" s="2792"/>
      <c r="AE73" s="2792"/>
      <c r="AF73" s="2792"/>
      <c r="AG73" s="2792"/>
      <c r="AH73" s="2792"/>
      <c r="AI73" s="2792"/>
      <c r="AJ73" s="2792"/>
      <c r="AK73" s="2792"/>
      <c r="AL73" s="2792"/>
      <c r="AM73" s="2792"/>
      <c r="AN73" s="2792"/>
      <c r="AO73" s="2792"/>
      <c r="AP73" s="2792"/>
      <c r="AQ73" s="2792"/>
      <c r="AR73" s="2792"/>
      <c r="AS73" s="2792"/>
      <c r="AT73" s="2792"/>
      <c r="AU73" s="2792"/>
      <c r="AV73" s="2792"/>
      <c r="AW73" s="2792"/>
      <c r="AX73" s="2792"/>
      <c r="AY73" s="2792"/>
      <c r="AZ73" s="2792"/>
      <c r="BA73" s="2792"/>
      <c r="BB73" s="2792"/>
      <c r="BC73" s="2793"/>
      <c r="BD73" s="1523"/>
      <c r="BE73" s="1529"/>
    </row>
    <row r="74" spans="1:57" ht="15.75" customHeight="1" thickBot="1">
      <c r="A74" s="1802"/>
      <c r="B74" s="2794"/>
      <c r="C74" s="2792"/>
      <c r="D74" s="2792"/>
      <c r="E74" s="2792"/>
      <c r="F74" s="2792"/>
      <c r="G74" s="2792"/>
      <c r="H74" s="2792"/>
      <c r="I74" s="2792"/>
      <c r="J74" s="2792"/>
      <c r="K74" s="2792"/>
      <c r="L74" s="2792"/>
      <c r="M74" s="2792"/>
      <c r="N74" s="2792"/>
      <c r="O74" s="2881"/>
      <c r="P74" s="2881"/>
      <c r="Q74" s="2881"/>
      <c r="R74" s="2881"/>
      <c r="S74" s="2881"/>
      <c r="T74" s="2881"/>
      <c r="U74" s="2881"/>
      <c r="V74" s="2881"/>
      <c r="W74" s="2881"/>
      <c r="X74" s="2881"/>
      <c r="Y74" s="2881"/>
      <c r="Z74" s="2881"/>
      <c r="AA74" s="2882"/>
      <c r="AB74" s="1523"/>
      <c r="AC74" s="2794"/>
      <c r="AD74" s="2792"/>
      <c r="AE74" s="2792"/>
      <c r="AF74" s="2792"/>
      <c r="AG74" s="2792"/>
      <c r="AH74" s="2792"/>
      <c r="AI74" s="2792"/>
      <c r="AJ74" s="2792"/>
      <c r="AK74" s="2792"/>
      <c r="AL74" s="2792"/>
      <c r="AM74" s="2792"/>
      <c r="AN74" s="2792"/>
      <c r="AO74" s="2792"/>
      <c r="AP74" s="2792"/>
      <c r="AQ74" s="2792"/>
      <c r="AR74" s="2792"/>
      <c r="AS74" s="2792"/>
      <c r="AT74" s="2792"/>
      <c r="AU74" s="2792"/>
      <c r="AV74" s="2792"/>
      <c r="AW74" s="2792"/>
      <c r="AX74" s="2792"/>
      <c r="AY74" s="2792"/>
      <c r="AZ74" s="2792"/>
      <c r="BA74" s="2792"/>
      <c r="BB74" s="2792"/>
      <c r="BC74" s="2793"/>
      <c r="BD74" s="1523"/>
      <c r="BE74" s="1529"/>
    </row>
    <row r="75" spans="1:57" ht="15.75" customHeight="1" thickTop="1" thickBot="1">
      <c r="A75" s="1802"/>
      <c r="B75" s="2883" t="s">
        <v>129</v>
      </c>
      <c r="C75" s="2884"/>
      <c r="D75" s="2884"/>
      <c r="E75" s="2884"/>
      <c r="F75" s="2884"/>
      <c r="G75" s="2884"/>
      <c r="H75" s="2884"/>
      <c r="I75" s="2884"/>
      <c r="J75" s="2884"/>
      <c r="K75" s="2884"/>
      <c r="L75" s="2884"/>
      <c r="M75" s="2884"/>
      <c r="N75" s="2884"/>
      <c r="O75" s="2885">
        <f>SUM(O70:AA74)</f>
        <v>0</v>
      </c>
      <c r="P75" s="2886"/>
      <c r="Q75" s="2886"/>
      <c r="R75" s="2886"/>
      <c r="S75" s="2886"/>
      <c r="T75" s="2886"/>
      <c r="U75" s="2886"/>
      <c r="V75" s="2886"/>
      <c r="W75" s="2886"/>
      <c r="X75" s="2886"/>
      <c r="Y75" s="2886"/>
      <c r="Z75" s="2886"/>
      <c r="AA75" s="2887"/>
      <c r="AB75" s="1523"/>
      <c r="AC75" s="2794"/>
      <c r="AD75" s="2792"/>
      <c r="AE75" s="2792"/>
      <c r="AF75" s="2792"/>
      <c r="AG75" s="2792"/>
      <c r="AH75" s="2792"/>
      <c r="AI75" s="2792"/>
      <c r="AJ75" s="2792"/>
      <c r="AK75" s="2792"/>
      <c r="AL75" s="2792"/>
      <c r="AM75" s="2792"/>
      <c r="AN75" s="2792"/>
      <c r="AO75" s="2792"/>
      <c r="AP75" s="2792"/>
      <c r="AQ75" s="2792"/>
      <c r="AR75" s="2792"/>
      <c r="AS75" s="2792"/>
      <c r="AT75" s="2792"/>
      <c r="AU75" s="2792"/>
      <c r="AV75" s="2792"/>
      <c r="AW75" s="2792"/>
      <c r="AX75" s="2792"/>
      <c r="AY75" s="2792"/>
      <c r="AZ75" s="2792"/>
      <c r="BA75" s="2792"/>
      <c r="BB75" s="2792"/>
      <c r="BC75" s="2793"/>
      <c r="BD75" s="1523"/>
      <c r="BE75" s="1529"/>
    </row>
    <row r="76" spans="1:57" ht="15.75" customHeight="1">
      <c r="A76" s="1802"/>
      <c r="B76" s="1523"/>
      <c r="C76" s="1523"/>
      <c r="D76" s="1523"/>
      <c r="E76" s="1523"/>
      <c r="F76" s="1523"/>
      <c r="G76" s="1523"/>
      <c r="H76" s="1523"/>
      <c r="I76" s="1523"/>
      <c r="J76" s="1523"/>
      <c r="K76" s="1523"/>
      <c r="L76" s="1523"/>
      <c r="M76" s="1523"/>
      <c r="N76" s="1523"/>
      <c r="O76" s="1523"/>
      <c r="P76" s="1523"/>
      <c r="Q76" s="1523"/>
      <c r="R76" s="1523"/>
      <c r="S76" s="1523"/>
      <c r="T76" s="1523"/>
      <c r="U76" s="1523"/>
      <c r="V76" s="1523"/>
      <c r="W76" s="1523"/>
      <c r="X76" s="1523"/>
      <c r="Y76" s="1523"/>
      <c r="Z76" s="1523"/>
      <c r="AA76" s="1523"/>
      <c r="AB76" s="1523"/>
      <c r="AC76" s="2794"/>
      <c r="AD76" s="2792"/>
      <c r="AE76" s="2792"/>
      <c r="AF76" s="2792"/>
      <c r="AG76" s="2792"/>
      <c r="AH76" s="2792"/>
      <c r="AI76" s="2792"/>
      <c r="AJ76" s="2792"/>
      <c r="AK76" s="2792"/>
      <c r="AL76" s="2792"/>
      <c r="AM76" s="2792"/>
      <c r="AN76" s="2792"/>
      <c r="AO76" s="2792"/>
      <c r="AP76" s="2792"/>
      <c r="AQ76" s="2792"/>
      <c r="AR76" s="2792"/>
      <c r="AS76" s="2792"/>
      <c r="AT76" s="2792"/>
      <c r="AU76" s="2792"/>
      <c r="AV76" s="2792"/>
      <c r="AW76" s="2792"/>
      <c r="AX76" s="2792"/>
      <c r="AY76" s="2792"/>
      <c r="AZ76" s="2792"/>
      <c r="BA76" s="2792"/>
      <c r="BB76" s="2792"/>
      <c r="BC76" s="2793"/>
      <c r="BD76" s="1523"/>
      <c r="BE76" s="1529"/>
    </row>
    <row r="77" spans="1:57" ht="15.75" customHeight="1" thickBot="1">
      <c r="A77" s="1802"/>
      <c r="B77" s="1534" t="s">
        <v>2085</v>
      </c>
      <c r="C77" s="1535"/>
      <c r="D77" s="1535"/>
      <c r="E77" s="1535"/>
      <c r="F77" s="1535"/>
      <c r="G77" s="1535"/>
      <c r="H77" s="1535"/>
      <c r="I77" s="1535"/>
      <c r="J77" s="1535"/>
      <c r="K77" s="1535"/>
      <c r="L77" s="1535"/>
      <c r="M77" s="1535"/>
      <c r="N77" s="1535"/>
      <c r="O77" s="1535"/>
      <c r="P77" s="1535"/>
      <c r="Q77" s="1523"/>
      <c r="R77" s="1523"/>
      <c r="S77" s="1523"/>
      <c r="T77" s="1523"/>
      <c r="U77" s="1523"/>
      <c r="V77" s="1523"/>
      <c r="W77" s="1523"/>
      <c r="X77" s="1523"/>
      <c r="Y77" s="1523"/>
      <c r="Z77" s="1523"/>
      <c r="AA77" s="1523"/>
      <c r="AB77" s="1523"/>
      <c r="AC77" s="2811"/>
      <c r="AD77" s="2809"/>
      <c r="AE77" s="2809"/>
      <c r="AF77" s="2809"/>
      <c r="AG77" s="2809"/>
      <c r="AH77" s="2809"/>
      <c r="AI77" s="2809"/>
      <c r="AJ77" s="2809"/>
      <c r="AK77" s="2809"/>
      <c r="AL77" s="2809"/>
      <c r="AM77" s="2809"/>
      <c r="AN77" s="2809"/>
      <c r="AO77" s="2809"/>
      <c r="AP77" s="2809"/>
      <c r="AQ77" s="2809"/>
      <c r="AR77" s="2809"/>
      <c r="AS77" s="2809"/>
      <c r="AT77" s="2809"/>
      <c r="AU77" s="2809"/>
      <c r="AV77" s="2809"/>
      <c r="AW77" s="2809"/>
      <c r="AX77" s="2809"/>
      <c r="AY77" s="2809"/>
      <c r="AZ77" s="2809"/>
      <c r="BA77" s="2809"/>
      <c r="BB77" s="2809"/>
      <c r="BC77" s="2810"/>
      <c r="BD77" s="1523"/>
      <c r="BE77" s="1529"/>
    </row>
    <row r="78" spans="1:57" ht="15.75" customHeight="1" thickBot="1">
      <c r="A78" s="1802"/>
      <c r="B78" s="1523"/>
      <c r="C78" s="1523"/>
      <c r="D78" s="1523"/>
      <c r="E78" s="1523"/>
      <c r="F78" s="1523"/>
      <c r="G78" s="1523"/>
      <c r="H78" s="1523"/>
      <c r="I78" s="1523"/>
      <c r="J78" s="1523"/>
      <c r="K78" s="1523"/>
      <c r="L78" s="1523"/>
      <c r="M78" s="1523"/>
      <c r="N78" s="1523"/>
      <c r="O78" s="1523"/>
      <c r="P78" s="1523"/>
      <c r="Q78" s="1523"/>
      <c r="R78" s="1523"/>
      <c r="S78" s="1523"/>
      <c r="T78" s="1523"/>
      <c r="U78" s="1523"/>
      <c r="V78" s="1523"/>
      <c r="W78" s="1523"/>
      <c r="X78" s="1523"/>
      <c r="Y78" s="1523"/>
      <c r="Z78" s="1523"/>
      <c r="AA78" s="1523"/>
      <c r="AB78" s="1523"/>
      <c r="AC78" s="1523"/>
      <c r="AD78" s="1523"/>
      <c r="AE78" s="1523"/>
      <c r="AF78" s="1523"/>
      <c r="AG78" s="1523"/>
      <c r="AH78" s="1523"/>
      <c r="AI78" s="1523"/>
      <c r="AJ78" s="1523"/>
      <c r="AK78" s="1523"/>
      <c r="AL78" s="1523"/>
      <c r="AM78" s="1523"/>
      <c r="AN78" s="1523"/>
      <c r="AO78" s="1523"/>
      <c r="AP78" s="1523"/>
      <c r="AQ78" s="1523"/>
      <c r="AR78" s="1523"/>
      <c r="AS78" s="1523"/>
      <c r="AT78" s="1523"/>
      <c r="AU78" s="1523"/>
      <c r="AV78" s="1523"/>
      <c r="AW78" s="1523"/>
      <c r="AX78" s="1523"/>
      <c r="AY78" s="1523"/>
      <c r="AZ78" s="1523"/>
      <c r="BA78" s="1523"/>
      <c r="BB78" s="1523"/>
      <c r="BC78" s="1523"/>
      <c r="BD78" s="1523"/>
      <c r="BE78" s="1529"/>
    </row>
    <row r="79" spans="1:57" ht="15.75" customHeight="1" thickBot="1">
      <c r="A79" s="1802"/>
      <c r="B79" s="2683" t="s">
        <v>2086</v>
      </c>
      <c r="C79" s="2684"/>
      <c r="D79" s="2684"/>
      <c r="E79" s="2684"/>
      <c r="F79" s="2684"/>
      <c r="G79" s="2684"/>
      <c r="H79" s="2684"/>
      <c r="I79" s="2684"/>
      <c r="J79" s="2684"/>
      <c r="K79" s="2684"/>
      <c r="L79" s="2684"/>
      <c r="M79" s="2684"/>
      <c r="N79" s="2684"/>
      <c r="O79" s="2684"/>
      <c r="P79" s="2684"/>
      <c r="Q79" s="2684"/>
      <c r="R79" s="2684"/>
      <c r="S79" s="2684"/>
      <c r="T79" s="2684"/>
      <c r="U79" s="2684"/>
      <c r="V79" s="2684"/>
      <c r="W79" s="2684"/>
      <c r="X79" s="2684"/>
      <c r="Y79" s="2684"/>
      <c r="Z79" s="2684"/>
      <c r="AA79" s="2684"/>
      <c r="AB79" s="2873"/>
      <c r="AC79" s="2873"/>
      <c r="AD79" s="2873"/>
      <c r="AE79" s="2873"/>
      <c r="AF79" s="2873"/>
      <c r="AG79" s="2874"/>
      <c r="AH79" s="1523"/>
      <c r="AI79" s="1523"/>
      <c r="AJ79" s="1523"/>
      <c r="AK79" s="1523"/>
      <c r="AL79" s="1523"/>
      <c r="AM79" s="1523"/>
      <c r="AN79" s="1523"/>
      <c r="AO79" s="1523"/>
      <c r="AP79" s="1523"/>
      <c r="AQ79" s="1523"/>
      <c r="AR79" s="1523"/>
      <c r="AS79" s="1523"/>
      <c r="AT79" s="1523"/>
      <c r="AU79" s="1523"/>
      <c r="AV79" s="1523"/>
      <c r="AW79" s="1523"/>
      <c r="AX79" s="1523"/>
      <c r="AY79" s="1523"/>
      <c r="AZ79" s="1523"/>
      <c r="BA79" s="1523"/>
      <c r="BB79" s="1523"/>
      <c r="BC79" s="1523"/>
      <c r="BD79" s="1523"/>
      <c r="BE79" s="1529"/>
    </row>
    <row r="80" spans="1:57" ht="15.75" customHeight="1" thickBot="1">
      <c r="A80" s="1802"/>
      <c r="B80" s="2683"/>
      <c r="C80" s="2684"/>
      <c r="D80" s="2684"/>
      <c r="E80" s="2684"/>
      <c r="F80" s="2684"/>
      <c r="G80" s="2684"/>
      <c r="H80" s="2685"/>
      <c r="I80" s="2875" t="s">
        <v>2087</v>
      </c>
      <c r="J80" s="2876"/>
      <c r="K80" s="2876"/>
      <c r="L80" s="2876"/>
      <c r="M80" s="2876"/>
      <c r="N80" s="2877"/>
      <c r="O80" s="2875" t="s">
        <v>2088</v>
      </c>
      <c r="P80" s="2876"/>
      <c r="Q80" s="2876"/>
      <c r="R80" s="2876"/>
      <c r="S80" s="2876"/>
      <c r="T80" s="2876"/>
      <c r="U80" s="2877"/>
      <c r="V80" s="2875" t="s">
        <v>2089</v>
      </c>
      <c r="W80" s="2876"/>
      <c r="X80" s="2876"/>
      <c r="Y80" s="2876"/>
      <c r="Z80" s="2876"/>
      <c r="AA80" s="2877"/>
      <c r="AB80" s="2875" t="s">
        <v>2090</v>
      </c>
      <c r="AC80" s="2876"/>
      <c r="AD80" s="2876"/>
      <c r="AE80" s="2876"/>
      <c r="AF80" s="2876"/>
      <c r="AG80" s="2877"/>
      <c r="AH80" s="1523"/>
      <c r="AI80" s="1523"/>
      <c r="AJ80" s="1523"/>
      <c r="AK80" s="1523"/>
      <c r="AL80" s="1523"/>
      <c r="AM80" s="1523"/>
      <c r="AN80" s="1523"/>
      <c r="AO80" s="1523"/>
      <c r="AP80" s="1523"/>
      <c r="AQ80" s="1523"/>
      <c r="AR80" s="1523"/>
      <c r="AS80" s="1523"/>
      <c r="AT80" s="1523"/>
      <c r="AU80" s="1523"/>
      <c r="AV80" s="1523"/>
      <c r="AW80" s="1523"/>
      <c r="AX80" s="1523"/>
      <c r="AY80" s="1523"/>
      <c r="AZ80" s="1523"/>
      <c r="BA80" s="1523"/>
      <c r="BB80" s="1523"/>
      <c r="BC80" s="1523"/>
      <c r="BD80" s="1523"/>
      <c r="BE80" s="1529"/>
    </row>
    <row r="81" spans="1:57" ht="15.75" customHeight="1" thickBot="1">
      <c r="A81" s="1802"/>
      <c r="B81" s="2875" t="s">
        <v>2091</v>
      </c>
      <c r="C81" s="2876"/>
      <c r="D81" s="2876"/>
      <c r="E81" s="2876"/>
      <c r="F81" s="2876"/>
      <c r="G81" s="2876"/>
      <c r="H81" s="2877"/>
      <c r="I81" s="2894"/>
      <c r="J81" s="2895"/>
      <c r="K81" s="2895"/>
      <c r="L81" s="2895"/>
      <c r="M81" s="2895"/>
      <c r="N81" s="2895"/>
      <c r="O81" s="2895"/>
      <c r="P81" s="2895"/>
      <c r="Q81" s="2895"/>
      <c r="R81" s="2895"/>
      <c r="S81" s="2895"/>
      <c r="T81" s="2895"/>
      <c r="U81" s="2895"/>
      <c r="V81" s="2895"/>
      <c r="W81" s="2895"/>
      <c r="X81" s="2895"/>
      <c r="Y81" s="2895"/>
      <c r="Z81" s="2895"/>
      <c r="AA81" s="2896"/>
      <c r="AB81" s="2895"/>
      <c r="AC81" s="2895"/>
      <c r="AD81" s="2895"/>
      <c r="AE81" s="2895"/>
      <c r="AF81" s="2895"/>
      <c r="AG81" s="2896"/>
      <c r="AH81" s="1523"/>
      <c r="AI81" s="1523"/>
      <c r="AJ81" s="1523"/>
      <c r="AK81" s="1523" t="s">
        <v>256</v>
      </c>
      <c r="AL81" s="1523"/>
      <c r="AM81" s="1523"/>
      <c r="AN81" s="1523"/>
      <c r="AO81" s="1523"/>
      <c r="AP81" s="1523"/>
      <c r="AQ81" s="1523"/>
      <c r="AR81" s="1523"/>
      <c r="AS81" s="1523"/>
      <c r="AT81" s="1523"/>
      <c r="AU81" s="1523"/>
      <c r="AV81" s="1523"/>
      <c r="AW81" s="1523"/>
      <c r="AX81" s="1523"/>
      <c r="AY81" s="1523"/>
      <c r="AZ81" s="1523"/>
      <c r="BA81" s="1523"/>
      <c r="BB81" s="1523"/>
      <c r="BC81" s="1523"/>
      <c r="BD81" s="1523"/>
      <c r="BE81" s="1529"/>
    </row>
    <row r="82" spans="1:57" ht="15.75" customHeight="1" thickBot="1">
      <c r="A82" s="1802"/>
      <c r="B82" s="2875" t="s">
        <v>2092</v>
      </c>
      <c r="C82" s="2876"/>
      <c r="D82" s="2876"/>
      <c r="E82" s="2876"/>
      <c r="F82" s="2876"/>
      <c r="G82" s="2876"/>
      <c r="H82" s="2877"/>
      <c r="I82" s="2897"/>
      <c r="J82" s="2898"/>
      <c r="K82" s="2898"/>
      <c r="L82" s="2898"/>
      <c r="M82" s="2898"/>
      <c r="N82" s="2898"/>
      <c r="O82" s="2898"/>
      <c r="P82" s="2898"/>
      <c r="Q82" s="2898"/>
      <c r="R82" s="2898"/>
      <c r="S82" s="2898"/>
      <c r="T82" s="2898"/>
      <c r="U82" s="2898"/>
      <c r="V82" s="2898"/>
      <c r="W82" s="2898"/>
      <c r="X82" s="2898"/>
      <c r="Y82" s="2898"/>
      <c r="Z82" s="2898"/>
      <c r="AA82" s="2899"/>
      <c r="AB82" s="2898"/>
      <c r="AC82" s="2898"/>
      <c r="AD82" s="2898"/>
      <c r="AE82" s="2898"/>
      <c r="AF82" s="2898"/>
      <c r="AG82" s="2899"/>
      <c r="AH82" s="1523"/>
      <c r="AI82" s="1523"/>
      <c r="AJ82" s="1523"/>
      <c r="AK82" s="1523"/>
      <c r="AL82" s="1523"/>
      <c r="AM82" s="1523"/>
      <c r="AN82" s="1523"/>
      <c r="AO82" s="1523"/>
      <c r="AP82" s="1523"/>
      <c r="AQ82" s="1523"/>
      <c r="AR82" s="1523"/>
      <c r="AS82" s="1523"/>
      <c r="AT82" s="1523"/>
      <c r="AU82" s="1523"/>
      <c r="AV82" s="1523"/>
      <c r="AW82" s="1523"/>
      <c r="AX82" s="1523"/>
      <c r="AY82" s="1523"/>
      <c r="AZ82" s="1523"/>
      <c r="BA82" s="1523"/>
      <c r="BB82" s="1523"/>
      <c r="BC82" s="1523"/>
      <c r="BD82" s="1523"/>
      <c r="BE82" s="1529"/>
    </row>
    <row r="83" spans="1:57" ht="15.75" customHeight="1">
      <c r="A83" s="1802"/>
      <c r="B83" s="1523"/>
      <c r="C83" s="1523"/>
      <c r="D83" s="1523"/>
      <c r="E83" s="1523"/>
      <c r="F83" s="1523"/>
      <c r="G83" s="1523"/>
      <c r="H83" s="1523"/>
      <c r="I83" s="1523"/>
      <c r="J83" s="1523"/>
      <c r="K83" s="1523"/>
      <c r="L83" s="1523"/>
      <c r="M83" s="1523"/>
      <c r="N83" s="1523"/>
      <c r="O83" s="1523"/>
      <c r="P83" s="1523"/>
      <c r="Q83" s="1523"/>
      <c r="R83" s="1523"/>
      <c r="S83" s="1523"/>
      <c r="T83" s="1523"/>
      <c r="U83" s="1523"/>
      <c r="V83" s="1523"/>
      <c r="W83" s="1523"/>
      <c r="X83" s="1523"/>
      <c r="Y83" s="1523"/>
      <c r="Z83" s="1523"/>
      <c r="AA83" s="1523"/>
      <c r="AB83" s="1523"/>
      <c r="AC83" s="1523"/>
      <c r="AD83" s="1523"/>
      <c r="AE83" s="1523"/>
      <c r="AF83" s="1523"/>
      <c r="AG83" s="1523"/>
      <c r="AH83" s="1523"/>
      <c r="AI83" s="1523"/>
      <c r="AJ83" s="1523"/>
      <c r="AK83" s="1523"/>
      <c r="AL83" s="1523"/>
      <c r="AM83" s="1523"/>
      <c r="AN83" s="1523"/>
      <c r="AO83" s="1523"/>
      <c r="AP83" s="1523"/>
      <c r="AQ83" s="1523"/>
      <c r="AR83" s="1523"/>
      <c r="AS83" s="1523"/>
      <c r="AT83" s="1523"/>
      <c r="AU83" s="1523"/>
      <c r="AV83" s="1523"/>
      <c r="AW83" s="1523"/>
      <c r="AX83" s="1523"/>
      <c r="AY83" s="1523"/>
      <c r="AZ83" s="1523"/>
      <c r="BA83" s="1523"/>
      <c r="BB83" s="1523"/>
      <c r="BC83" s="1523"/>
      <c r="BD83" s="1523"/>
      <c r="BE83" s="1529"/>
    </row>
    <row r="84" spans="1:57" ht="15.75" customHeight="1">
      <c r="A84" s="1802"/>
      <c r="B84" s="1533" t="s">
        <v>2093</v>
      </c>
      <c r="P84" s="1523"/>
      <c r="Q84" s="1523"/>
      <c r="R84" s="1523"/>
      <c r="S84" s="1523"/>
      <c r="T84" s="1523"/>
      <c r="U84" s="1523"/>
      <c r="V84" s="1523"/>
      <c r="W84" s="1523"/>
      <c r="X84" s="1523"/>
      <c r="Y84" s="1523"/>
      <c r="Z84" s="1523"/>
      <c r="AA84" s="1523"/>
      <c r="AB84" s="1523"/>
      <c r="AC84" s="1523"/>
      <c r="AD84" s="1523"/>
      <c r="AE84" s="1523"/>
      <c r="AF84" s="1523"/>
      <c r="AG84" s="1523"/>
      <c r="AH84" s="1523"/>
      <c r="AI84" s="1523"/>
      <c r="AJ84" s="1523"/>
      <c r="AK84" s="1523"/>
      <c r="AL84" s="1523"/>
      <c r="AM84" s="1523"/>
      <c r="AN84" s="1523"/>
      <c r="AO84" s="1523"/>
      <c r="AP84" s="1523"/>
      <c r="AQ84" s="1523"/>
      <c r="AR84" s="1523"/>
      <c r="AS84" s="1523"/>
      <c r="AT84" s="1523"/>
      <c r="AU84" s="1523"/>
      <c r="AV84" s="1523"/>
      <c r="AW84" s="1523"/>
      <c r="AX84" s="1523"/>
      <c r="AY84" s="1523"/>
      <c r="AZ84" s="1523"/>
      <c r="BA84" s="1523"/>
      <c r="BB84" s="1523"/>
      <c r="BC84" s="1523"/>
      <c r="BD84" s="1523"/>
      <c r="BE84" s="1529"/>
    </row>
    <row r="85" spans="1:57" ht="15.75" customHeight="1" thickBot="1">
      <c r="A85" s="1802"/>
      <c r="B85" s="1523"/>
      <c r="C85" s="1523"/>
      <c r="D85" s="1523"/>
      <c r="E85" s="1523"/>
      <c r="F85" s="1523"/>
      <c r="G85" s="1523"/>
      <c r="H85" s="1523"/>
      <c r="I85" s="1523"/>
      <c r="J85" s="1523"/>
      <c r="K85" s="1523"/>
      <c r="L85" s="1523"/>
      <c r="M85" s="1523"/>
      <c r="N85" s="1523"/>
      <c r="O85" s="1523"/>
      <c r="P85" s="1536"/>
      <c r="Q85" s="1523"/>
      <c r="R85" s="1523"/>
      <c r="S85" s="1523"/>
      <c r="T85" s="1523"/>
      <c r="U85" s="1523"/>
      <c r="V85" s="1523"/>
      <c r="W85" s="1523"/>
      <c r="X85" s="1523"/>
      <c r="Y85" s="1523"/>
      <c r="Z85" s="1523"/>
      <c r="AA85" s="1523"/>
      <c r="AB85" s="1523"/>
      <c r="AC85" s="1523"/>
      <c r="AD85" s="1523"/>
      <c r="AE85" s="1523"/>
      <c r="AF85" s="1523"/>
      <c r="AG85" s="1523"/>
      <c r="AH85" s="1523"/>
      <c r="AI85" s="1523"/>
      <c r="AJ85" s="1523"/>
      <c r="AK85" s="1523"/>
      <c r="AL85" s="1523"/>
      <c r="AM85" s="1523"/>
      <c r="AN85" s="1523"/>
      <c r="AO85" s="1523"/>
      <c r="AP85" s="1523"/>
      <c r="AQ85" s="1523"/>
      <c r="AR85" s="1523"/>
      <c r="AS85" s="1523"/>
      <c r="AT85" s="1523"/>
      <c r="AU85" s="1523"/>
      <c r="AV85" s="1523"/>
      <c r="AW85" s="1523"/>
      <c r="AX85" s="1523"/>
      <c r="AY85" s="1523"/>
      <c r="AZ85" s="1523"/>
      <c r="BA85" s="1523"/>
      <c r="BB85" s="1523"/>
      <c r="BC85" s="1523"/>
      <c r="BD85" s="1523"/>
      <c r="BE85" s="1529"/>
    </row>
    <row r="86" spans="1:57" ht="15.75" customHeight="1" thickBot="1">
      <c r="A86" s="1802"/>
      <c r="B86" s="2888" t="s">
        <v>2094</v>
      </c>
      <c r="C86" s="2889"/>
      <c r="D86" s="2889"/>
      <c r="E86" s="2889"/>
      <c r="F86" s="2889"/>
      <c r="G86" s="2889"/>
      <c r="H86" s="2889"/>
      <c r="I86" s="2889"/>
      <c r="J86" s="2889"/>
      <c r="K86" s="2889"/>
      <c r="L86" s="2889"/>
      <c r="M86" s="2889"/>
      <c r="N86" s="2889"/>
      <c r="O86" s="2889"/>
      <c r="P86" s="2889"/>
      <c r="Q86" s="2889"/>
      <c r="R86" s="2889"/>
      <c r="S86" s="2889"/>
      <c r="T86" s="2889"/>
      <c r="U86" s="2889"/>
      <c r="V86" s="2889"/>
      <c r="W86" s="2889"/>
      <c r="X86" s="2889"/>
      <c r="Y86" s="2889"/>
      <c r="Z86" s="2889"/>
      <c r="AA86" s="2889"/>
      <c r="AB86" s="2889"/>
      <c r="AC86" s="2889"/>
      <c r="AD86" s="2889"/>
      <c r="AE86" s="2889"/>
      <c r="AF86" s="2889"/>
      <c r="AG86" s="2889"/>
      <c r="AH86" s="2890"/>
      <c r="AI86" s="1523"/>
      <c r="AJ86" s="1523"/>
      <c r="AK86" s="1523"/>
      <c r="AL86" s="1523"/>
      <c r="AM86" s="1523"/>
      <c r="AN86" s="1523"/>
      <c r="AO86" s="1523"/>
      <c r="AP86" s="1523"/>
      <c r="AQ86" s="1523"/>
      <c r="AR86" s="1523"/>
      <c r="AS86" s="1523"/>
      <c r="AT86" s="1523"/>
      <c r="AU86" s="1523"/>
      <c r="AV86" s="1523"/>
      <c r="AW86" s="1523"/>
      <c r="AX86" s="1523"/>
      <c r="AY86" s="1523"/>
      <c r="AZ86" s="1523"/>
      <c r="BA86" s="1523"/>
      <c r="BB86" s="1523"/>
      <c r="BC86" s="1523"/>
      <c r="BD86" s="1523"/>
      <c r="BE86" s="1529"/>
    </row>
    <row r="87" spans="1:57" ht="15.75" customHeight="1" thickBot="1">
      <c r="A87" s="1802"/>
      <c r="B87" s="2683"/>
      <c r="C87" s="2684"/>
      <c r="D87" s="2684"/>
      <c r="E87" s="2684"/>
      <c r="F87" s="2684"/>
      <c r="G87" s="2684"/>
      <c r="H87" s="2685"/>
      <c r="I87" s="2875" t="s">
        <v>2087</v>
      </c>
      <c r="J87" s="2876"/>
      <c r="K87" s="2876"/>
      <c r="L87" s="2876"/>
      <c r="M87" s="2876"/>
      <c r="N87" s="2877"/>
      <c r="O87" s="2875" t="s">
        <v>2088</v>
      </c>
      <c r="P87" s="2876"/>
      <c r="Q87" s="2876"/>
      <c r="R87" s="2876"/>
      <c r="S87" s="2876"/>
      <c r="T87" s="2876"/>
      <c r="U87" s="2877"/>
      <c r="V87" s="2875" t="s">
        <v>2089</v>
      </c>
      <c r="W87" s="2876"/>
      <c r="X87" s="2876"/>
      <c r="Y87" s="2876"/>
      <c r="Z87" s="2876"/>
      <c r="AA87" s="2877"/>
      <c r="AB87" s="2891" t="s">
        <v>2090</v>
      </c>
      <c r="AC87" s="2892"/>
      <c r="AD87" s="2892"/>
      <c r="AE87" s="2892"/>
      <c r="AF87" s="2892"/>
      <c r="AG87" s="2892"/>
      <c r="AH87" s="2893"/>
      <c r="AI87" s="1523"/>
      <c r="AJ87" s="1523"/>
      <c r="AK87" s="1523"/>
      <c r="AL87" s="1523"/>
      <c r="AM87" s="1523"/>
      <c r="AN87" s="1523"/>
      <c r="AO87" s="1523"/>
      <c r="AP87" s="1523"/>
      <c r="AQ87" s="1523"/>
      <c r="AR87" s="1523"/>
      <c r="AS87" s="1523"/>
      <c r="AT87" s="1523"/>
      <c r="AU87" s="1523"/>
      <c r="AV87" s="1523"/>
      <c r="AW87" s="1523"/>
      <c r="AX87" s="1523"/>
      <c r="AY87" s="1523"/>
      <c r="AZ87" s="1523"/>
      <c r="BA87" s="1523"/>
      <c r="BB87" s="1523"/>
      <c r="BC87" s="1523"/>
      <c r="BD87" s="1523"/>
      <c r="BE87" s="1529"/>
    </row>
    <row r="88" spans="1:57" ht="15.75" customHeight="1" thickBot="1">
      <c r="A88" s="1802"/>
      <c r="B88" s="2875" t="s">
        <v>2091</v>
      </c>
      <c r="C88" s="2876"/>
      <c r="D88" s="2876"/>
      <c r="E88" s="2876"/>
      <c r="F88" s="2876"/>
      <c r="G88" s="2876"/>
      <c r="H88" s="2877"/>
      <c r="I88" s="2894"/>
      <c r="J88" s="2895"/>
      <c r="K88" s="2895"/>
      <c r="L88" s="2895"/>
      <c r="M88" s="2895"/>
      <c r="N88" s="2895"/>
      <c r="O88" s="2895"/>
      <c r="P88" s="2895"/>
      <c r="Q88" s="2895"/>
      <c r="R88" s="2895"/>
      <c r="S88" s="2895"/>
      <c r="T88" s="2895"/>
      <c r="U88" s="2895"/>
      <c r="V88" s="2895"/>
      <c r="W88" s="2895"/>
      <c r="X88" s="2895"/>
      <c r="Y88" s="2895"/>
      <c r="Z88" s="2895"/>
      <c r="AA88" s="2900"/>
      <c r="AB88" s="2867"/>
      <c r="AC88" s="2867"/>
      <c r="AD88" s="2867"/>
      <c r="AE88" s="2867"/>
      <c r="AF88" s="2867"/>
      <c r="AG88" s="2867"/>
      <c r="AH88" s="2868"/>
      <c r="AI88" s="1523"/>
      <c r="AJ88" s="1523"/>
      <c r="AK88" s="1523"/>
      <c r="AL88" s="1523"/>
      <c r="AM88" s="1523"/>
      <c r="AN88" s="1523"/>
      <c r="AO88" s="1523"/>
      <c r="AP88" s="1523"/>
      <c r="AQ88" s="1523"/>
      <c r="AR88" s="1523"/>
      <c r="AS88" s="1523"/>
      <c r="AT88" s="1523"/>
      <c r="AU88" s="1523"/>
      <c r="AV88" s="1523"/>
      <c r="AW88" s="1523"/>
      <c r="AX88" s="1523"/>
      <c r="AY88" s="1523"/>
      <c r="AZ88" s="1523"/>
      <c r="BA88" s="1523"/>
      <c r="BB88" s="1523"/>
      <c r="BC88" s="1523"/>
      <c r="BD88" s="1523"/>
      <c r="BE88" s="1529"/>
    </row>
    <row r="89" spans="1:57" ht="15.75" customHeight="1" thickBot="1">
      <c r="A89" s="1802"/>
      <c r="B89" s="2875" t="s">
        <v>2092</v>
      </c>
      <c r="C89" s="2876"/>
      <c r="D89" s="2876"/>
      <c r="E89" s="2876"/>
      <c r="F89" s="2876"/>
      <c r="G89" s="2876"/>
      <c r="H89" s="2877"/>
      <c r="I89" s="2897"/>
      <c r="J89" s="2898"/>
      <c r="K89" s="2898"/>
      <c r="L89" s="2898"/>
      <c r="M89" s="2898"/>
      <c r="N89" s="2898"/>
      <c r="O89" s="2898"/>
      <c r="P89" s="2898"/>
      <c r="Q89" s="2898"/>
      <c r="R89" s="2898"/>
      <c r="S89" s="2898"/>
      <c r="T89" s="2898"/>
      <c r="U89" s="2898"/>
      <c r="V89" s="2898"/>
      <c r="W89" s="2898"/>
      <c r="X89" s="2898"/>
      <c r="Y89" s="2898"/>
      <c r="Z89" s="2898"/>
      <c r="AA89" s="2901"/>
      <c r="AB89" s="2809"/>
      <c r="AC89" s="2809"/>
      <c r="AD89" s="2809"/>
      <c r="AE89" s="2809"/>
      <c r="AF89" s="2809"/>
      <c r="AG89" s="2809"/>
      <c r="AH89" s="2810"/>
      <c r="AI89" s="1523"/>
      <c r="AJ89" s="1523"/>
      <c r="AK89" s="1523"/>
      <c r="AL89" s="1523"/>
      <c r="AM89" s="1523"/>
      <c r="AN89" s="1523"/>
      <c r="AO89" s="1523"/>
      <c r="AP89" s="1523"/>
      <c r="AQ89" s="1523"/>
      <c r="AR89" s="1523"/>
      <c r="AS89" s="1523"/>
      <c r="AT89" s="1523"/>
      <c r="AU89" s="1523"/>
      <c r="AV89" s="1523"/>
      <c r="AW89" s="1523"/>
      <c r="AX89" s="1523"/>
      <c r="AY89" s="1523"/>
      <c r="AZ89" s="1523"/>
      <c r="BA89" s="1523"/>
      <c r="BB89" s="1523"/>
      <c r="BC89" s="1523"/>
      <c r="BD89" s="1523"/>
      <c r="BE89" s="1529"/>
    </row>
    <row r="90" spans="1:57" ht="15.75" customHeight="1">
      <c r="A90" s="1802"/>
      <c r="B90" s="1523"/>
      <c r="C90" s="1523"/>
      <c r="D90" s="1523"/>
      <c r="E90" s="1523"/>
      <c r="F90" s="1523"/>
      <c r="G90" s="1523"/>
      <c r="H90" s="1523"/>
      <c r="I90" s="1523"/>
      <c r="J90" s="1523"/>
      <c r="K90" s="1523"/>
      <c r="L90" s="1523"/>
      <c r="M90" s="1523"/>
      <c r="N90" s="1523"/>
      <c r="O90" s="1523"/>
      <c r="P90" s="1523"/>
      <c r="Q90" s="1523"/>
      <c r="R90" s="1523"/>
      <c r="S90" s="1523"/>
      <c r="T90" s="1523"/>
      <c r="U90" s="1523"/>
      <c r="V90" s="1523"/>
      <c r="W90" s="1523"/>
      <c r="X90" s="1523"/>
      <c r="Y90" s="1523"/>
      <c r="Z90" s="1523"/>
      <c r="AA90" s="1523"/>
      <c r="AB90" s="1523"/>
      <c r="AC90" s="1523"/>
      <c r="AD90" s="1523"/>
      <c r="AE90" s="1523"/>
      <c r="AF90" s="1523"/>
      <c r="AG90" s="1523"/>
      <c r="AH90" s="1523"/>
      <c r="AI90" s="1523"/>
      <c r="AJ90" s="1523"/>
      <c r="AK90" s="1523"/>
      <c r="AL90" s="1523"/>
      <c r="AM90" s="1523"/>
      <c r="AN90" s="1523"/>
      <c r="AO90" s="1523"/>
      <c r="AP90" s="1523"/>
      <c r="AQ90" s="1523"/>
      <c r="AR90" s="1523"/>
      <c r="AS90" s="1523"/>
      <c r="AT90" s="1523"/>
      <c r="AU90" s="1523"/>
      <c r="AV90" s="1523"/>
      <c r="AW90" s="1523"/>
      <c r="AX90" s="1523"/>
      <c r="AY90" s="1523"/>
      <c r="AZ90" s="1523"/>
      <c r="BA90" s="1523"/>
      <c r="BB90" s="1523"/>
      <c r="BC90" s="1523"/>
      <c r="BD90" s="1523"/>
      <c r="BE90" s="1529"/>
    </row>
    <row r="91" spans="1:57" ht="15.75" customHeight="1">
      <c r="A91" s="1802"/>
      <c r="B91" s="1533" t="s">
        <v>2095</v>
      </c>
      <c r="R91" s="1523"/>
      <c r="S91" s="1523"/>
      <c r="T91" s="1523"/>
      <c r="U91" s="1523"/>
      <c r="V91" s="1523"/>
      <c r="W91" s="1523"/>
      <c r="X91" s="1523"/>
      <c r="Y91" s="1523"/>
      <c r="Z91" s="1523"/>
      <c r="AA91" s="1523"/>
      <c r="AB91" s="1523"/>
      <c r="AC91" s="1523"/>
      <c r="AD91" s="1523"/>
      <c r="AE91" s="1523"/>
      <c r="AF91" s="1523"/>
      <c r="AG91" s="1523"/>
      <c r="AH91" s="1523"/>
      <c r="AI91" s="1523"/>
      <c r="AJ91" s="1523"/>
      <c r="AK91" s="1523"/>
      <c r="AL91" s="1523"/>
      <c r="AM91" s="1523"/>
      <c r="AN91" s="1523"/>
      <c r="AO91" s="1523"/>
      <c r="AP91" s="1523"/>
      <c r="AQ91" s="1523"/>
      <c r="AR91" s="1523"/>
      <c r="AS91" s="1523"/>
      <c r="AT91" s="1523"/>
      <c r="AU91" s="1523"/>
      <c r="AV91" s="1523"/>
      <c r="AW91" s="1523"/>
      <c r="AX91" s="1523"/>
      <c r="AY91" s="1523"/>
      <c r="AZ91" s="1523"/>
      <c r="BA91" s="1523"/>
      <c r="BB91" s="1523"/>
      <c r="BC91" s="1523"/>
      <c r="BD91" s="1523"/>
      <c r="BE91" s="1529"/>
    </row>
    <row r="92" spans="1:57" ht="15.75" customHeight="1" thickBot="1">
      <c r="A92" s="1802"/>
      <c r="B92" s="1523"/>
      <c r="C92" s="1523"/>
      <c r="D92" s="1523"/>
      <c r="E92" s="1523"/>
      <c r="F92" s="1523"/>
      <c r="G92" s="1523"/>
      <c r="H92" s="1523"/>
      <c r="I92" s="1523"/>
      <c r="J92" s="1523"/>
      <c r="K92" s="1523"/>
      <c r="L92" s="1523"/>
      <c r="M92" s="1523"/>
      <c r="N92" s="1523"/>
      <c r="O92" s="1523"/>
      <c r="P92" s="1536"/>
      <c r="Q92" s="1523"/>
      <c r="R92" s="1523"/>
      <c r="S92" s="1523"/>
      <c r="T92" s="1523"/>
      <c r="U92" s="1523"/>
      <c r="V92" s="1523"/>
      <c r="W92" s="1523"/>
      <c r="X92" s="1523"/>
      <c r="Y92" s="1523"/>
      <c r="Z92" s="1523"/>
      <c r="AA92" s="1523"/>
      <c r="AB92" s="1523"/>
      <c r="AC92" s="1523"/>
      <c r="AD92" s="1523"/>
      <c r="AE92" s="1523"/>
      <c r="AF92" s="1523"/>
      <c r="AG92" s="1523"/>
      <c r="AH92" s="1523"/>
      <c r="AI92" s="1523"/>
      <c r="AJ92" s="1523"/>
      <c r="AK92" s="1523"/>
      <c r="AL92" s="1523"/>
      <c r="AM92" s="1523"/>
      <c r="AN92" s="1523"/>
      <c r="AO92" s="1523"/>
      <c r="AP92" s="1523"/>
      <c r="AQ92" s="1523"/>
      <c r="AR92" s="1523"/>
      <c r="AS92" s="1523"/>
      <c r="AT92" s="1523"/>
      <c r="AU92" s="1523"/>
      <c r="AV92" s="1523"/>
      <c r="AW92" s="1523"/>
      <c r="AX92" s="1523"/>
      <c r="AY92" s="1523"/>
      <c r="AZ92" s="1523"/>
      <c r="BA92" s="1523"/>
      <c r="BB92" s="1523"/>
      <c r="BC92" s="1523"/>
      <c r="BD92" s="1523"/>
      <c r="BE92" s="1529"/>
    </row>
    <row r="93" spans="1:57" ht="15.75" customHeight="1" thickBot="1">
      <c r="A93" s="1802"/>
      <c r="B93" s="2683" t="s">
        <v>2096</v>
      </c>
      <c r="C93" s="2684"/>
      <c r="D93" s="2684"/>
      <c r="E93" s="2684"/>
      <c r="F93" s="2684"/>
      <c r="G93" s="2684"/>
      <c r="H93" s="2684"/>
      <c r="I93" s="2684"/>
      <c r="J93" s="2684"/>
      <c r="K93" s="2684"/>
      <c r="L93" s="2684"/>
      <c r="M93" s="2684"/>
      <c r="N93" s="2684"/>
      <c r="O93" s="2684"/>
      <c r="P93" s="2684"/>
      <c r="Q93" s="2684"/>
      <c r="R93" s="2684"/>
      <c r="S93" s="2684"/>
      <c r="T93" s="2684"/>
      <c r="U93" s="2684"/>
      <c r="V93" s="2684"/>
      <c r="W93" s="2684"/>
      <c r="X93" s="2684"/>
      <c r="Y93" s="2684"/>
      <c r="Z93" s="2684"/>
      <c r="AA93" s="2684"/>
      <c r="AB93" s="2684"/>
      <c r="AC93" s="2684"/>
      <c r="AD93" s="2684"/>
      <c r="AE93" s="2684"/>
      <c r="AF93" s="2684"/>
      <c r="AG93" s="2684"/>
      <c r="AH93" s="2685"/>
      <c r="AI93" s="1523"/>
      <c r="AJ93" s="1523"/>
      <c r="AK93" s="1523"/>
      <c r="AL93" s="1523"/>
      <c r="AM93" s="1523"/>
      <c r="AN93" s="1523"/>
      <c r="AO93" s="1523"/>
      <c r="AP93" s="1523"/>
      <c r="AQ93" s="1523"/>
      <c r="AR93" s="1523"/>
      <c r="AS93" s="1523"/>
      <c r="AT93" s="1523"/>
      <c r="AU93" s="1523"/>
      <c r="AV93" s="1523"/>
      <c r="AW93" s="1523"/>
      <c r="AX93" s="1523"/>
      <c r="AY93" s="1523"/>
      <c r="AZ93" s="1523"/>
      <c r="BA93" s="1523"/>
      <c r="BB93" s="1523"/>
      <c r="BC93" s="1523"/>
      <c r="BD93" s="1523"/>
      <c r="BE93" s="1529"/>
    </row>
    <row r="94" spans="1:57" ht="15.75" customHeight="1" thickBot="1">
      <c r="A94" s="1802"/>
      <c r="B94" s="2683"/>
      <c r="C94" s="2684"/>
      <c r="D94" s="2684"/>
      <c r="E94" s="2684"/>
      <c r="F94" s="2684"/>
      <c r="G94" s="2684"/>
      <c r="H94" s="2685"/>
      <c r="I94" s="2875" t="s">
        <v>2087</v>
      </c>
      <c r="J94" s="2876"/>
      <c r="K94" s="2876"/>
      <c r="L94" s="2876"/>
      <c r="M94" s="2876"/>
      <c r="N94" s="2877"/>
      <c r="O94" s="2875" t="s">
        <v>2088</v>
      </c>
      <c r="P94" s="2876"/>
      <c r="Q94" s="2876"/>
      <c r="R94" s="2876"/>
      <c r="S94" s="2876"/>
      <c r="T94" s="2876"/>
      <c r="U94" s="2877"/>
      <c r="V94" s="2875" t="s">
        <v>2089</v>
      </c>
      <c r="W94" s="2876"/>
      <c r="X94" s="2876"/>
      <c r="Y94" s="2876"/>
      <c r="Z94" s="2876"/>
      <c r="AA94" s="2877"/>
      <c r="AB94" s="2891" t="s">
        <v>2090</v>
      </c>
      <c r="AC94" s="2892"/>
      <c r="AD94" s="2892"/>
      <c r="AE94" s="2892"/>
      <c r="AF94" s="2892"/>
      <c r="AG94" s="2892"/>
      <c r="AH94" s="2893"/>
      <c r="AI94" s="1523"/>
      <c r="AJ94" s="1523"/>
      <c r="AK94" s="1523"/>
      <c r="AL94" s="1523" t="s">
        <v>256</v>
      </c>
      <c r="AM94" s="1523"/>
      <c r="AN94" s="1523"/>
      <c r="AO94" s="1523"/>
      <c r="AP94" s="1523"/>
      <c r="AQ94" s="1523"/>
      <c r="AR94" s="1523"/>
      <c r="AS94" s="1523"/>
      <c r="AT94" s="1523"/>
      <c r="AU94" s="1523"/>
      <c r="AV94" s="1523"/>
      <c r="AW94" s="1523"/>
      <c r="AX94" s="1523"/>
      <c r="AY94" s="1523"/>
      <c r="AZ94" s="1523"/>
      <c r="BA94" s="1523"/>
      <c r="BB94" s="1523"/>
      <c r="BC94" s="1523"/>
      <c r="BD94" s="1523"/>
      <c r="BE94" s="1529"/>
    </row>
    <row r="95" spans="1:57" ht="15.75" customHeight="1" thickBot="1">
      <c r="A95" s="1802"/>
      <c r="B95" s="2875" t="s">
        <v>2091</v>
      </c>
      <c r="C95" s="2876"/>
      <c r="D95" s="2876"/>
      <c r="E95" s="2876"/>
      <c r="F95" s="2876"/>
      <c r="G95" s="2876"/>
      <c r="H95" s="2877"/>
      <c r="I95" s="2894"/>
      <c r="J95" s="2895"/>
      <c r="K95" s="2895"/>
      <c r="L95" s="2895"/>
      <c r="M95" s="2895"/>
      <c r="N95" s="2895"/>
      <c r="O95" s="2895"/>
      <c r="P95" s="2895"/>
      <c r="Q95" s="2895"/>
      <c r="R95" s="2895"/>
      <c r="S95" s="2895"/>
      <c r="T95" s="2895"/>
      <c r="U95" s="2895"/>
      <c r="V95" s="2895"/>
      <c r="W95" s="2895"/>
      <c r="X95" s="2895"/>
      <c r="Y95" s="2895"/>
      <c r="Z95" s="2895"/>
      <c r="AA95" s="2896"/>
      <c r="AB95" s="2867"/>
      <c r="AC95" s="2867"/>
      <c r="AD95" s="2867"/>
      <c r="AE95" s="2867"/>
      <c r="AF95" s="2867"/>
      <c r="AG95" s="2867"/>
      <c r="AH95" s="2868"/>
      <c r="AI95" s="1523"/>
      <c r="AJ95" s="1523"/>
      <c r="AK95" s="1523"/>
      <c r="AL95" s="1523"/>
      <c r="AM95" s="1523"/>
      <c r="AN95" s="1523"/>
      <c r="AO95" s="1523"/>
      <c r="AP95" s="1523"/>
      <c r="AQ95" s="1523"/>
      <c r="AR95" s="1523"/>
      <c r="AS95" s="1523"/>
      <c r="AT95" s="1523"/>
      <c r="AU95" s="1523"/>
      <c r="AV95" s="1523"/>
      <c r="AW95" s="1523"/>
      <c r="AX95" s="1523"/>
      <c r="AY95" s="1523"/>
      <c r="AZ95" s="1523"/>
      <c r="BA95" s="1523"/>
      <c r="BB95" s="1523"/>
      <c r="BC95" s="1523"/>
      <c r="BD95" s="1523"/>
      <c r="BE95" s="1529"/>
    </row>
    <row r="96" spans="1:57" ht="15.75" customHeight="1" thickBot="1">
      <c r="A96" s="1802"/>
      <c r="B96" s="2875" t="s">
        <v>2092</v>
      </c>
      <c r="C96" s="2876"/>
      <c r="D96" s="2876"/>
      <c r="E96" s="2876"/>
      <c r="F96" s="2876"/>
      <c r="G96" s="2876"/>
      <c r="H96" s="2877"/>
      <c r="I96" s="2897"/>
      <c r="J96" s="2898"/>
      <c r="K96" s="2898"/>
      <c r="L96" s="2898"/>
      <c r="M96" s="2898"/>
      <c r="N96" s="2898"/>
      <c r="O96" s="2898"/>
      <c r="P96" s="2898"/>
      <c r="Q96" s="2898"/>
      <c r="R96" s="2898"/>
      <c r="S96" s="2898"/>
      <c r="T96" s="2898"/>
      <c r="U96" s="2898"/>
      <c r="V96" s="2898"/>
      <c r="W96" s="2898"/>
      <c r="X96" s="2898"/>
      <c r="Y96" s="2898"/>
      <c r="Z96" s="2898"/>
      <c r="AA96" s="2899"/>
      <c r="AB96" s="2809"/>
      <c r="AC96" s="2809"/>
      <c r="AD96" s="2809"/>
      <c r="AE96" s="2809"/>
      <c r="AF96" s="2809"/>
      <c r="AG96" s="2809"/>
      <c r="AH96" s="2810"/>
      <c r="AI96" s="1523"/>
      <c r="AJ96" s="1523"/>
      <c r="AK96" s="1523"/>
      <c r="AL96" s="1523"/>
      <c r="AM96" s="1523"/>
      <c r="AN96" s="1523"/>
      <c r="AO96" s="1523"/>
      <c r="AP96" s="1523"/>
      <c r="AQ96" s="1523"/>
      <c r="AR96" s="1523"/>
      <c r="AS96" s="1523"/>
      <c r="AT96" s="1523"/>
      <c r="AU96" s="1523"/>
      <c r="AV96" s="1523"/>
      <c r="AW96" s="1523"/>
      <c r="AX96" s="1523"/>
      <c r="AY96" s="1523"/>
      <c r="AZ96" s="1523"/>
      <c r="BA96" s="1523"/>
      <c r="BB96" s="1523"/>
      <c r="BC96" s="1523"/>
      <c r="BD96" s="1523"/>
      <c r="BE96" s="1529"/>
    </row>
    <row r="97" spans="1:57" ht="15.75" customHeight="1">
      <c r="A97" s="1802"/>
      <c r="B97" s="1523"/>
      <c r="C97" s="1523"/>
      <c r="D97" s="1523"/>
      <c r="E97" s="1523"/>
      <c r="F97" s="1523"/>
      <c r="G97" s="1523"/>
      <c r="H97" s="1523"/>
      <c r="I97" s="1523"/>
      <c r="J97" s="1523"/>
      <c r="K97" s="1523"/>
      <c r="L97" s="1523"/>
      <c r="M97" s="1523"/>
      <c r="N97" s="1523"/>
      <c r="O97" s="1523"/>
      <c r="P97" s="1523"/>
      <c r="Q97" s="1523"/>
      <c r="R97" s="1523"/>
      <c r="S97" s="1523"/>
      <c r="T97" s="1523"/>
      <c r="U97" s="1523"/>
      <c r="V97" s="1523"/>
      <c r="W97" s="1523"/>
      <c r="X97" s="1523"/>
      <c r="Y97" s="1523"/>
      <c r="Z97" s="1523"/>
      <c r="AA97" s="1523"/>
      <c r="AB97" s="1523"/>
      <c r="AC97" s="1523"/>
      <c r="AD97" s="1523"/>
      <c r="AE97" s="1523"/>
      <c r="AF97" s="1523"/>
      <c r="AG97" s="1523"/>
      <c r="AH97" s="1523"/>
      <c r="AI97" s="1523"/>
      <c r="AJ97" s="1523"/>
      <c r="AK97" s="1523"/>
      <c r="AL97" s="1523"/>
      <c r="AM97" s="1523"/>
      <c r="AN97" s="1523"/>
      <c r="AO97" s="1523"/>
      <c r="AP97" s="1523"/>
      <c r="AQ97" s="1523"/>
      <c r="AR97" s="1523"/>
      <c r="AS97" s="1523"/>
      <c r="AT97" s="1523"/>
      <c r="AU97" s="1523"/>
      <c r="AV97" s="1523"/>
      <c r="AW97" s="1523"/>
      <c r="AX97" s="1523"/>
      <c r="AY97" s="1523"/>
      <c r="AZ97" s="1523"/>
      <c r="BA97" s="1523"/>
      <c r="BB97" s="1523"/>
      <c r="BC97" s="1523"/>
      <c r="BD97" s="1523"/>
      <c r="BE97" s="1529"/>
    </row>
    <row r="98" spans="1:57" ht="15.75" customHeight="1">
      <c r="A98" s="1802"/>
      <c r="B98" s="1534" t="s">
        <v>2097</v>
      </c>
      <c r="C98" s="1534"/>
      <c r="D98" s="1534"/>
      <c r="E98" s="1534"/>
      <c r="F98" s="1534"/>
      <c r="G98" s="1534"/>
      <c r="H98" s="1534"/>
      <c r="I98" s="1534"/>
      <c r="J98" s="1534"/>
      <c r="K98" s="1534"/>
      <c r="L98" s="1534"/>
      <c r="M98" s="1534"/>
      <c r="N98" s="1534"/>
      <c r="O98" s="1534"/>
      <c r="P98" s="1534"/>
      <c r="Q98" s="1530"/>
      <c r="R98" s="1530"/>
      <c r="S98" s="1523"/>
      <c r="T98" s="1523"/>
      <c r="U98" s="1523"/>
      <c r="V98" s="1523"/>
      <c r="W98" s="1523"/>
      <c r="X98" s="1523"/>
      <c r="Y98" s="1523"/>
      <c r="Z98" s="1523"/>
      <c r="AA98" s="1523"/>
      <c r="AB98" s="1523"/>
      <c r="AC98" s="1523"/>
      <c r="AD98" s="1523"/>
      <c r="AE98" s="1523"/>
      <c r="AF98" s="1523"/>
      <c r="AG98" s="1523"/>
      <c r="AH98" s="1523"/>
      <c r="AI98" s="1523"/>
      <c r="AJ98" s="1523"/>
      <c r="AK98" s="1523"/>
      <c r="AL98" s="1523"/>
      <c r="AM98" s="1523"/>
      <c r="AN98" s="1523"/>
      <c r="AO98" s="1523"/>
      <c r="AP98" s="1523"/>
      <c r="AQ98" s="1523"/>
      <c r="AR98" s="1523"/>
      <c r="AS98" s="1523"/>
      <c r="AT98" s="1523"/>
      <c r="AU98" s="1523"/>
      <c r="AV98" s="1523"/>
      <c r="AW98" s="1523"/>
      <c r="AX98" s="1523"/>
      <c r="AY98" s="1523"/>
      <c r="AZ98" s="1523"/>
      <c r="BA98" s="1523"/>
      <c r="BB98" s="1523"/>
      <c r="BC98" s="1523"/>
      <c r="BD98" s="1523"/>
      <c r="BE98" s="1529"/>
    </row>
    <row r="99" spans="1:57" ht="15.75" customHeight="1" thickBot="1">
      <c r="A99" s="1802"/>
      <c r="B99" s="1523"/>
      <c r="C99" s="1523"/>
      <c r="D99" s="1523"/>
      <c r="E99" s="1523"/>
      <c r="F99" s="1523"/>
      <c r="G99" s="1523"/>
      <c r="H99" s="1523"/>
      <c r="I99" s="1523"/>
      <c r="J99" s="1523"/>
      <c r="K99" s="1523"/>
      <c r="L99" s="1523"/>
      <c r="M99" s="1523"/>
      <c r="N99" s="1523"/>
      <c r="O99" s="1523"/>
      <c r="P99" s="1523"/>
      <c r="Q99" s="1523"/>
      <c r="R99" s="1523"/>
      <c r="S99" s="1523"/>
      <c r="T99" s="1523"/>
      <c r="U99" s="1523"/>
      <c r="V99" s="1523"/>
      <c r="W99" s="1523"/>
      <c r="X99" s="1523"/>
      <c r="Y99" s="1523"/>
      <c r="Z99" s="1523"/>
      <c r="AA99" s="1523"/>
      <c r="AB99" s="1523"/>
      <c r="AC99" s="1523"/>
      <c r="AD99" s="1523"/>
      <c r="AE99" s="1523"/>
      <c r="AF99" s="1523"/>
      <c r="AG99" s="1523"/>
      <c r="AH99" s="1523"/>
      <c r="AI99" s="1523"/>
      <c r="AJ99" s="1523"/>
      <c r="AK99" s="1523"/>
      <c r="AL99" s="1523"/>
      <c r="AM99" s="1523"/>
      <c r="AN99" s="1523"/>
      <c r="AO99" s="1523"/>
      <c r="AP99" s="1523"/>
      <c r="AQ99" s="1523"/>
      <c r="AR99" s="1523"/>
      <c r="AS99" s="1523"/>
      <c r="AT99" s="1523"/>
      <c r="AU99" s="1523"/>
      <c r="AV99" s="1523"/>
      <c r="AW99" s="1523"/>
      <c r="AX99" s="1523"/>
      <c r="AY99" s="1523"/>
      <c r="AZ99" s="1523"/>
      <c r="BA99" s="1523"/>
      <c r="BB99" s="1523"/>
      <c r="BC99" s="1523"/>
      <c r="BD99" s="1523"/>
      <c r="BE99" s="1529"/>
    </row>
    <row r="100" spans="1:57" ht="15.75" customHeight="1">
      <c r="A100" s="1802"/>
      <c r="B100" s="2712" t="s">
        <v>2098</v>
      </c>
      <c r="C100" s="2713"/>
      <c r="D100" s="2713"/>
      <c r="E100" s="2713"/>
      <c r="F100" s="2713"/>
      <c r="G100" s="2713"/>
      <c r="H100" s="2713"/>
      <c r="I100" s="2713"/>
      <c r="J100" s="2713"/>
      <c r="K100" s="2713"/>
      <c r="L100" s="2713"/>
      <c r="M100" s="2713"/>
      <c r="N100" s="2713"/>
      <c r="O100" s="2713"/>
      <c r="P100" s="2713"/>
      <c r="Q100" s="2713"/>
      <c r="R100" s="2713"/>
      <c r="S100" s="2713"/>
      <c r="T100" s="2713"/>
      <c r="U100" s="2916"/>
      <c r="V100" s="1523"/>
      <c r="W100" s="1523"/>
      <c r="X100" s="1523"/>
      <c r="Y100" s="1523"/>
      <c r="Z100" s="1523"/>
      <c r="AA100" s="1523"/>
      <c r="AB100" s="1523"/>
      <c r="AC100" s="1523"/>
      <c r="AD100" s="1523"/>
      <c r="AE100" s="1523"/>
      <c r="AF100" s="1523"/>
      <c r="AG100" s="1523"/>
      <c r="AH100" s="1523"/>
      <c r="AI100" s="1523"/>
      <c r="AJ100" s="1523"/>
      <c r="AK100" s="1523"/>
      <c r="AL100" s="1523"/>
      <c r="AM100" s="1523"/>
      <c r="AN100" s="1523"/>
      <c r="AO100" s="1523"/>
      <c r="AP100" s="1523"/>
      <c r="AQ100" s="1523"/>
      <c r="AR100" s="1523"/>
      <c r="AS100" s="1523"/>
      <c r="AT100" s="1523"/>
      <c r="AU100" s="1523"/>
      <c r="AV100" s="1523"/>
      <c r="AW100" s="1523"/>
      <c r="AX100" s="1523"/>
      <c r="AY100" s="1523"/>
      <c r="AZ100" s="1523"/>
      <c r="BA100" s="1523"/>
      <c r="BB100" s="1523"/>
      <c r="BC100" s="1523"/>
      <c r="BD100" s="1523"/>
      <c r="BE100" s="1529"/>
    </row>
    <row r="101" spans="1:57" ht="15.75" customHeight="1">
      <c r="A101" s="1802"/>
      <c r="B101" s="2917"/>
      <c r="C101" s="2918"/>
      <c r="D101" s="2918"/>
      <c r="E101" s="2918"/>
      <c r="F101" s="2918"/>
      <c r="G101" s="2918"/>
      <c r="H101" s="2919"/>
      <c r="I101" s="2849" t="s">
        <v>2088</v>
      </c>
      <c r="J101" s="2850"/>
      <c r="K101" s="2850"/>
      <c r="L101" s="2850"/>
      <c r="M101" s="2850"/>
      <c r="N101" s="2850"/>
      <c r="O101" s="2920"/>
      <c r="P101" s="2849" t="s">
        <v>2099</v>
      </c>
      <c r="Q101" s="2850"/>
      <c r="R101" s="2850"/>
      <c r="S101" s="2850"/>
      <c r="T101" s="2850"/>
      <c r="U101" s="2920"/>
      <c r="V101" s="1523"/>
      <c r="W101" s="1523"/>
      <c r="X101" s="1523"/>
      <c r="Y101" s="1523"/>
      <c r="Z101" s="1523"/>
      <c r="AA101" s="1523"/>
      <c r="AB101" s="1523" t="s">
        <v>256</v>
      </c>
      <c r="AC101" s="1523"/>
      <c r="AD101" s="1523"/>
      <c r="AE101" s="1523"/>
      <c r="AF101" s="1523"/>
      <c r="AG101" s="1523"/>
      <c r="AH101" s="1523"/>
      <c r="AI101" s="1523"/>
      <c r="AJ101" s="1523"/>
      <c r="AK101" s="1523"/>
      <c r="AL101" s="1523"/>
      <c r="AM101" s="1523"/>
      <c r="AN101" s="1523"/>
      <c r="AO101" s="1523"/>
      <c r="AP101" s="1523"/>
      <c r="AQ101" s="1523"/>
      <c r="AR101" s="1523"/>
      <c r="AS101" s="1523"/>
      <c r="AT101" s="1523"/>
      <c r="AU101" s="1523"/>
      <c r="AV101" s="1523"/>
      <c r="AW101" s="1523"/>
      <c r="AX101" s="1523"/>
      <c r="AY101" s="1523"/>
      <c r="AZ101" s="1523"/>
      <c r="BA101" s="1523"/>
      <c r="BB101" s="1523"/>
      <c r="BC101" s="1523"/>
      <c r="BD101" s="1523"/>
      <c r="BE101" s="1529"/>
    </row>
    <row r="102" spans="1:57" ht="15.75" customHeight="1">
      <c r="A102" s="1802"/>
      <c r="B102" s="2921" t="s">
        <v>2091</v>
      </c>
      <c r="C102" s="2922"/>
      <c r="D102" s="2922"/>
      <c r="E102" s="2922"/>
      <c r="F102" s="2922"/>
      <c r="G102" s="2922"/>
      <c r="H102" s="2922"/>
      <c r="I102" s="2902"/>
      <c r="J102" s="2903"/>
      <c r="K102" s="2903"/>
      <c r="L102" s="2903"/>
      <c r="M102" s="2903"/>
      <c r="N102" s="2903"/>
      <c r="O102" s="2904"/>
      <c r="P102" s="2902"/>
      <c r="Q102" s="2903"/>
      <c r="R102" s="2903"/>
      <c r="S102" s="2903"/>
      <c r="T102" s="2903"/>
      <c r="U102" s="2904"/>
      <c r="V102" s="1523"/>
      <c r="W102" s="1523"/>
      <c r="X102" s="1523"/>
      <c r="Y102" s="1523"/>
      <c r="Z102" s="1523"/>
      <c r="AA102" s="1523"/>
      <c r="AB102" s="1523"/>
      <c r="AC102" s="1523"/>
      <c r="AD102" s="1523"/>
      <c r="AE102" s="1523"/>
      <c r="AF102" s="1523"/>
      <c r="AG102" s="1523"/>
      <c r="AH102" s="1523"/>
      <c r="AI102" s="1523"/>
      <c r="AJ102" s="1523"/>
      <c r="AK102" s="1523"/>
      <c r="AL102" s="1523"/>
      <c r="AM102" s="1523"/>
      <c r="AN102" s="1523"/>
      <c r="AO102" s="1523"/>
      <c r="AP102" s="1523"/>
      <c r="AQ102" s="1523"/>
      <c r="AR102" s="1523"/>
      <c r="AS102" s="1523"/>
      <c r="AT102" s="1523"/>
      <c r="AU102" s="1523"/>
      <c r="AV102" s="1523"/>
      <c r="AW102" s="1523"/>
      <c r="AX102" s="1523"/>
      <c r="AY102" s="1523"/>
      <c r="AZ102" s="1523"/>
      <c r="BA102" s="1523"/>
      <c r="BB102" s="1523"/>
      <c r="BC102" s="1523"/>
      <c r="BD102" s="1523"/>
      <c r="BE102" s="1529"/>
    </row>
    <row r="103" spans="1:57" ht="15.75" customHeight="1" thickBot="1">
      <c r="A103" s="1802"/>
      <c r="B103" s="2852" t="s">
        <v>2092</v>
      </c>
      <c r="C103" s="2853"/>
      <c r="D103" s="2853"/>
      <c r="E103" s="2853"/>
      <c r="F103" s="2853"/>
      <c r="G103" s="2853"/>
      <c r="H103" s="2853"/>
      <c r="I103" s="2902"/>
      <c r="J103" s="2903"/>
      <c r="K103" s="2903"/>
      <c r="L103" s="2903"/>
      <c r="M103" s="2903"/>
      <c r="N103" s="2903"/>
      <c r="O103" s="2904"/>
      <c r="P103" s="2902"/>
      <c r="Q103" s="2903"/>
      <c r="R103" s="2903"/>
      <c r="S103" s="2903"/>
      <c r="T103" s="2903"/>
      <c r="U103" s="2904"/>
      <c r="V103" s="1523"/>
      <c r="W103" s="1523"/>
      <c r="X103" s="1523"/>
      <c r="Y103" s="1523"/>
      <c r="Z103" s="1523"/>
      <c r="AA103" s="1523"/>
      <c r="AB103" s="1523"/>
      <c r="AC103" s="1523"/>
      <c r="AD103" s="1523"/>
      <c r="AE103" s="1523"/>
      <c r="AF103" s="1523"/>
      <c r="AG103" s="1523"/>
      <c r="AH103" s="1523"/>
      <c r="AI103" s="1523"/>
      <c r="AJ103" s="1523"/>
      <c r="AK103" s="1523"/>
      <c r="AL103" s="1523"/>
      <c r="AM103" s="1523"/>
      <c r="AN103" s="1523"/>
      <c r="AO103" s="1523"/>
      <c r="AP103" s="1523"/>
      <c r="AQ103" s="1523"/>
      <c r="AR103" s="1523"/>
      <c r="AS103" s="1523"/>
      <c r="AT103" s="1523"/>
      <c r="AU103" s="1523"/>
      <c r="AV103" s="1523"/>
      <c r="AW103" s="1523"/>
      <c r="AX103" s="1523"/>
      <c r="AY103" s="1523"/>
      <c r="AZ103" s="1523"/>
      <c r="BA103" s="1523"/>
      <c r="BB103" s="1523"/>
      <c r="BC103" s="1523"/>
      <c r="BD103" s="1523"/>
      <c r="BE103" s="1529"/>
    </row>
    <row r="104" spans="1:57" ht="15.75" customHeight="1" thickBot="1">
      <c r="A104" s="1802"/>
      <c r="B104" s="1523"/>
      <c r="C104" s="1523"/>
      <c r="D104" s="1523"/>
      <c r="E104" s="1523"/>
      <c r="F104" s="1523"/>
      <c r="G104" s="1523"/>
      <c r="H104" s="1523"/>
      <c r="I104" s="1523"/>
      <c r="J104" s="1523"/>
      <c r="K104" s="1523"/>
      <c r="L104" s="1523"/>
      <c r="M104" s="1523"/>
      <c r="N104" s="1523"/>
      <c r="O104" s="1523"/>
      <c r="P104" s="1523"/>
      <c r="Q104" s="1523"/>
      <c r="R104" s="1523"/>
      <c r="S104" s="1523"/>
      <c r="T104" s="1523"/>
      <c r="U104" s="1523"/>
      <c r="V104" s="1523"/>
      <c r="W104" s="1523"/>
      <c r="X104" s="1523"/>
      <c r="Y104" s="1523"/>
      <c r="Z104" s="1523"/>
      <c r="AA104" s="1523"/>
      <c r="AB104" s="1523"/>
      <c r="AC104" s="1523"/>
      <c r="AD104" s="1523"/>
      <c r="AE104" s="1523"/>
      <c r="AF104" s="1523"/>
      <c r="AG104" s="1523"/>
      <c r="AH104" s="1523"/>
      <c r="AI104" s="1523"/>
      <c r="AJ104" s="1523"/>
      <c r="AK104" s="1523"/>
      <c r="AL104" s="1523"/>
      <c r="AM104" s="1523"/>
      <c r="AN104" s="1523"/>
      <c r="AO104" s="1523"/>
      <c r="AP104" s="1523"/>
      <c r="AQ104" s="1523"/>
      <c r="AR104" s="1523"/>
      <c r="AS104" s="1523"/>
      <c r="AT104" s="1523"/>
      <c r="AU104" s="1523"/>
      <c r="AV104" s="1523"/>
      <c r="AW104" s="1523"/>
      <c r="AX104" s="1523"/>
      <c r="AY104" s="1523"/>
      <c r="AZ104" s="1523"/>
      <c r="BA104" s="1523"/>
      <c r="BB104" s="1523"/>
      <c r="BC104" s="1523"/>
      <c r="BD104" s="1523"/>
      <c r="BE104" s="1529"/>
    </row>
    <row r="105" spans="1:57" ht="15.75" customHeight="1" thickBot="1">
      <c r="A105" s="1802"/>
      <c r="B105" s="2905" t="s">
        <v>2100</v>
      </c>
      <c r="C105" s="2906"/>
      <c r="D105" s="2906"/>
      <c r="E105" s="2906"/>
      <c r="F105" s="2906"/>
      <c r="G105" s="2906"/>
      <c r="H105" s="2906"/>
      <c r="I105" s="2906"/>
      <c r="J105" s="2906"/>
      <c r="K105" s="2906"/>
      <c r="L105" s="2906"/>
      <c r="M105" s="2906"/>
      <c r="N105" s="2906"/>
      <c r="O105" s="2906"/>
      <c r="P105" s="2906"/>
      <c r="Q105" s="2906"/>
      <c r="R105" s="2907"/>
      <c r="S105" s="2907"/>
      <c r="T105" s="2907"/>
      <c r="U105" s="2907"/>
      <c r="V105" s="2907"/>
      <c r="W105" s="2907"/>
      <c r="X105" s="2907"/>
      <c r="Y105" s="2907"/>
      <c r="Z105" s="2907"/>
      <c r="AA105" s="2907"/>
      <c r="AB105" s="2907"/>
      <c r="AC105" s="2907"/>
      <c r="AD105" s="2907"/>
      <c r="AE105" s="2907"/>
      <c r="AF105" s="2907"/>
      <c r="AG105" s="2908" t="s">
        <v>2037</v>
      </c>
      <c r="AH105" s="2908"/>
      <c r="AI105" s="2908"/>
      <c r="AJ105" s="2909"/>
      <c r="AK105" s="1523"/>
      <c r="AL105" s="1523"/>
      <c r="AM105" s="1523"/>
      <c r="AN105" s="1523"/>
      <c r="AO105" s="1523"/>
      <c r="AP105" s="1523"/>
      <c r="AQ105" s="1523"/>
      <c r="AR105" s="1523"/>
      <c r="AS105" s="1523"/>
      <c r="AT105" s="1523"/>
      <c r="AU105" s="1523"/>
      <c r="AV105" s="1523"/>
      <c r="AW105" s="1523"/>
      <c r="AX105" s="1523"/>
      <c r="AY105" s="1523"/>
      <c r="AZ105" s="1523"/>
      <c r="BA105" s="1523"/>
      <c r="BB105" s="1523"/>
      <c r="BC105" s="1523"/>
      <c r="BD105" s="1523"/>
      <c r="BE105" s="1529"/>
    </row>
    <row r="106" spans="1:57" ht="15.75" customHeight="1" thickBot="1">
      <c r="A106" s="1802"/>
      <c r="B106" s="2910" t="s">
        <v>2101</v>
      </c>
      <c r="C106" s="2911"/>
      <c r="D106" s="2911"/>
      <c r="E106" s="2911"/>
      <c r="F106" s="2911"/>
      <c r="G106" s="2911"/>
      <c r="H106" s="2911"/>
      <c r="I106" s="2911"/>
      <c r="J106" s="2911"/>
      <c r="K106" s="2911"/>
      <c r="L106" s="2911"/>
      <c r="M106" s="2911"/>
      <c r="N106" s="2911"/>
      <c r="O106" s="2911"/>
      <c r="P106" s="2911"/>
      <c r="Q106" s="2912"/>
      <c r="R106" s="2913" t="s">
        <v>2102</v>
      </c>
      <c r="S106" s="2914"/>
      <c r="T106" s="2914"/>
      <c r="U106" s="2914"/>
      <c r="V106" s="2914"/>
      <c r="W106" s="2914"/>
      <c r="X106" s="2914"/>
      <c r="Y106" s="2914"/>
      <c r="Z106" s="2914"/>
      <c r="AA106" s="2914"/>
      <c r="AB106" s="2914"/>
      <c r="AC106" s="2914"/>
      <c r="AD106" s="2914"/>
      <c r="AE106" s="2914"/>
      <c r="AF106" s="2914"/>
      <c r="AG106" s="2914"/>
      <c r="AH106" s="2914"/>
      <c r="AI106" s="2914"/>
      <c r="AJ106" s="2914"/>
      <c r="AK106" s="2914"/>
      <c r="AL106" s="2914"/>
      <c r="AM106" s="2914"/>
      <c r="AN106" s="2914"/>
      <c r="AO106" s="2914"/>
      <c r="AP106" s="2914"/>
      <c r="AQ106" s="2914"/>
      <c r="AR106" s="2914"/>
      <c r="AS106" s="2914"/>
      <c r="AT106" s="2914"/>
      <c r="AU106" s="2914"/>
      <c r="AV106" s="2914"/>
      <c r="AW106" s="2914"/>
      <c r="AX106" s="2915"/>
      <c r="AY106" s="1523"/>
      <c r="AZ106" s="1523"/>
      <c r="BA106" s="1523"/>
      <c r="BB106" s="1523"/>
      <c r="BC106" s="1523"/>
      <c r="BD106" s="1523"/>
      <c r="BE106" s="1529"/>
    </row>
    <row r="107" spans="1:57" ht="15.75" customHeight="1">
      <c r="A107" s="1802"/>
      <c r="B107" s="2936" t="s">
        <v>2103</v>
      </c>
      <c r="C107" s="2937"/>
      <c r="D107" s="2937"/>
      <c r="E107" s="2937"/>
      <c r="F107" s="2937"/>
      <c r="G107" s="2937"/>
      <c r="H107" s="2937"/>
      <c r="I107" s="2937"/>
      <c r="J107" s="2937"/>
      <c r="K107" s="2937"/>
      <c r="L107" s="2937"/>
      <c r="M107" s="2937"/>
      <c r="N107" s="2937"/>
      <c r="O107" s="2937"/>
      <c r="P107" s="2937"/>
      <c r="Q107" s="2937"/>
      <c r="R107" s="2937"/>
      <c r="S107" s="2937"/>
      <c r="T107" s="2937"/>
      <c r="U107" s="2937"/>
      <c r="V107" s="2937"/>
      <c r="W107" s="2937"/>
      <c r="X107" s="2937"/>
      <c r="Y107" s="2937"/>
      <c r="Z107" s="2937"/>
      <c r="AA107" s="2937"/>
      <c r="AB107" s="2937"/>
      <c r="AC107" s="2937"/>
      <c r="AD107" s="2937"/>
      <c r="AE107" s="2937"/>
      <c r="AF107" s="2937"/>
      <c r="AG107" s="2937"/>
      <c r="AH107" s="2937"/>
      <c r="AI107" s="2937"/>
      <c r="AJ107" s="2937"/>
      <c r="AK107" s="2937"/>
      <c r="AL107" s="2937"/>
      <c r="AM107" s="2937"/>
      <c r="AN107" s="2937"/>
      <c r="AO107" s="2937"/>
      <c r="AP107" s="2937"/>
      <c r="AQ107" s="2937"/>
      <c r="AR107" s="2937"/>
      <c r="AS107" s="2937"/>
      <c r="AT107" s="2937"/>
      <c r="AU107" s="2937"/>
      <c r="AV107" s="2937"/>
      <c r="AW107" s="2937"/>
      <c r="AX107" s="2938"/>
      <c r="AY107" s="1523"/>
      <c r="AZ107" s="1523"/>
      <c r="BA107" s="1523"/>
      <c r="BB107" s="1523"/>
      <c r="BC107" s="1523"/>
      <c r="BD107" s="1523"/>
      <c r="BE107" s="1529"/>
    </row>
    <row r="108" spans="1:57" ht="15.75" customHeight="1">
      <c r="A108" s="1802"/>
      <c r="B108" s="2939"/>
      <c r="C108" s="2940"/>
      <c r="D108" s="2940"/>
      <c r="E108" s="2940"/>
      <c r="F108" s="2940"/>
      <c r="G108" s="2940"/>
      <c r="H108" s="2940"/>
      <c r="I108" s="2940"/>
      <c r="J108" s="2940"/>
      <c r="K108" s="2940"/>
      <c r="L108" s="2940"/>
      <c r="M108" s="2940"/>
      <c r="N108" s="2940"/>
      <c r="O108" s="2940"/>
      <c r="P108" s="2940"/>
      <c r="Q108" s="2940"/>
      <c r="R108" s="2940"/>
      <c r="S108" s="2940"/>
      <c r="T108" s="2940"/>
      <c r="U108" s="2940"/>
      <c r="V108" s="2940"/>
      <c r="W108" s="2940"/>
      <c r="X108" s="2940"/>
      <c r="Y108" s="2940"/>
      <c r="Z108" s="2940"/>
      <c r="AA108" s="2940"/>
      <c r="AB108" s="2940"/>
      <c r="AC108" s="2940"/>
      <c r="AD108" s="2940"/>
      <c r="AE108" s="2940"/>
      <c r="AF108" s="2940"/>
      <c r="AG108" s="2940"/>
      <c r="AH108" s="2940"/>
      <c r="AI108" s="2940"/>
      <c r="AJ108" s="2940"/>
      <c r="AK108" s="2940"/>
      <c r="AL108" s="2940"/>
      <c r="AM108" s="2940"/>
      <c r="AN108" s="2940"/>
      <c r="AO108" s="2940"/>
      <c r="AP108" s="2940"/>
      <c r="AQ108" s="2940"/>
      <c r="AR108" s="2940"/>
      <c r="AS108" s="2940"/>
      <c r="AT108" s="2940"/>
      <c r="AU108" s="2940"/>
      <c r="AV108" s="2940"/>
      <c r="AW108" s="2940"/>
      <c r="AX108" s="2941"/>
      <c r="AY108" s="1523"/>
      <c r="AZ108" s="1523"/>
      <c r="BA108" s="1523"/>
      <c r="BB108" s="1523"/>
      <c r="BC108" s="1523"/>
      <c r="BD108" s="1523"/>
      <c r="BE108" s="1529"/>
    </row>
    <row r="109" spans="1:57" ht="15.75" customHeight="1">
      <c r="A109" s="1802"/>
      <c r="B109" s="2939"/>
      <c r="C109" s="2940"/>
      <c r="D109" s="2940"/>
      <c r="E109" s="2940"/>
      <c r="F109" s="2940"/>
      <c r="G109" s="2940"/>
      <c r="H109" s="2940"/>
      <c r="I109" s="2940"/>
      <c r="J109" s="2940"/>
      <c r="K109" s="2940"/>
      <c r="L109" s="2940"/>
      <c r="M109" s="2940"/>
      <c r="N109" s="2940"/>
      <c r="O109" s="2940"/>
      <c r="P109" s="2940"/>
      <c r="Q109" s="2940"/>
      <c r="R109" s="2940"/>
      <c r="S109" s="2940"/>
      <c r="T109" s="2940"/>
      <c r="U109" s="2940"/>
      <c r="V109" s="2940"/>
      <c r="W109" s="2940"/>
      <c r="X109" s="2940"/>
      <c r="Y109" s="2940"/>
      <c r="Z109" s="2940"/>
      <c r="AA109" s="2940"/>
      <c r="AB109" s="2940"/>
      <c r="AC109" s="2940"/>
      <c r="AD109" s="2940"/>
      <c r="AE109" s="2940"/>
      <c r="AF109" s="2940"/>
      <c r="AG109" s="2940"/>
      <c r="AH109" s="2940"/>
      <c r="AI109" s="2940"/>
      <c r="AJ109" s="2940"/>
      <c r="AK109" s="2940"/>
      <c r="AL109" s="2940"/>
      <c r="AM109" s="2940"/>
      <c r="AN109" s="2940"/>
      <c r="AO109" s="2940"/>
      <c r="AP109" s="2940"/>
      <c r="AQ109" s="2940"/>
      <c r="AR109" s="2940"/>
      <c r="AS109" s="2940"/>
      <c r="AT109" s="2940"/>
      <c r="AU109" s="2940"/>
      <c r="AV109" s="2940"/>
      <c r="AW109" s="2940"/>
      <c r="AX109" s="2941"/>
      <c r="AY109" s="1523"/>
      <c r="AZ109" s="1523"/>
      <c r="BA109" s="1523"/>
      <c r="BB109" s="1523"/>
      <c r="BC109" s="1523"/>
      <c r="BD109" s="1523"/>
      <c r="BE109" s="1529"/>
    </row>
    <row r="110" spans="1:57" ht="15.75" customHeight="1">
      <c r="A110" s="1802"/>
      <c r="B110" s="2939"/>
      <c r="C110" s="2940"/>
      <c r="D110" s="2940"/>
      <c r="E110" s="2940"/>
      <c r="F110" s="2940"/>
      <c r="G110" s="2940"/>
      <c r="H110" s="2940"/>
      <c r="I110" s="2940"/>
      <c r="J110" s="2940"/>
      <c r="K110" s="2940"/>
      <c r="L110" s="2940"/>
      <c r="M110" s="2940"/>
      <c r="N110" s="2940"/>
      <c r="O110" s="2940"/>
      <c r="P110" s="2940"/>
      <c r="Q110" s="2940"/>
      <c r="R110" s="2940"/>
      <c r="S110" s="2940"/>
      <c r="T110" s="2940"/>
      <c r="U110" s="2940"/>
      <c r="V110" s="2940"/>
      <c r="W110" s="2940"/>
      <c r="X110" s="2940"/>
      <c r="Y110" s="2940"/>
      <c r="Z110" s="2940"/>
      <c r="AA110" s="2940"/>
      <c r="AB110" s="2940"/>
      <c r="AC110" s="2940"/>
      <c r="AD110" s="2940"/>
      <c r="AE110" s="2940"/>
      <c r="AF110" s="2940"/>
      <c r="AG110" s="2940"/>
      <c r="AH110" s="2940"/>
      <c r="AI110" s="2940"/>
      <c r="AJ110" s="2940"/>
      <c r="AK110" s="2940"/>
      <c r="AL110" s="2940"/>
      <c r="AM110" s="2940"/>
      <c r="AN110" s="2940"/>
      <c r="AO110" s="2940"/>
      <c r="AP110" s="2940"/>
      <c r="AQ110" s="2940"/>
      <c r="AR110" s="2940"/>
      <c r="AS110" s="2940"/>
      <c r="AT110" s="2940"/>
      <c r="AU110" s="2940"/>
      <c r="AV110" s="2940"/>
      <c r="AW110" s="2940"/>
      <c r="AX110" s="2941"/>
      <c r="AY110" s="1523"/>
      <c r="AZ110" s="1523"/>
      <c r="BA110" s="1523"/>
      <c r="BB110" s="1523"/>
      <c r="BC110" s="1523"/>
      <c r="BD110" s="1523"/>
      <c r="BE110" s="1529"/>
    </row>
    <row r="111" spans="1:57" ht="15.75" customHeight="1">
      <c r="A111" s="1802"/>
      <c r="B111" s="2939"/>
      <c r="C111" s="2940"/>
      <c r="D111" s="2940"/>
      <c r="E111" s="2940"/>
      <c r="F111" s="2940"/>
      <c r="G111" s="2940"/>
      <c r="H111" s="2940"/>
      <c r="I111" s="2940"/>
      <c r="J111" s="2940"/>
      <c r="K111" s="2940"/>
      <c r="L111" s="2940"/>
      <c r="M111" s="2940"/>
      <c r="N111" s="2940"/>
      <c r="O111" s="2940"/>
      <c r="P111" s="2940"/>
      <c r="Q111" s="2940"/>
      <c r="R111" s="2940"/>
      <c r="S111" s="2940"/>
      <c r="T111" s="2940"/>
      <c r="U111" s="2940"/>
      <c r="V111" s="2940"/>
      <c r="W111" s="2940"/>
      <c r="X111" s="2940"/>
      <c r="Y111" s="2940"/>
      <c r="Z111" s="2940"/>
      <c r="AA111" s="2940"/>
      <c r="AB111" s="2940"/>
      <c r="AC111" s="2940"/>
      <c r="AD111" s="2940"/>
      <c r="AE111" s="2940"/>
      <c r="AF111" s="2940"/>
      <c r="AG111" s="2940"/>
      <c r="AH111" s="2940"/>
      <c r="AI111" s="2940"/>
      <c r="AJ111" s="2940"/>
      <c r="AK111" s="2940"/>
      <c r="AL111" s="2940"/>
      <c r="AM111" s="2940"/>
      <c r="AN111" s="2940"/>
      <c r="AO111" s="2940"/>
      <c r="AP111" s="2940"/>
      <c r="AQ111" s="2940"/>
      <c r="AR111" s="2940"/>
      <c r="AS111" s="2940"/>
      <c r="AT111" s="2940"/>
      <c r="AU111" s="2940"/>
      <c r="AV111" s="2940"/>
      <c r="AW111" s="2940"/>
      <c r="AX111" s="2941"/>
      <c r="AY111" s="1523"/>
      <c r="AZ111" s="1523"/>
      <c r="BA111" s="1523"/>
      <c r="BB111" s="1523"/>
      <c r="BC111" s="1523"/>
      <c r="BD111" s="1523"/>
      <c r="BE111" s="1529"/>
    </row>
    <row r="112" spans="1:57" ht="15.75" customHeight="1">
      <c r="A112" s="1802"/>
      <c r="B112" s="2939"/>
      <c r="C112" s="2940"/>
      <c r="D112" s="2940"/>
      <c r="E112" s="2940"/>
      <c r="F112" s="2940"/>
      <c r="G112" s="2940"/>
      <c r="H112" s="2940"/>
      <c r="I112" s="2940"/>
      <c r="J112" s="2940"/>
      <c r="K112" s="2940"/>
      <c r="L112" s="2940"/>
      <c r="M112" s="2940"/>
      <c r="N112" s="2940"/>
      <c r="O112" s="2940"/>
      <c r="P112" s="2940"/>
      <c r="Q112" s="2940"/>
      <c r="R112" s="2940"/>
      <c r="S112" s="2940"/>
      <c r="T112" s="2940"/>
      <c r="U112" s="2940"/>
      <c r="V112" s="2940"/>
      <c r="W112" s="2940"/>
      <c r="X112" s="2940"/>
      <c r="Y112" s="2940"/>
      <c r="Z112" s="2940"/>
      <c r="AA112" s="2940"/>
      <c r="AB112" s="2940"/>
      <c r="AC112" s="2940"/>
      <c r="AD112" s="2940"/>
      <c r="AE112" s="2940"/>
      <c r="AF112" s="2940"/>
      <c r="AG112" s="2940"/>
      <c r="AH112" s="2940"/>
      <c r="AI112" s="2940"/>
      <c r="AJ112" s="2940"/>
      <c r="AK112" s="2940"/>
      <c r="AL112" s="2940"/>
      <c r="AM112" s="2940"/>
      <c r="AN112" s="2940"/>
      <c r="AO112" s="2940"/>
      <c r="AP112" s="2940"/>
      <c r="AQ112" s="2940"/>
      <c r="AR112" s="2940"/>
      <c r="AS112" s="2940"/>
      <c r="AT112" s="2940"/>
      <c r="AU112" s="2940"/>
      <c r="AV112" s="2940"/>
      <c r="AW112" s="2940"/>
      <c r="AX112" s="2941"/>
      <c r="AY112" s="1523"/>
      <c r="AZ112" s="1523"/>
      <c r="BA112" s="1523"/>
      <c r="BB112" s="1523"/>
      <c r="BC112" s="1523"/>
      <c r="BD112" s="1523"/>
      <c r="BE112" s="1529"/>
    </row>
    <row r="113" spans="1:57" ht="15.75" customHeight="1">
      <c r="A113" s="1802"/>
      <c r="B113" s="2939"/>
      <c r="C113" s="2940"/>
      <c r="D113" s="2940"/>
      <c r="E113" s="2940"/>
      <c r="F113" s="2940"/>
      <c r="G113" s="2940"/>
      <c r="H113" s="2940"/>
      <c r="I113" s="2940"/>
      <c r="J113" s="2940"/>
      <c r="K113" s="2940"/>
      <c r="L113" s="2940"/>
      <c r="M113" s="2940"/>
      <c r="N113" s="2940"/>
      <c r="O113" s="2940"/>
      <c r="P113" s="2940"/>
      <c r="Q113" s="2940"/>
      <c r="R113" s="2940"/>
      <c r="S113" s="2940"/>
      <c r="T113" s="2940"/>
      <c r="U113" s="2940"/>
      <c r="V113" s="2940"/>
      <c r="W113" s="2940"/>
      <c r="X113" s="2940"/>
      <c r="Y113" s="2940"/>
      <c r="Z113" s="2940"/>
      <c r="AA113" s="2940"/>
      <c r="AB113" s="2940"/>
      <c r="AC113" s="2940"/>
      <c r="AD113" s="2940"/>
      <c r="AE113" s="2940"/>
      <c r="AF113" s="2940"/>
      <c r="AG113" s="2940"/>
      <c r="AH113" s="2940"/>
      <c r="AI113" s="2940"/>
      <c r="AJ113" s="2940"/>
      <c r="AK113" s="2940"/>
      <c r="AL113" s="2940"/>
      <c r="AM113" s="2940"/>
      <c r="AN113" s="2940"/>
      <c r="AO113" s="2940"/>
      <c r="AP113" s="2940"/>
      <c r="AQ113" s="2940"/>
      <c r="AR113" s="2940"/>
      <c r="AS113" s="2940"/>
      <c r="AT113" s="2940"/>
      <c r="AU113" s="2940"/>
      <c r="AV113" s="2940"/>
      <c r="AW113" s="2940"/>
      <c r="AX113" s="2941"/>
      <c r="AY113" s="1523"/>
      <c r="AZ113" s="1523"/>
      <c r="BA113" s="1523"/>
      <c r="BB113" s="1523"/>
      <c r="BC113" s="1523"/>
      <c r="BD113" s="1523"/>
      <c r="BE113" s="1529"/>
    </row>
    <row r="114" spans="1:57" ht="15.75" customHeight="1">
      <c r="A114" s="1802"/>
      <c r="B114" s="2939"/>
      <c r="C114" s="2940"/>
      <c r="D114" s="2940"/>
      <c r="E114" s="2940"/>
      <c r="F114" s="2940"/>
      <c r="G114" s="2940"/>
      <c r="H114" s="2940"/>
      <c r="I114" s="2940"/>
      <c r="J114" s="2940"/>
      <c r="K114" s="2940"/>
      <c r="L114" s="2940"/>
      <c r="M114" s="2940"/>
      <c r="N114" s="2940"/>
      <c r="O114" s="2940"/>
      <c r="P114" s="2940"/>
      <c r="Q114" s="2940"/>
      <c r="R114" s="2940"/>
      <c r="S114" s="2940"/>
      <c r="T114" s="2940"/>
      <c r="U114" s="2940"/>
      <c r="V114" s="2940"/>
      <c r="W114" s="2940"/>
      <c r="X114" s="2940"/>
      <c r="Y114" s="2940"/>
      <c r="Z114" s="2940"/>
      <c r="AA114" s="2940"/>
      <c r="AB114" s="2940"/>
      <c r="AC114" s="2940"/>
      <c r="AD114" s="2940"/>
      <c r="AE114" s="2940"/>
      <c r="AF114" s="2940"/>
      <c r="AG114" s="2940"/>
      <c r="AH114" s="2940"/>
      <c r="AI114" s="2940"/>
      <c r="AJ114" s="2940"/>
      <c r="AK114" s="2940"/>
      <c r="AL114" s="2940"/>
      <c r="AM114" s="2940"/>
      <c r="AN114" s="2940"/>
      <c r="AO114" s="2940"/>
      <c r="AP114" s="2940"/>
      <c r="AQ114" s="2940"/>
      <c r="AR114" s="2940"/>
      <c r="AS114" s="2940"/>
      <c r="AT114" s="2940"/>
      <c r="AU114" s="2940"/>
      <c r="AV114" s="2940"/>
      <c r="AW114" s="2940"/>
      <c r="AX114" s="2941"/>
      <c r="AY114" s="1523"/>
      <c r="AZ114" s="1523"/>
      <c r="BA114" s="1523"/>
      <c r="BB114" s="1523"/>
      <c r="BC114" s="1523"/>
      <c r="BD114" s="1523"/>
      <c r="BE114" s="1529"/>
    </row>
    <row r="115" spans="1:57" ht="15.75" customHeight="1">
      <c r="A115" s="1802"/>
      <c r="B115" s="2939"/>
      <c r="C115" s="2940"/>
      <c r="D115" s="2940"/>
      <c r="E115" s="2940"/>
      <c r="F115" s="2940"/>
      <c r="G115" s="2940"/>
      <c r="H115" s="2940"/>
      <c r="I115" s="2940"/>
      <c r="J115" s="2940"/>
      <c r="K115" s="2940"/>
      <c r="L115" s="2940"/>
      <c r="M115" s="2940"/>
      <c r="N115" s="2940"/>
      <c r="O115" s="2940"/>
      <c r="P115" s="2940"/>
      <c r="Q115" s="2940"/>
      <c r="R115" s="2940"/>
      <c r="S115" s="2940"/>
      <c r="T115" s="2940"/>
      <c r="U115" s="2940"/>
      <c r="V115" s="2940"/>
      <c r="W115" s="2940"/>
      <c r="X115" s="2940"/>
      <c r="Y115" s="2940"/>
      <c r="Z115" s="2940"/>
      <c r="AA115" s="2940"/>
      <c r="AB115" s="2940"/>
      <c r="AC115" s="2940"/>
      <c r="AD115" s="2940"/>
      <c r="AE115" s="2940"/>
      <c r="AF115" s="2940"/>
      <c r="AG115" s="2940"/>
      <c r="AH115" s="2940"/>
      <c r="AI115" s="2940"/>
      <c r="AJ115" s="2940"/>
      <c r="AK115" s="2940"/>
      <c r="AL115" s="2940"/>
      <c r="AM115" s="2940"/>
      <c r="AN115" s="2940"/>
      <c r="AO115" s="2940"/>
      <c r="AP115" s="2940"/>
      <c r="AQ115" s="2940"/>
      <c r="AR115" s="2940"/>
      <c r="AS115" s="2940"/>
      <c r="AT115" s="2940"/>
      <c r="AU115" s="2940"/>
      <c r="AV115" s="2940"/>
      <c r="AW115" s="2940"/>
      <c r="AX115" s="2941"/>
      <c r="AY115" s="1523"/>
      <c r="AZ115" s="1523"/>
      <c r="BA115" s="1523"/>
      <c r="BB115" s="1523"/>
      <c r="BC115" s="1523"/>
      <c r="BD115" s="1523"/>
      <c r="BE115" s="1529"/>
    </row>
    <row r="116" spans="1:57" ht="15.75" customHeight="1" thickBot="1">
      <c r="A116" s="1802"/>
      <c r="B116" s="2942"/>
      <c r="C116" s="2943"/>
      <c r="D116" s="2943"/>
      <c r="E116" s="2943"/>
      <c r="F116" s="2943"/>
      <c r="G116" s="2943"/>
      <c r="H116" s="2943"/>
      <c r="I116" s="2943"/>
      <c r="J116" s="2943"/>
      <c r="K116" s="2943"/>
      <c r="L116" s="2943"/>
      <c r="M116" s="2943"/>
      <c r="N116" s="2943"/>
      <c r="O116" s="2943"/>
      <c r="P116" s="2943"/>
      <c r="Q116" s="2943"/>
      <c r="R116" s="2943"/>
      <c r="S116" s="2943"/>
      <c r="T116" s="2943"/>
      <c r="U116" s="2943"/>
      <c r="V116" s="2943"/>
      <c r="W116" s="2943"/>
      <c r="X116" s="2943"/>
      <c r="Y116" s="2943"/>
      <c r="Z116" s="2943"/>
      <c r="AA116" s="2943"/>
      <c r="AB116" s="2943"/>
      <c r="AC116" s="2943"/>
      <c r="AD116" s="2943"/>
      <c r="AE116" s="2943"/>
      <c r="AF116" s="2943"/>
      <c r="AG116" s="2943"/>
      <c r="AH116" s="2943"/>
      <c r="AI116" s="2943"/>
      <c r="AJ116" s="2943"/>
      <c r="AK116" s="2943"/>
      <c r="AL116" s="2943"/>
      <c r="AM116" s="2943"/>
      <c r="AN116" s="2943"/>
      <c r="AO116" s="2943"/>
      <c r="AP116" s="2943"/>
      <c r="AQ116" s="2943"/>
      <c r="AR116" s="2943"/>
      <c r="AS116" s="2943"/>
      <c r="AT116" s="2943"/>
      <c r="AU116" s="2943"/>
      <c r="AV116" s="2943"/>
      <c r="AW116" s="2943"/>
      <c r="AX116" s="2944"/>
      <c r="AY116" s="1523"/>
      <c r="AZ116" s="1523"/>
      <c r="BA116" s="1523"/>
      <c r="BB116" s="1523"/>
      <c r="BC116" s="1523"/>
      <c r="BD116" s="1523"/>
      <c r="BE116" s="1529"/>
    </row>
    <row r="117" spans="1:57" ht="15.75" customHeight="1">
      <c r="A117" s="1802"/>
      <c r="B117" s="1523"/>
      <c r="C117" s="1523"/>
      <c r="D117" s="1523"/>
      <c r="E117" s="1523"/>
      <c r="F117" s="1523"/>
      <c r="G117" s="1523"/>
      <c r="H117" s="1523"/>
      <c r="I117" s="1523"/>
      <c r="J117" s="1523"/>
      <c r="K117" s="1523"/>
      <c r="L117" s="1523"/>
      <c r="M117" s="1523"/>
      <c r="N117" s="1523"/>
      <c r="O117" s="1523"/>
      <c r="P117" s="1523"/>
      <c r="Q117" s="1523"/>
      <c r="R117" s="1523"/>
      <c r="S117" s="1523"/>
      <c r="T117" s="1523"/>
      <c r="U117" s="1523"/>
      <c r="V117" s="1523"/>
      <c r="W117" s="1523"/>
      <c r="X117" s="1523"/>
      <c r="Y117" s="1523"/>
      <c r="Z117" s="1523"/>
      <c r="AA117" s="1523"/>
      <c r="AB117" s="1523"/>
      <c r="AC117" s="1523"/>
      <c r="AD117" s="1523"/>
      <c r="AE117" s="1523"/>
      <c r="AF117" s="1523"/>
      <c r="AG117" s="1523"/>
      <c r="AH117" s="1523"/>
      <c r="AI117" s="1523"/>
      <c r="AJ117" s="1523"/>
      <c r="AK117" s="1523"/>
      <c r="AL117" s="1523"/>
      <c r="AM117" s="1523"/>
      <c r="AN117" s="1523"/>
      <c r="AO117" s="1523"/>
      <c r="AP117" s="1523"/>
      <c r="AQ117" s="1523"/>
      <c r="AR117" s="1523"/>
      <c r="AS117" s="1523"/>
      <c r="AT117" s="1523"/>
      <c r="AU117" s="1523"/>
      <c r="AV117" s="1523"/>
      <c r="AW117" s="1523"/>
      <c r="AX117" s="1523"/>
      <c r="AY117" s="1523"/>
      <c r="AZ117" s="1523"/>
      <c r="BA117" s="1523"/>
      <c r="BB117" s="1523"/>
      <c r="BC117" s="1523"/>
      <c r="BD117" s="1523"/>
      <c r="BE117" s="1529"/>
    </row>
    <row r="118" spans="1:57" ht="15.75" customHeight="1">
      <c r="A118" s="1804"/>
      <c r="B118" s="1533" t="s">
        <v>2104</v>
      </c>
      <c r="C118" s="1533"/>
      <c r="D118" s="1533"/>
      <c r="E118" s="1533"/>
      <c r="F118" s="1533"/>
      <c r="G118" s="1533"/>
      <c r="H118" s="1533"/>
      <c r="I118" s="1533"/>
      <c r="J118" s="1533"/>
      <c r="K118" s="1533"/>
      <c r="L118" s="1533"/>
      <c r="M118" s="1533"/>
      <c r="N118" s="1530"/>
      <c r="O118" s="1530"/>
      <c r="P118" s="1523"/>
      <c r="Q118" s="1523"/>
      <c r="R118" s="1523"/>
      <c r="S118" s="1523"/>
      <c r="T118" s="1523"/>
      <c r="U118" s="1523"/>
      <c r="V118" s="1523"/>
      <c r="W118" s="1523"/>
      <c r="X118" s="1523"/>
      <c r="Y118" s="1523"/>
      <c r="Z118" s="1523"/>
      <c r="AA118" s="1523"/>
      <c r="AB118" s="1523"/>
      <c r="AC118" s="1523"/>
      <c r="AD118" s="1523"/>
      <c r="AE118" s="1523"/>
      <c r="AF118" s="1523"/>
      <c r="AG118" s="1523"/>
      <c r="AH118" s="1523"/>
      <c r="AI118" s="1523"/>
      <c r="AJ118" s="1523"/>
      <c r="AK118" s="1523"/>
      <c r="AL118" s="1523"/>
      <c r="AM118" s="1523"/>
      <c r="AN118" s="1523"/>
      <c r="AO118" s="1523"/>
      <c r="AP118" s="1523"/>
      <c r="AQ118" s="1523"/>
      <c r="AR118" s="1523"/>
      <c r="AS118" s="1523"/>
      <c r="AT118" s="1523"/>
      <c r="AU118" s="1523"/>
      <c r="AV118" s="1523"/>
      <c r="AW118" s="1523"/>
      <c r="AX118" s="1523"/>
      <c r="AY118" s="1523"/>
      <c r="AZ118" s="1523"/>
      <c r="BA118" s="1523"/>
      <c r="BB118" s="1523"/>
      <c r="BC118" s="1523"/>
      <c r="BD118" s="1523"/>
      <c r="BE118" s="1529"/>
    </row>
    <row r="119" spans="1:57" ht="15.75" customHeight="1" thickBot="1">
      <c r="A119" s="1802"/>
      <c r="B119" s="1523"/>
      <c r="C119" s="1523"/>
      <c r="D119" s="1523"/>
      <c r="E119" s="1523"/>
      <c r="F119" s="1523"/>
      <c r="G119" s="1523"/>
      <c r="H119" s="1523"/>
      <c r="I119" s="1523"/>
      <c r="J119" s="1523"/>
      <c r="K119" s="1523"/>
      <c r="L119" s="1523"/>
      <c r="M119" s="1523"/>
      <c r="N119" s="1523"/>
      <c r="O119" s="1523"/>
      <c r="P119" s="1530"/>
      <c r="Q119" s="1523"/>
      <c r="R119" s="1523"/>
      <c r="S119" s="1523"/>
      <c r="T119" s="1523"/>
      <c r="U119" s="1523"/>
      <c r="V119" s="1523"/>
      <c r="W119" s="1523"/>
      <c r="X119" s="1523"/>
      <c r="Y119" s="1523"/>
      <c r="Z119" s="1523"/>
      <c r="AA119" s="1523"/>
      <c r="AB119" s="1523"/>
      <c r="AC119" s="1523"/>
      <c r="AD119" s="1523"/>
      <c r="AE119" s="1523"/>
      <c r="AF119" s="1523"/>
      <c r="AG119" s="1523"/>
      <c r="AH119" s="1523"/>
      <c r="AI119" s="1523"/>
      <c r="AJ119" s="1523"/>
      <c r="AK119" s="1523"/>
      <c r="AL119" s="1523"/>
      <c r="AM119" s="1523"/>
      <c r="AN119" s="1523"/>
      <c r="AO119" s="1523"/>
      <c r="AP119" s="1523"/>
      <c r="AQ119" s="1523"/>
      <c r="AR119" s="1523"/>
      <c r="AS119" s="1523"/>
      <c r="AT119" s="1523"/>
      <c r="AU119" s="1523"/>
      <c r="AV119" s="1523"/>
      <c r="AW119" s="1523"/>
      <c r="AX119" s="1523"/>
      <c r="AY119" s="1523"/>
      <c r="AZ119" s="1523"/>
      <c r="BA119" s="1523"/>
      <c r="BB119" s="1523"/>
      <c r="BC119" s="1523"/>
      <c r="BD119" s="1523"/>
      <c r="BE119" s="1529"/>
    </row>
    <row r="120" spans="1:57" ht="15.75" customHeight="1">
      <c r="A120" s="1802"/>
      <c r="B120" s="2712" t="s">
        <v>2105</v>
      </c>
      <c r="C120" s="2713"/>
      <c r="D120" s="2713"/>
      <c r="E120" s="2713"/>
      <c r="F120" s="2713"/>
      <c r="G120" s="2713"/>
      <c r="H120" s="2713"/>
      <c r="I120" s="2713"/>
      <c r="J120" s="2713"/>
      <c r="K120" s="2713"/>
      <c r="L120" s="2713"/>
      <c r="M120" s="2713"/>
      <c r="N120" s="2713"/>
      <c r="O120" s="2713"/>
      <c r="P120" s="2713"/>
      <c r="Q120" s="2713"/>
      <c r="R120" s="2713"/>
      <c r="S120" s="2713"/>
      <c r="T120" s="2713"/>
      <c r="U120" s="2916"/>
      <c r="V120" s="1523"/>
      <c r="W120" s="1523"/>
      <c r="X120" s="1523"/>
      <c r="Y120" s="1523"/>
      <c r="Z120" s="1523"/>
      <c r="AA120" s="1523"/>
      <c r="AB120" s="1523"/>
      <c r="AC120" s="1523" t="s">
        <v>256</v>
      </c>
      <c r="AD120" s="1523"/>
      <c r="AE120" s="1523"/>
      <c r="AF120" s="1523"/>
      <c r="AG120" s="1523"/>
      <c r="AH120" s="1523"/>
      <c r="AI120" s="1523"/>
      <c r="AJ120" s="1523"/>
      <c r="AK120" s="1523"/>
      <c r="AL120" s="1523"/>
      <c r="AM120" s="1523"/>
      <c r="AN120" s="1523"/>
      <c r="AO120" s="1523"/>
      <c r="AP120" s="1523"/>
      <c r="AQ120" s="1523"/>
      <c r="AR120" s="1523"/>
      <c r="AS120" s="1523"/>
      <c r="AT120" s="1523"/>
      <c r="AU120" s="1523"/>
      <c r="AV120" s="1523"/>
      <c r="AW120" s="1523"/>
      <c r="AX120" s="1523"/>
      <c r="AY120" s="1523"/>
      <c r="AZ120" s="1523"/>
      <c r="BA120" s="1523"/>
      <c r="BB120" s="1523"/>
      <c r="BC120" s="1523"/>
      <c r="BD120" s="1523"/>
      <c r="BE120" s="1529"/>
    </row>
    <row r="121" spans="1:57" ht="15.75" customHeight="1">
      <c r="A121" s="1802"/>
      <c r="B121" s="2917"/>
      <c r="C121" s="2918"/>
      <c r="D121" s="2918"/>
      <c r="E121" s="2918"/>
      <c r="F121" s="2918"/>
      <c r="G121" s="2918"/>
      <c r="H121" s="2919"/>
      <c r="I121" s="2849" t="s">
        <v>2088</v>
      </c>
      <c r="J121" s="2850"/>
      <c r="K121" s="2850"/>
      <c r="L121" s="2850"/>
      <c r="M121" s="2850"/>
      <c r="N121" s="2850"/>
      <c r="O121" s="2920"/>
      <c r="P121" s="2849" t="s">
        <v>2099</v>
      </c>
      <c r="Q121" s="2850"/>
      <c r="R121" s="2850"/>
      <c r="S121" s="2850"/>
      <c r="T121" s="2850"/>
      <c r="U121" s="2920"/>
      <c r="V121" s="1523"/>
      <c r="W121" s="1523"/>
      <c r="X121" s="1523"/>
      <c r="Y121" s="1523"/>
      <c r="Z121" s="1523"/>
      <c r="AA121" s="1523"/>
      <c r="AB121" s="1523"/>
      <c r="AC121" s="1523"/>
      <c r="AD121" s="1523" t="s">
        <v>256</v>
      </c>
      <c r="AE121" s="1523"/>
      <c r="AF121" s="1523"/>
      <c r="AG121" s="1523"/>
      <c r="AH121" s="1523"/>
      <c r="AI121" s="1523"/>
      <c r="AJ121" s="1523"/>
      <c r="AK121" s="1523"/>
      <c r="AL121" s="1523"/>
      <c r="AM121" s="1523"/>
      <c r="AN121" s="1523"/>
      <c r="AO121" s="1523"/>
      <c r="AP121" s="1523"/>
      <c r="AQ121" s="1523"/>
      <c r="AR121" s="1523"/>
      <c r="AS121" s="1523"/>
      <c r="AT121" s="1523"/>
      <c r="AU121" s="1523"/>
      <c r="AV121" s="1523"/>
      <c r="AW121" s="1523"/>
      <c r="AX121" s="1523"/>
      <c r="AY121" s="1523"/>
      <c r="AZ121" s="1523"/>
      <c r="BA121" s="1523"/>
      <c r="BB121" s="1523"/>
      <c r="BC121" s="1523"/>
      <c r="BD121" s="1523"/>
      <c r="BE121" s="1529"/>
    </row>
    <row r="122" spans="1:57" ht="15.75" customHeight="1">
      <c r="A122" s="1802"/>
      <c r="B122" s="2921" t="s">
        <v>2091</v>
      </c>
      <c r="C122" s="2922"/>
      <c r="D122" s="2922"/>
      <c r="E122" s="2922"/>
      <c r="F122" s="2922"/>
      <c r="G122" s="2922"/>
      <c r="H122" s="2922"/>
      <c r="I122" s="2902"/>
      <c r="J122" s="2903"/>
      <c r="K122" s="2903"/>
      <c r="L122" s="2903"/>
      <c r="M122" s="2903"/>
      <c r="N122" s="2903"/>
      <c r="O122" s="2904"/>
      <c r="P122" s="2902"/>
      <c r="Q122" s="2903"/>
      <c r="R122" s="2903"/>
      <c r="S122" s="2903"/>
      <c r="T122" s="2903"/>
      <c r="U122" s="2904"/>
      <c r="V122" s="1523"/>
      <c r="W122" s="1523"/>
      <c r="X122" s="1523"/>
      <c r="Y122" s="1523"/>
      <c r="Z122" s="1523"/>
      <c r="AA122" s="1523"/>
      <c r="AB122" s="1523"/>
      <c r="AC122" s="1523"/>
      <c r="AD122" s="1523"/>
      <c r="AE122" s="1523"/>
      <c r="AF122" s="1523"/>
      <c r="AG122" s="1523"/>
      <c r="AH122" s="1523"/>
      <c r="AI122" s="1523"/>
      <c r="AJ122" s="1523"/>
      <c r="AK122" s="1523"/>
      <c r="AL122" s="1523"/>
      <c r="AM122" s="1523"/>
      <c r="AN122" s="1523"/>
      <c r="AO122" s="1523"/>
      <c r="AP122" s="1523"/>
      <c r="AQ122" s="1523"/>
      <c r="AR122" s="1523"/>
      <c r="AS122" s="1523"/>
      <c r="AT122" s="1523"/>
      <c r="AU122" s="1523"/>
      <c r="AV122" s="1523"/>
      <c r="AW122" s="1523"/>
      <c r="AX122" s="1523"/>
      <c r="AY122" s="1523"/>
      <c r="AZ122" s="1523"/>
      <c r="BA122" s="1523"/>
      <c r="BB122" s="1523"/>
      <c r="BC122" s="1523"/>
      <c r="BD122" s="1523"/>
      <c r="BE122" s="1529"/>
    </row>
    <row r="123" spans="1:57" ht="15.75" customHeight="1" thickBot="1">
      <c r="A123" s="1802"/>
      <c r="B123" s="2852" t="s">
        <v>2092</v>
      </c>
      <c r="C123" s="2853"/>
      <c r="D123" s="2853"/>
      <c r="E123" s="2853"/>
      <c r="F123" s="2853"/>
      <c r="G123" s="2853"/>
      <c r="H123" s="2853"/>
      <c r="I123" s="2902"/>
      <c r="J123" s="2903"/>
      <c r="K123" s="2903"/>
      <c r="L123" s="2903"/>
      <c r="M123" s="2903"/>
      <c r="N123" s="2903"/>
      <c r="O123" s="2904"/>
      <c r="P123" s="2902"/>
      <c r="Q123" s="2903"/>
      <c r="R123" s="2903"/>
      <c r="S123" s="2903"/>
      <c r="T123" s="2903"/>
      <c r="U123" s="2904"/>
      <c r="V123" s="1523"/>
      <c r="W123" s="1523"/>
      <c r="X123" s="1523"/>
      <c r="Y123" s="1523"/>
      <c r="Z123" s="1523"/>
      <c r="AA123" s="1523"/>
      <c r="AB123" s="1523"/>
      <c r="AC123" s="1523"/>
      <c r="AD123" s="1523"/>
      <c r="AE123" s="1523"/>
      <c r="AF123" s="1523"/>
      <c r="AG123" s="1523"/>
      <c r="AH123" s="1523"/>
      <c r="AI123" s="1523"/>
      <c r="AJ123" s="1523"/>
      <c r="AK123" s="1523"/>
      <c r="AL123" s="1523"/>
      <c r="AM123" s="1523"/>
      <c r="AN123" s="1523"/>
      <c r="AO123" s="1523"/>
      <c r="AP123" s="1523"/>
      <c r="AQ123" s="1523"/>
      <c r="AR123" s="1523"/>
      <c r="AS123" s="1523"/>
      <c r="AT123" s="1523"/>
      <c r="AU123" s="1523"/>
      <c r="AV123" s="1523"/>
      <c r="AW123" s="1523"/>
      <c r="AX123" s="1523"/>
      <c r="AY123" s="1523"/>
      <c r="AZ123" s="1523"/>
      <c r="BA123" s="1523"/>
      <c r="BB123" s="1523"/>
      <c r="BC123" s="1523"/>
      <c r="BD123" s="1523"/>
      <c r="BE123" s="1529"/>
    </row>
    <row r="124" spans="1:57" ht="15.75" customHeight="1" thickBot="1">
      <c r="A124" s="1802"/>
      <c r="B124" s="1523"/>
      <c r="C124" s="1523"/>
      <c r="D124" s="1523"/>
      <c r="E124" s="1523"/>
      <c r="F124" s="1523"/>
      <c r="G124" s="1523"/>
      <c r="H124" s="1523"/>
      <c r="I124" s="1523"/>
      <c r="J124" s="1523"/>
      <c r="K124" s="1523"/>
      <c r="L124" s="1523"/>
      <c r="M124" s="1523"/>
      <c r="N124" s="1523"/>
      <c r="O124" s="1523"/>
      <c r="P124" s="1523"/>
      <c r="Q124" s="1523"/>
      <c r="R124" s="1523"/>
      <c r="S124" s="1523"/>
      <c r="T124" s="1523"/>
      <c r="U124" s="1523"/>
      <c r="V124" s="1523"/>
      <c r="W124" s="1523"/>
      <c r="X124" s="1523"/>
      <c r="Y124" s="1523"/>
      <c r="Z124" s="1523"/>
      <c r="AA124" s="1523"/>
      <c r="AB124" s="1523"/>
      <c r="AC124" s="1523"/>
      <c r="AD124" s="1523"/>
      <c r="AE124" s="1523"/>
      <c r="AF124" s="1523"/>
      <c r="AG124" s="1523"/>
      <c r="AH124" s="1523"/>
      <c r="AI124" s="1523"/>
      <c r="AJ124" s="1523"/>
      <c r="AK124" s="1523"/>
      <c r="AL124" s="1523"/>
      <c r="AM124" s="1523"/>
      <c r="AN124" s="1523"/>
      <c r="AO124" s="1523"/>
      <c r="AP124" s="1523"/>
      <c r="AQ124" s="1523"/>
      <c r="AR124" s="1523"/>
      <c r="AS124" s="1523"/>
      <c r="AT124" s="1523"/>
      <c r="AU124" s="1523"/>
      <c r="AV124" s="1523"/>
      <c r="AW124" s="1523"/>
      <c r="AX124" s="1523"/>
      <c r="AY124" s="1523"/>
      <c r="AZ124" s="1523"/>
      <c r="BA124" s="1523"/>
      <c r="BB124" s="1523"/>
      <c r="BC124" s="1523"/>
      <c r="BD124" s="1523"/>
      <c r="BE124" s="1529"/>
    </row>
    <row r="125" spans="1:57" ht="15.75" customHeight="1">
      <c r="A125" s="1802"/>
      <c r="B125" s="1523"/>
      <c r="C125" s="2923" t="s">
        <v>2106</v>
      </c>
      <c r="D125" s="2924"/>
      <c r="E125" s="2924"/>
      <c r="F125" s="2924"/>
      <c r="G125" s="2924"/>
      <c r="H125" s="2924"/>
      <c r="I125" s="2924"/>
      <c r="J125" s="2924"/>
      <c r="K125" s="2924"/>
      <c r="L125" s="2924"/>
      <c r="M125" s="2924"/>
      <c r="N125" s="2924"/>
      <c r="O125" s="2924"/>
      <c r="P125" s="2924"/>
      <c r="Q125" s="2924"/>
      <c r="R125" s="2924"/>
      <c r="S125" s="2924"/>
      <c r="T125" s="2924"/>
      <c r="U125" s="2924"/>
      <c r="V125" s="2924"/>
      <c r="W125" s="2924"/>
      <c r="X125" s="2924"/>
      <c r="Y125" s="2924"/>
      <c r="Z125" s="2924"/>
      <c r="AA125" s="2924"/>
      <c r="AB125" s="2924"/>
      <c r="AC125" s="2924"/>
      <c r="AD125" s="2924"/>
      <c r="AE125" s="2924"/>
      <c r="AF125" s="2924"/>
      <c r="AG125" s="2925"/>
      <c r="AH125" s="1523"/>
      <c r="AI125" s="1523"/>
      <c r="AJ125" s="1523"/>
      <c r="AK125" s="1523"/>
      <c r="AL125" s="1523"/>
      <c r="AM125" s="1523"/>
      <c r="AN125" s="1523"/>
      <c r="AO125" s="1523"/>
      <c r="AP125" s="1523"/>
      <c r="AQ125" s="1523"/>
      <c r="AR125" s="1523"/>
      <c r="AS125" s="1523"/>
      <c r="AT125" s="1523"/>
      <c r="AU125" s="1523"/>
      <c r="AV125" s="1523"/>
      <c r="AW125" s="1523"/>
      <c r="AX125" s="1523"/>
      <c r="AY125" s="1523"/>
      <c r="AZ125" s="1523"/>
      <c r="BA125" s="1523"/>
      <c r="BB125" s="1523"/>
      <c r="BC125" s="1523"/>
      <c r="BD125" s="1523"/>
      <c r="BE125" s="1529"/>
    </row>
    <row r="126" spans="1:57" ht="15.75" customHeight="1" thickBot="1">
      <c r="A126" s="1802"/>
      <c r="B126" s="1523"/>
      <c r="C126" s="2926" t="s">
        <v>2107</v>
      </c>
      <c r="D126" s="2927"/>
      <c r="E126" s="2927"/>
      <c r="F126" s="2927"/>
      <c r="G126" s="2927"/>
      <c r="H126" s="2927"/>
      <c r="I126" s="2927"/>
      <c r="J126" s="2927"/>
      <c r="K126" s="2927"/>
      <c r="L126" s="2927"/>
      <c r="M126" s="2927"/>
      <c r="N126" s="2927"/>
      <c r="O126" s="2927"/>
      <c r="P126" s="2928"/>
      <c r="Q126" s="2929" t="s">
        <v>2108</v>
      </c>
      <c r="R126" s="2927"/>
      <c r="S126" s="2928"/>
      <c r="T126" s="2930" t="s">
        <v>2109</v>
      </c>
      <c r="U126" s="2931"/>
      <c r="V126" s="2931"/>
      <c r="W126" s="2931"/>
      <c r="X126" s="2931"/>
      <c r="Y126" s="2931"/>
      <c r="Z126" s="2931"/>
      <c r="AA126" s="2932"/>
      <c r="AB126" s="2933" t="s">
        <v>2110</v>
      </c>
      <c r="AC126" s="2934"/>
      <c r="AD126" s="2934"/>
      <c r="AE126" s="2934"/>
      <c r="AF126" s="2934"/>
      <c r="AG126" s="2935"/>
      <c r="AH126" s="1523"/>
      <c r="AI126" s="1523"/>
      <c r="AJ126" s="1523"/>
      <c r="AK126" s="1523"/>
      <c r="AL126" s="1523"/>
      <c r="AM126" s="1523"/>
      <c r="AN126" s="1523"/>
      <c r="AO126" s="1523"/>
      <c r="AP126" s="1523"/>
      <c r="AQ126" s="1523"/>
      <c r="AR126" s="1523"/>
      <c r="AS126" s="1523"/>
      <c r="AT126" s="1523"/>
      <c r="AU126" s="1523"/>
      <c r="AV126" s="1523"/>
      <c r="AW126" s="1523"/>
      <c r="AX126" s="1523"/>
      <c r="AY126" s="1523"/>
      <c r="AZ126" s="1523"/>
      <c r="BA126" s="1523"/>
      <c r="BB126" s="1523"/>
      <c r="BC126" s="1523"/>
      <c r="BD126" s="1523"/>
      <c r="BE126" s="1529"/>
    </row>
    <row r="127" spans="1:57" ht="15.75" customHeight="1">
      <c r="A127" s="1802"/>
      <c r="B127" s="1523"/>
      <c r="C127" s="2945" t="s">
        <v>2111</v>
      </c>
      <c r="D127" s="2946"/>
      <c r="E127" s="2946"/>
      <c r="F127" s="2946"/>
      <c r="G127" s="2946"/>
      <c r="H127" s="2946"/>
      <c r="I127" s="2946"/>
      <c r="J127" s="2946"/>
      <c r="K127" s="2946"/>
      <c r="L127" s="2946"/>
      <c r="M127" s="2946"/>
      <c r="N127" s="2946"/>
      <c r="O127" s="2946"/>
      <c r="P127" s="2947"/>
      <c r="Q127" s="2948">
        <v>55</v>
      </c>
      <c r="R127" s="2949"/>
      <c r="S127" s="2950"/>
      <c r="T127" s="2956"/>
      <c r="U127" s="2957"/>
      <c r="V127" s="2957"/>
      <c r="W127" s="2957"/>
      <c r="X127" s="2957"/>
      <c r="Y127" s="2957"/>
      <c r="Z127" s="2957"/>
      <c r="AA127" s="2957"/>
      <c r="AB127" s="1537"/>
      <c r="AC127" s="1538"/>
      <c r="AD127" s="1538"/>
      <c r="AE127" s="1538"/>
      <c r="AF127" s="1538"/>
      <c r="AG127" s="1539"/>
      <c r="AH127" s="1523"/>
      <c r="AI127" s="1523"/>
      <c r="AJ127" s="1523"/>
      <c r="AK127" s="1523"/>
      <c r="AL127" s="1523"/>
      <c r="AM127" s="1523"/>
      <c r="AN127" s="1523"/>
      <c r="AO127" s="1523"/>
      <c r="AP127" s="1523"/>
      <c r="AQ127" s="1523"/>
      <c r="AR127" s="1523"/>
      <c r="AS127" s="1523"/>
      <c r="AT127" s="1523"/>
      <c r="AU127" s="1523"/>
      <c r="AV127" s="1523"/>
      <c r="AW127" s="1523"/>
      <c r="AX127" s="1523"/>
      <c r="AY127" s="1523"/>
      <c r="AZ127" s="1523"/>
      <c r="BA127" s="1523"/>
      <c r="BB127" s="1523"/>
      <c r="BC127" s="1523"/>
      <c r="BD127" s="1523"/>
      <c r="BE127" s="1529"/>
    </row>
    <row r="128" spans="1:57" ht="15.75" customHeight="1">
      <c r="A128" s="1802"/>
      <c r="B128" s="1523"/>
      <c r="C128" s="2945" t="s">
        <v>430</v>
      </c>
      <c r="D128" s="2946"/>
      <c r="E128" s="2946"/>
      <c r="F128" s="2946"/>
      <c r="G128" s="2946"/>
      <c r="H128" s="2946"/>
      <c r="I128" s="2946"/>
      <c r="J128" s="2946"/>
      <c r="K128" s="2946"/>
      <c r="L128" s="2946"/>
      <c r="M128" s="2946"/>
      <c r="N128" s="2946"/>
      <c r="O128" s="2946"/>
      <c r="P128" s="2947"/>
      <c r="Q128" s="2948">
        <v>55</v>
      </c>
      <c r="R128" s="2949"/>
      <c r="S128" s="2950"/>
      <c r="T128" s="2958" t="str">
        <f>_xlfn.CONCAT(Application!AC515,"/", Application!AH515)</f>
        <v>N/A/</v>
      </c>
      <c r="U128" s="2959"/>
      <c r="V128" s="2959"/>
      <c r="W128" s="2959"/>
      <c r="X128" s="2959"/>
      <c r="Y128" s="2959"/>
      <c r="Z128" s="2959"/>
      <c r="AA128" s="2959"/>
      <c r="AB128" s="1540"/>
      <c r="AC128" s="1541"/>
      <c r="AD128" s="1541"/>
      <c r="AE128" s="1541"/>
      <c r="AF128" s="1541"/>
      <c r="AG128" s="1542"/>
      <c r="AH128" s="1523"/>
      <c r="AI128" s="1523"/>
      <c r="AJ128" s="1523"/>
      <c r="AK128" s="1523"/>
      <c r="AL128" s="1523"/>
      <c r="AM128" s="1523"/>
      <c r="AN128" s="1523"/>
      <c r="AO128" s="1523"/>
      <c r="AP128" s="1523"/>
      <c r="AQ128" s="1523"/>
      <c r="AR128" s="1523"/>
      <c r="AS128" s="1523"/>
      <c r="AT128" s="1523"/>
      <c r="AU128" s="1523"/>
      <c r="AV128" s="1523"/>
      <c r="AW128" s="1523"/>
      <c r="AX128" s="1523"/>
      <c r="AY128" s="1523"/>
      <c r="AZ128" s="1523"/>
      <c r="BA128" s="1523"/>
      <c r="BB128" s="1523"/>
      <c r="BC128" s="1523"/>
      <c r="BD128" s="1523"/>
      <c r="BE128" s="1529"/>
    </row>
    <row r="129" spans="1:57" ht="15.75" customHeight="1">
      <c r="A129" s="1802"/>
      <c r="B129" s="1523"/>
      <c r="C129" s="2945" t="s">
        <v>2112</v>
      </c>
      <c r="D129" s="2946"/>
      <c r="E129" s="2946"/>
      <c r="F129" s="2946"/>
      <c r="G129" s="2946"/>
      <c r="H129" s="2946"/>
      <c r="I129" s="2946"/>
      <c r="J129" s="2946"/>
      <c r="K129" s="2946"/>
      <c r="L129" s="2946"/>
      <c r="M129" s="2946"/>
      <c r="N129" s="2946"/>
      <c r="O129" s="2946"/>
      <c r="P129" s="2947"/>
      <c r="Q129" s="2948">
        <v>55</v>
      </c>
      <c r="R129" s="2949"/>
      <c r="S129" s="2950"/>
      <c r="T129" s="2951"/>
      <c r="U129" s="2952"/>
      <c r="V129" s="2952"/>
      <c r="W129" s="2952"/>
      <c r="X129" s="2952"/>
      <c r="Y129" s="2952"/>
      <c r="Z129" s="2952"/>
      <c r="AA129" s="2952"/>
      <c r="AB129" s="1540"/>
      <c r="AC129" s="1541"/>
      <c r="AD129" s="1541"/>
      <c r="AE129" s="1541"/>
      <c r="AF129" s="1541"/>
      <c r="AG129" s="1542"/>
      <c r="AH129" s="1523"/>
      <c r="AI129" s="1523"/>
      <c r="AJ129" s="1523"/>
      <c r="AK129" s="1523"/>
      <c r="AL129" s="1523"/>
      <c r="AM129" s="1523"/>
      <c r="AN129" s="1523"/>
      <c r="AO129" s="1523"/>
      <c r="AP129" s="1523"/>
      <c r="AQ129" s="1523"/>
      <c r="AR129" s="1523"/>
      <c r="AS129" s="1523"/>
      <c r="AT129" s="1523"/>
      <c r="AU129" s="1523"/>
      <c r="AV129" s="1523"/>
      <c r="AW129" s="1523"/>
      <c r="AX129" s="1523"/>
      <c r="AY129" s="1523"/>
      <c r="AZ129" s="1523"/>
      <c r="BA129" s="1523"/>
      <c r="BB129" s="1523"/>
      <c r="BC129" s="1523"/>
      <c r="BD129" s="1523"/>
      <c r="BE129" s="1529"/>
    </row>
    <row r="130" spans="1:57" ht="15.75" customHeight="1" thickBot="1">
      <c r="A130" s="1802"/>
      <c r="B130" s="1523"/>
      <c r="C130" s="2945" t="s">
        <v>2113</v>
      </c>
      <c r="D130" s="2946"/>
      <c r="E130" s="2946"/>
      <c r="F130" s="2946"/>
      <c r="G130" s="2946"/>
      <c r="H130" s="2946"/>
      <c r="I130" s="2946"/>
      <c r="J130" s="2946"/>
      <c r="K130" s="2946"/>
      <c r="L130" s="2946"/>
      <c r="M130" s="2946"/>
      <c r="N130" s="2946"/>
      <c r="O130" s="2946"/>
      <c r="P130" s="2947"/>
      <c r="Q130" s="2953"/>
      <c r="R130" s="2954"/>
      <c r="S130" s="2955"/>
      <c r="T130" s="2956"/>
      <c r="U130" s="2957"/>
      <c r="V130" s="2957"/>
      <c r="W130" s="2957"/>
      <c r="X130" s="2957"/>
      <c r="Y130" s="2957"/>
      <c r="Z130" s="2957"/>
      <c r="AA130" s="2957"/>
      <c r="AB130" s="1543"/>
      <c r="AC130" s="1544"/>
      <c r="AD130" s="1544"/>
      <c r="AE130" s="1544"/>
      <c r="AF130" s="1544"/>
      <c r="AG130" s="1545"/>
      <c r="AH130" s="1523"/>
      <c r="AI130" s="1523"/>
      <c r="AJ130" s="1523"/>
      <c r="AK130" s="1523"/>
      <c r="AL130" s="1523"/>
      <c r="AM130" s="1523"/>
      <c r="AN130" s="1523"/>
      <c r="AO130" s="1523"/>
      <c r="AP130" s="1523"/>
      <c r="AQ130" s="1523"/>
      <c r="AR130" s="1523"/>
      <c r="AS130" s="1523"/>
      <c r="AT130" s="1523"/>
      <c r="AU130" s="1523"/>
      <c r="AV130" s="1523"/>
      <c r="AW130" s="1523"/>
      <c r="AX130" s="1523"/>
      <c r="AY130" s="1523"/>
      <c r="AZ130" s="1523"/>
      <c r="BA130" s="1523"/>
      <c r="BB130" s="1523"/>
      <c r="BC130" s="1523"/>
      <c r="BD130" s="1523"/>
      <c r="BE130" s="1529"/>
    </row>
    <row r="131" spans="1:57" ht="15.75" customHeight="1">
      <c r="A131" s="1802"/>
      <c r="B131" s="1523"/>
      <c r="C131" s="2945" t="s">
        <v>2066</v>
      </c>
      <c r="D131" s="2946"/>
      <c r="E131" s="2946"/>
      <c r="F131" s="2946"/>
      <c r="G131" s="2946"/>
      <c r="H131" s="2946"/>
      <c r="I131" s="2946"/>
      <c r="J131" s="2946"/>
      <c r="K131" s="2946"/>
      <c r="L131" s="2946"/>
      <c r="M131" s="2946"/>
      <c r="N131" s="2946"/>
      <c r="O131" s="2946"/>
      <c r="P131" s="2947"/>
      <c r="Q131" s="2960">
        <f>Application!AG400</f>
        <v>0</v>
      </c>
      <c r="R131" s="2961"/>
      <c r="S131" s="2962"/>
      <c r="T131" s="2956"/>
      <c r="U131" s="2957"/>
      <c r="V131" s="2957"/>
      <c r="W131" s="2957"/>
      <c r="X131" s="2957"/>
      <c r="Y131" s="2957"/>
      <c r="Z131" s="2957"/>
      <c r="AA131" s="2963"/>
      <c r="AB131" s="2964">
        <f>Application!AE401</f>
        <v>0</v>
      </c>
      <c r="AC131" s="2965"/>
      <c r="AD131" s="2965"/>
      <c r="AE131" s="2965"/>
      <c r="AF131" s="2965"/>
      <c r="AG131" s="2966"/>
      <c r="AH131" s="1523"/>
      <c r="AI131" s="1523"/>
      <c r="AJ131" s="1523"/>
      <c r="AK131" s="1523"/>
      <c r="AL131" s="1523"/>
      <c r="AM131" s="1523"/>
      <c r="AN131" s="1523"/>
      <c r="AO131" s="1523"/>
      <c r="AP131" s="1523"/>
      <c r="AQ131" s="1523"/>
      <c r="AR131" s="1523"/>
      <c r="AS131" s="1523"/>
      <c r="AT131" s="1523"/>
      <c r="AU131" s="1523"/>
      <c r="AV131" s="1523"/>
      <c r="AW131" s="1523"/>
      <c r="AX131" s="1523"/>
      <c r="AY131" s="1523"/>
      <c r="AZ131" s="1523"/>
      <c r="BA131" s="1523"/>
      <c r="BB131" s="1523"/>
      <c r="BC131" s="1523"/>
      <c r="BD131" s="1523"/>
      <c r="BE131" s="1529"/>
    </row>
    <row r="132" spans="1:57" ht="15.75" customHeight="1" thickBot="1">
      <c r="A132" s="1802"/>
      <c r="B132" s="1523"/>
      <c r="C132" s="2681" t="s">
        <v>175</v>
      </c>
      <c r="D132" s="2682"/>
      <c r="E132" s="2682"/>
      <c r="F132" s="2967" t="s">
        <v>2114</v>
      </c>
      <c r="G132" s="2967"/>
      <c r="H132" s="2967"/>
      <c r="I132" s="2967"/>
      <c r="J132" s="2967"/>
      <c r="K132" s="2967"/>
      <c r="L132" s="2967"/>
      <c r="M132" s="2967"/>
      <c r="N132" s="2967"/>
      <c r="O132" s="2967"/>
      <c r="P132" s="2967"/>
      <c r="Q132" s="2968">
        <v>55</v>
      </c>
      <c r="R132" s="2968"/>
      <c r="S132" s="2968"/>
      <c r="T132" s="2969"/>
      <c r="U132" s="2969"/>
      <c r="V132" s="2969"/>
      <c r="W132" s="2969"/>
      <c r="X132" s="2969"/>
      <c r="Y132" s="2969"/>
      <c r="Z132" s="2969"/>
      <c r="AA132" s="2969"/>
      <c r="AB132" s="2970"/>
      <c r="AC132" s="2971"/>
      <c r="AD132" s="2971"/>
      <c r="AE132" s="2971"/>
      <c r="AF132" s="2971"/>
      <c r="AG132" s="2972"/>
      <c r="AH132" s="1523"/>
      <c r="AI132" s="1523"/>
      <c r="AJ132" s="1523"/>
      <c r="AK132" s="1523" t="s">
        <v>256</v>
      </c>
      <c r="AL132" s="1523"/>
      <c r="AM132" s="1523"/>
      <c r="AN132" s="1523"/>
      <c r="AO132" s="1523"/>
      <c r="AP132" s="1523"/>
      <c r="AQ132" s="1523"/>
      <c r="AR132" s="1523"/>
      <c r="AS132" s="1523"/>
      <c r="AT132" s="1523"/>
      <c r="AU132" s="1523"/>
      <c r="AV132" s="1523"/>
      <c r="AW132" s="1523"/>
      <c r="AX132" s="1523"/>
      <c r="AY132" s="1523"/>
      <c r="AZ132" s="1523"/>
      <c r="BA132" s="1523"/>
      <c r="BB132" s="1523"/>
      <c r="BC132" s="1523"/>
      <c r="BD132" s="1523"/>
      <c r="BE132" s="1529"/>
    </row>
    <row r="133" spans="1:57" ht="15.75" customHeight="1" thickBot="1">
      <c r="A133" s="1802"/>
      <c r="B133" s="1523"/>
      <c r="C133" s="2681" t="s">
        <v>175</v>
      </c>
      <c r="D133" s="2682"/>
      <c r="E133" s="2682"/>
      <c r="F133" s="2967" t="s">
        <v>2114</v>
      </c>
      <c r="G133" s="2967"/>
      <c r="H133" s="2967"/>
      <c r="I133" s="2967"/>
      <c r="J133" s="2967"/>
      <c r="K133" s="2967"/>
      <c r="L133" s="2967"/>
      <c r="M133" s="2967"/>
      <c r="N133" s="2967"/>
      <c r="O133" s="2967"/>
      <c r="P133" s="2967"/>
      <c r="Q133" s="2968">
        <v>55</v>
      </c>
      <c r="R133" s="2968"/>
      <c r="S133" s="2968"/>
      <c r="T133" s="2969"/>
      <c r="U133" s="2969"/>
      <c r="V133" s="2969"/>
      <c r="W133" s="2969"/>
      <c r="X133" s="2969"/>
      <c r="Y133" s="2969"/>
      <c r="Z133" s="2969"/>
      <c r="AA133" s="2969"/>
      <c r="AB133" s="2970"/>
      <c r="AC133" s="2971"/>
      <c r="AD133" s="2971"/>
      <c r="AE133" s="2971"/>
      <c r="AF133" s="2971"/>
      <c r="AG133" s="2972"/>
      <c r="AH133" s="1523"/>
      <c r="AI133" s="1523"/>
      <c r="AJ133" s="1523"/>
      <c r="AK133" s="1523"/>
      <c r="AL133" s="1523"/>
      <c r="AM133" s="1523"/>
      <c r="AN133" s="1523"/>
      <c r="AO133" s="1523"/>
      <c r="AP133" s="1523"/>
      <c r="AQ133" s="1523"/>
      <c r="AR133" s="1523"/>
      <c r="AS133" s="1523"/>
      <c r="AT133" s="1523"/>
      <c r="AU133" s="1523"/>
      <c r="AV133" s="1523"/>
      <c r="AW133" s="1523"/>
      <c r="AX133" s="1523"/>
      <c r="AY133" s="1523"/>
      <c r="AZ133" s="1523"/>
      <c r="BA133" s="1523"/>
      <c r="BB133" s="1523"/>
      <c r="BC133" s="1523"/>
      <c r="BD133" s="1523"/>
      <c r="BE133" s="1529"/>
    </row>
    <row r="134" spans="1:57" ht="15.75" customHeight="1" thickBot="1">
      <c r="A134" s="1802"/>
      <c r="B134" s="1523"/>
      <c r="C134" s="2681" t="s">
        <v>175</v>
      </c>
      <c r="D134" s="2682"/>
      <c r="E134" s="2682"/>
      <c r="F134" s="2973" t="s">
        <v>2114</v>
      </c>
      <c r="G134" s="2973"/>
      <c r="H134" s="2973"/>
      <c r="I134" s="2973"/>
      <c r="J134" s="2973"/>
      <c r="K134" s="2973"/>
      <c r="L134" s="2973"/>
      <c r="M134" s="2973"/>
      <c r="N134" s="2973"/>
      <c r="O134" s="2973"/>
      <c r="P134" s="2973"/>
      <c r="Q134" s="2855">
        <v>55</v>
      </c>
      <c r="R134" s="2855"/>
      <c r="S134" s="2855"/>
      <c r="T134" s="2854"/>
      <c r="U134" s="2854"/>
      <c r="V134" s="2854"/>
      <c r="W134" s="2854"/>
      <c r="X134" s="2854"/>
      <c r="Y134" s="2854"/>
      <c r="Z134" s="2854"/>
      <c r="AA134" s="2854"/>
      <c r="AB134" s="2974"/>
      <c r="AC134" s="2975"/>
      <c r="AD134" s="2975"/>
      <c r="AE134" s="2975"/>
      <c r="AF134" s="2975"/>
      <c r="AG134" s="2976"/>
      <c r="AH134" s="1523"/>
      <c r="AI134" s="1523"/>
      <c r="AJ134" s="1523"/>
      <c r="AK134" s="1523"/>
      <c r="AL134" s="1523"/>
      <c r="AM134" s="1523"/>
      <c r="AN134" s="1523"/>
      <c r="AO134" s="1523"/>
      <c r="AP134" s="1523"/>
      <c r="AQ134" s="1523"/>
      <c r="AR134" s="1523"/>
      <c r="AS134" s="1523"/>
      <c r="AT134" s="1523"/>
      <c r="AU134" s="1523"/>
      <c r="AV134" s="1523"/>
      <c r="AW134" s="1523"/>
      <c r="AX134" s="1523"/>
      <c r="AY134" s="1523"/>
      <c r="AZ134" s="1523"/>
      <c r="BA134" s="1523"/>
      <c r="BB134" s="1523"/>
      <c r="BC134" s="1523"/>
      <c r="BD134" s="1523"/>
      <c r="BE134" s="1529"/>
    </row>
    <row r="135" spans="1:57" ht="15.75" customHeight="1" thickBot="1">
      <c r="A135" s="1802"/>
      <c r="B135" s="1523"/>
      <c r="C135" s="1523"/>
      <c r="D135" s="1523"/>
      <c r="E135" s="1523"/>
      <c r="F135" s="1523"/>
      <c r="G135" s="1523"/>
      <c r="H135" s="1523"/>
      <c r="I135" s="1523"/>
      <c r="J135" s="1523"/>
      <c r="K135" s="1523"/>
      <c r="L135" s="1523"/>
      <c r="M135" s="1523"/>
      <c r="N135" s="1523"/>
      <c r="O135" s="1523"/>
      <c r="P135" s="1523"/>
      <c r="Q135" s="1523"/>
      <c r="R135" s="1523"/>
      <c r="S135" s="1523"/>
      <c r="T135" s="1523"/>
      <c r="U135" s="1523"/>
      <c r="V135" s="1523"/>
      <c r="W135" s="1523"/>
      <c r="X135" s="1523"/>
      <c r="Y135" s="1523"/>
      <c r="Z135" s="1523"/>
      <c r="AA135" s="1523"/>
      <c r="AB135" s="1523"/>
      <c r="AC135" s="1523"/>
      <c r="AD135" s="1523"/>
      <c r="AE135" s="1523"/>
      <c r="AF135" s="1523"/>
      <c r="AG135" s="1523"/>
      <c r="AH135" s="1523"/>
      <c r="AI135" s="1523"/>
      <c r="AJ135" s="1523"/>
      <c r="AK135" s="1523"/>
      <c r="AL135" s="1523"/>
      <c r="AM135" s="1523"/>
      <c r="AN135" s="1523"/>
      <c r="AO135" s="1523"/>
      <c r="AP135" s="1523"/>
      <c r="AQ135" s="1523"/>
      <c r="AR135" s="1523"/>
      <c r="AS135" s="1523"/>
      <c r="AT135" s="1523"/>
      <c r="AU135" s="1523"/>
      <c r="AV135" s="1523"/>
      <c r="AW135" s="1523"/>
      <c r="AX135" s="1523"/>
      <c r="AY135" s="1523"/>
      <c r="AZ135" s="1523"/>
      <c r="BA135" s="1523"/>
      <c r="BB135" s="1523"/>
      <c r="BC135" s="1523"/>
      <c r="BD135" s="1523"/>
      <c r="BE135" s="1529"/>
    </row>
    <row r="136" spans="1:57" ht="15.75" customHeight="1" thickBot="1">
      <c r="A136" s="1802"/>
      <c r="B136" s="1523"/>
      <c r="C136" s="2683" t="s">
        <v>2115</v>
      </c>
      <c r="D136" s="2684"/>
      <c r="E136" s="2684"/>
      <c r="F136" s="2684"/>
      <c r="G136" s="2684"/>
      <c r="H136" s="2684"/>
      <c r="I136" s="2684"/>
      <c r="J136" s="2684"/>
      <c r="K136" s="2684"/>
      <c r="L136" s="2684"/>
      <c r="M136" s="2684"/>
      <c r="N136" s="2685"/>
      <c r="O136" s="1523"/>
      <c r="P136" s="2978" t="s">
        <v>2116</v>
      </c>
      <c r="Q136" s="2979"/>
      <c r="R136" s="2979"/>
      <c r="S136" s="2979"/>
      <c r="T136" s="2979"/>
      <c r="U136" s="2979"/>
      <c r="V136" s="2979"/>
      <c r="W136" s="2979"/>
      <c r="X136" s="2979"/>
      <c r="Y136" s="2979"/>
      <c r="Z136" s="2979"/>
      <c r="AA136" s="2979"/>
      <c r="AB136" s="2979"/>
      <c r="AC136" s="2979"/>
      <c r="AD136" s="2979"/>
      <c r="AE136" s="2979"/>
      <c r="AF136" s="2979"/>
      <c r="AG136" s="2979"/>
      <c r="AH136" s="2979"/>
      <c r="AI136" s="2979"/>
      <c r="AJ136" s="2979"/>
      <c r="AK136" s="2979"/>
      <c r="AL136" s="2979"/>
      <c r="AM136" s="2979"/>
      <c r="AN136" s="2979"/>
      <c r="AO136" s="2980"/>
      <c r="AP136" s="1523"/>
      <c r="AQ136" s="1523"/>
      <c r="AR136" s="1523"/>
      <c r="AS136" s="1523"/>
      <c r="AT136" s="1523"/>
      <c r="AU136" s="1523"/>
      <c r="AV136" s="1523"/>
      <c r="AW136" s="1523"/>
      <c r="AX136" s="1523"/>
      <c r="AY136" s="1523"/>
      <c r="AZ136" s="1523"/>
      <c r="BA136" s="1523"/>
      <c r="BB136" s="1523"/>
      <c r="BC136" s="1523"/>
      <c r="BD136" s="1523"/>
      <c r="BE136" s="1529"/>
    </row>
    <row r="137" spans="1:57" ht="15.75" customHeight="1">
      <c r="A137" s="1802"/>
      <c r="B137" s="1523"/>
      <c r="C137" s="2888" t="s">
        <v>2117</v>
      </c>
      <c r="D137" s="2889"/>
      <c r="E137" s="2889"/>
      <c r="F137" s="2889"/>
      <c r="G137" s="2889"/>
      <c r="H137" s="2890"/>
      <c r="I137" s="2888" t="s">
        <v>2118</v>
      </c>
      <c r="J137" s="2889"/>
      <c r="K137" s="2889"/>
      <c r="L137" s="2889"/>
      <c r="M137" s="2889"/>
      <c r="N137" s="2890"/>
      <c r="O137" s="1523"/>
      <c r="P137" s="2981"/>
      <c r="Q137" s="2982"/>
      <c r="R137" s="2982"/>
      <c r="S137" s="2982"/>
      <c r="T137" s="2982"/>
      <c r="U137" s="2982"/>
      <c r="V137" s="2982"/>
      <c r="W137" s="2982"/>
      <c r="X137" s="2982"/>
      <c r="Y137" s="2982"/>
      <c r="Z137" s="2982"/>
      <c r="AA137" s="2982"/>
      <c r="AB137" s="2982"/>
      <c r="AC137" s="2982"/>
      <c r="AD137" s="2982"/>
      <c r="AE137" s="2982"/>
      <c r="AF137" s="2982"/>
      <c r="AG137" s="2982"/>
      <c r="AH137" s="2982"/>
      <c r="AI137" s="2982"/>
      <c r="AJ137" s="2982"/>
      <c r="AK137" s="2982"/>
      <c r="AL137" s="2982"/>
      <c r="AM137" s="2982"/>
      <c r="AN137" s="2982"/>
      <c r="AO137" s="2983"/>
      <c r="AP137" s="1523"/>
      <c r="AQ137" s="1523"/>
      <c r="AR137" s="1523"/>
      <c r="AS137" s="1523"/>
      <c r="AT137" s="1523"/>
      <c r="AU137" s="1523"/>
      <c r="AV137" s="1523"/>
      <c r="AW137" s="1523"/>
      <c r="AX137" s="1523"/>
      <c r="AY137" s="1523"/>
      <c r="AZ137" s="1523"/>
      <c r="BA137" s="1523"/>
      <c r="BB137" s="1523"/>
      <c r="BC137" s="1523"/>
      <c r="BD137" s="1523"/>
      <c r="BE137" s="1529"/>
    </row>
    <row r="138" spans="1:57" ht="15.75" customHeight="1">
      <c r="A138" s="1802"/>
      <c r="B138" s="1523"/>
      <c r="C138" s="2792"/>
      <c r="D138" s="2792"/>
      <c r="E138" s="2792"/>
      <c r="F138" s="2792"/>
      <c r="G138" s="2792"/>
      <c r="H138" s="2792"/>
      <c r="I138" s="2977"/>
      <c r="J138" s="2977"/>
      <c r="K138" s="2977"/>
      <c r="L138" s="2977"/>
      <c r="M138" s="2977"/>
      <c r="N138" s="2977"/>
      <c r="O138" s="1523"/>
      <c r="P138" s="2981"/>
      <c r="Q138" s="2982"/>
      <c r="R138" s="2982"/>
      <c r="S138" s="2982"/>
      <c r="T138" s="2982"/>
      <c r="U138" s="2982"/>
      <c r="V138" s="2982"/>
      <c r="W138" s="2982"/>
      <c r="X138" s="2982"/>
      <c r="Y138" s="2982"/>
      <c r="Z138" s="2982"/>
      <c r="AA138" s="2982"/>
      <c r="AB138" s="2982"/>
      <c r="AC138" s="2982"/>
      <c r="AD138" s="2982"/>
      <c r="AE138" s="2982"/>
      <c r="AF138" s="2982"/>
      <c r="AG138" s="2982"/>
      <c r="AH138" s="2982"/>
      <c r="AI138" s="2982"/>
      <c r="AJ138" s="2982"/>
      <c r="AK138" s="2982"/>
      <c r="AL138" s="2982"/>
      <c r="AM138" s="2982"/>
      <c r="AN138" s="2982"/>
      <c r="AO138" s="2983"/>
      <c r="AP138" s="1523"/>
      <c r="AQ138" s="1523"/>
      <c r="AR138" s="1523"/>
      <c r="AS138" s="1523"/>
      <c r="AT138" s="1523"/>
      <c r="AU138" s="1523"/>
      <c r="AV138" s="1523"/>
      <c r="AW138" s="1523"/>
      <c r="AX138" s="1523"/>
      <c r="AY138" s="1523"/>
      <c r="AZ138" s="1523"/>
      <c r="BA138" s="1523"/>
      <c r="BB138" s="1523"/>
      <c r="BC138" s="1523"/>
      <c r="BD138" s="1523"/>
      <c r="BE138" s="1529"/>
    </row>
    <row r="139" spans="1:57" ht="15.75" customHeight="1">
      <c r="A139" s="1802"/>
      <c r="B139" s="1523"/>
      <c r="C139" s="2792"/>
      <c r="D139" s="2792"/>
      <c r="E139" s="2792"/>
      <c r="F139" s="2792"/>
      <c r="G139" s="2792"/>
      <c r="H139" s="2792"/>
      <c r="I139" s="2977"/>
      <c r="J139" s="2977"/>
      <c r="K139" s="2977"/>
      <c r="L139" s="2977"/>
      <c r="M139" s="2977"/>
      <c r="N139" s="2977"/>
      <c r="O139" s="1523"/>
      <c r="P139" s="2981"/>
      <c r="Q139" s="2982"/>
      <c r="R139" s="2982"/>
      <c r="S139" s="2982"/>
      <c r="T139" s="2982"/>
      <c r="U139" s="2982"/>
      <c r="V139" s="2982"/>
      <c r="W139" s="2982"/>
      <c r="X139" s="2982"/>
      <c r="Y139" s="2982"/>
      <c r="Z139" s="2982"/>
      <c r="AA139" s="2982"/>
      <c r="AB139" s="2982"/>
      <c r="AC139" s="2982"/>
      <c r="AD139" s="2982"/>
      <c r="AE139" s="2982"/>
      <c r="AF139" s="2982"/>
      <c r="AG139" s="2982"/>
      <c r="AH139" s="2982"/>
      <c r="AI139" s="2982"/>
      <c r="AJ139" s="2982"/>
      <c r="AK139" s="2982"/>
      <c r="AL139" s="2982"/>
      <c r="AM139" s="2982"/>
      <c r="AN139" s="2982"/>
      <c r="AO139" s="2983"/>
      <c r="AP139" s="1523"/>
      <c r="AQ139" s="1523"/>
      <c r="AR139" s="1523"/>
      <c r="AS139" s="1523"/>
      <c r="AT139" s="1523"/>
      <c r="AU139" s="1523"/>
      <c r="AV139" s="1523"/>
      <c r="AW139" s="1523"/>
      <c r="AX139" s="1523"/>
      <c r="AY139" s="1523"/>
      <c r="AZ139" s="1523"/>
      <c r="BA139" s="1523"/>
      <c r="BB139" s="1523"/>
      <c r="BC139" s="1523"/>
      <c r="BD139" s="1523"/>
      <c r="BE139" s="1529"/>
    </row>
    <row r="140" spans="1:57" ht="15.75" customHeight="1">
      <c r="A140" s="1802"/>
      <c r="B140" s="1523"/>
      <c r="C140" s="2792"/>
      <c r="D140" s="2792"/>
      <c r="E140" s="2792"/>
      <c r="F140" s="2792"/>
      <c r="G140" s="2792"/>
      <c r="H140" s="2792"/>
      <c r="I140" s="2977"/>
      <c r="J140" s="2977"/>
      <c r="K140" s="2977"/>
      <c r="L140" s="2977"/>
      <c r="M140" s="2977"/>
      <c r="N140" s="2977"/>
      <c r="O140" s="1523"/>
      <c r="P140" s="2981"/>
      <c r="Q140" s="2982"/>
      <c r="R140" s="2982"/>
      <c r="S140" s="2982"/>
      <c r="T140" s="2982"/>
      <c r="U140" s="2982"/>
      <c r="V140" s="2982"/>
      <c r="W140" s="2982"/>
      <c r="X140" s="2982"/>
      <c r="Y140" s="2982"/>
      <c r="Z140" s="2982"/>
      <c r="AA140" s="2982"/>
      <c r="AB140" s="2982"/>
      <c r="AC140" s="2982"/>
      <c r="AD140" s="2982"/>
      <c r="AE140" s="2982"/>
      <c r="AF140" s="2982"/>
      <c r="AG140" s="2982"/>
      <c r="AH140" s="2982"/>
      <c r="AI140" s="2982"/>
      <c r="AJ140" s="2982"/>
      <c r="AK140" s="2982"/>
      <c r="AL140" s="2982"/>
      <c r="AM140" s="2982"/>
      <c r="AN140" s="2982"/>
      <c r="AO140" s="2983"/>
      <c r="AP140" s="1523"/>
      <c r="AQ140" s="1523"/>
      <c r="AR140" s="1523"/>
      <c r="AS140" s="1523"/>
      <c r="AT140" s="1523"/>
      <c r="AU140" s="1523"/>
      <c r="AV140" s="1523"/>
      <c r="AW140" s="1523"/>
      <c r="AX140" s="1523"/>
      <c r="AY140" s="1523"/>
      <c r="AZ140" s="1523"/>
      <c r="BA140" s="1523"/>
      <c r="BB140" s="1523"/>
      <c r="BC140" s="1523"/>
      <c r="BD140" s="1523"/>
      <c r="BE140" s="1529"/>
    </row>
    <row r="141" spans="1:57" ht="15.75" customHeight="1">
      <c r="A141" s="1802"/>
      <c r="B141" s="1523"/>
      <c r="C141" s="2792"/>
      <c r="D141" s="2792"/>
      <c r="E141" s="2792"/>
      <c r="F141" s="2792"/>
      <c r="G141" s="2792"/>
      <c r="H141" s="2792"/>
      <c r="I141" s="2977"/>
      <c r="J141" s="2977"/>
      <c r="K141" s="2977"/>
      <c r="L141" s="2977"/>
      <c r="M141" s="2977"/>
      <c r="N141" s="2977"/>
      <c r="O141" s="1523"/>
      <c r="P141" s="2981"/>
      <c r="Q141" s="2982"/>
      <c r="R141" s="2982"/>
      <c r="S141" s="2982"/>
      <c r="T141" s="2982"/>
      <c r="U141" s="2982"/>
      <c r="V141" s="2982"/>
      <c r="W141" s="2982"/>
      <c r="X141" s="2982"/>
      <c r="Y141" s="2982"/>
      <c r="Z141" s="2982"/>
      <c r="AA141" s="2982"/>
      <c r="AB141" s="2982"/>
      <c r="AC141" s="2982"/>
      <c r="AD141" s="2982"/>
      <c r="AE141" s="2982"/>
      <c r="AF141" s="2982"/>
      <c r="AG141" s="2982"/>
      <c r="AH141" s="2982"/>
      <c r="AI141" s="2982"/>
      <c r="AJ141" s="2982"/>
      <c r="AK141" s="2982"/>
      <c r="AL141" s="2982"/>
      <c r="AM141" s="2982"/>
      <c r="AN141" s="2982"/>
      <c r="AO141" s="2983"/>
      <c r="AP141" s="1523"/>
      <c r="AQ141" s="1523"/>
      <c r="AR141" s="1523"/>
      <c r="AS141" s="1523"/>
      <c r="AT141" s="1523"/>
      <c r="AU141" s="1523"/>
      <c r="AV141" s="1523"/>
      <c r="AW141" s="1523"/>
      <c r="AX141" s="1523"/>
      <c r="AY141" s="1523"/>
      <c r="AZ141" s="1523"/>
      <c r="BA141" s="1523"/>
      <c r="BB141" s="1523"/>
      <c r="BC141" s="1523"/>
      <c r="BD141" s="1523"/>
      <c r="BE141" s="1529"/>
    </row>
    <row r="142" spans="1:57" ht="15.75" customHeight="1">
      <c r="A142" s="1802"/>
      <c r="B142" s="1523"/>
      <c r="C142" s="2792"/>
      <c r="D142" s="2792"/>
      <c r="E142" s="2792"/>
      <c r="F142" s="2792"/>
      <c r="G142" s="2792"/>
      <c r="H142" s="2792"/>
      <c r="I142" s="2977"/>
      <c r="J142" s="2977"/>
      <c r="K142" s="2977"/>
      <c r="L142" s="2977"/>
      <c r="M142" s="2977"/>
      <c r="N142" s="2977"/>
      <c r="O142" s="1523"/>
      <c r="P142" s="2981"/>
      <c r="Q142" s="2982"/>
      <c r="R142" s="2982"/>
      <c r="S142" s="2982"/>
      <c r="T142" s="2982"/>
      <c r="U142" s="2982"/>
      <c r="V142" s="2982"/>
      <c r="W142" s="2982"/>
      <c r="X142" s="2982"/>
      <c r="Y142" s="2982"/>
      <c r="Z142" s="2982"/>
      <c r="AA142" s="2982"/>
      <c r="AB142" s="2982"/>
      <c r="AC142" s="2982"/>
      <c r="AD142" s="2982"/>
      <c r="AE142" s="2982"/>
      <c r="AF142" s="2982"/>
      <c r="AG142" s="2982"/>
      <c r="AH142" s="2982"/>
      <c r="AI142" s="2982"/>
      <c r="AJ142" s="2982"/>
      <c r="AK142" s="2982"/>
      <c r="AL142" s="2982"/>
      <c r="AM142" s="2982"/>
      <c r="AN142" s="2982"/>
      <c r="AO142" s="2983"/>
      <c r="AP142" s="1523"/>
      <c r="AQ142" s="1523"/>
      <c r="AR142" s="1523"/>
      <c r="AS142" s="1523"/>
      <c r="AT142" s="1523"/>
      <c r="AU142" s="1523"/>
      <c r="AV142" s="1523"/>
      <c r="AW142" s="1523"/>
      <c r="AX142" s="1523"/>
      <c r="AY142" s="1523"/>
      <c r="AZ142" s="1523"/>
      <c r="BA142" s="1523"/>
      <c r="BB142" s="1523"/>
      <c r="BC142" s="1523"/>
      <c r="BD142" s="1523"/>
      <c r="BE142" s="1529"/>
    </row>
    <row r="143" spans="1:57" ht="15.75" customHeight="1">
      <c r="A143" s="1802"/>
      <c r="B143" s="1523"/>
      <c r="C143" s="2792"/>
      <c r="D143" s="2792"/>
      <c r="E143" s="2792"/>
      <c r="F143" s="2792"/>
      <c r="G143" s="2792"/>
      <c r="H143" s="2792"/>
      <c r="I143" s="2977"/>
      <c r="J143" s="2977"/>
      <c r="K143" s="2977"/>
      <c r="L143" s="2977"/>
      <c r="M143" s="2977"/>
      <c r="N143" s="2977"/>
      <c r="O143" s="1523"/>
      <c r="P143" s="2981"/>
      <c r="Q143" s="2982"/>
      <c r="R143" s="2982"/>
      <c r="S143" s="2982"/>
      <c r="T143" s="2982"/>
      <c r="U143" s="2982"/>
      <c r="V143" s="2982"/>
      <c r="W143" s="2982"/>
      <c r="X143" s="2982"/>
      <c r="Y143" s="2982"/>
      <c r="Z143" s="2982"/>
      <c r="AA143" s="2982"/>
      <c r="AB143" s="2982"/>
      <c r="AC143" s="2982"/>
      <c r="AD143" s="2982"/>
      <c r="AE143" s="2982"/>
      <c r="AF143" s="2982"/>
      <c r="AG143" s="2982"/>
      <c r="AH143" s="2982"/>
      <c r="AI143" s="2982"/>
      <c r="AJ143" s="2982"/>
      <c r="AK143" s="2982"/>
      <c r="AL143" s="2982"/>
      <c r="AM143" s="2982"/>
      <c r="AN143" s="2982"/>
      <c r="AO143" s="2983"/>
      <c r="AP143" s="1523"/>
      <c r="AQ143" s="1523"/>
      <c r="AR143" s="1523"/>
      <c r="AS143" s="1523"/>
      <c r="AT143" s="1523"/>
      <c r="AU143" s="1523"/>
      <c r="AV143" s="1523"/>
      <c r="AW143" s="1523"/>
      <c r="AX143" s="1523"/>
      <c r="AY143" s="1523"/>
      <c r="AZ143" s="1523"/>
      <c r="BA143" s="1523"/>
      <c r="BB143" s="1523"/>
      <c r="BC143" s="1523"/>
      <c r="BD143" s="1523"/>
      <c r="BE143" s="1529"/>
    </row>
    <row r="144" spans="1:57" ht="15.75" customHeight="1" thickBot="1">
      <c r="A144" s="1802"/>
      <c r="B144" s="1523"/>
      <c r="C144" s="2792"/>
      <c r="D144" s="2792"/>
      <c r="E144" s="2792"/>
      <c r="F144" s="2792"/>
      <c r="G144" s="2792"/>
      <c r="H144" s="2792"/>
      <c r="I144" s="2977"/>
      <c r="J144" s="2977"/>
      <c r="K144" s="2977"/>
      <c r="L144" s="2977"/>
      <c r="M144" s="2977"/>
      <c r="N144" s="2977"/>
      <c r="O144" s="1523"/>
      <c r="P144" s="2984"/>
      <c r="Q144" s="2985"/>
      <c r="R144" s="2985"/>
      <c r="S144" s="2985"/>
      <c r="T144" s="2985"/>
      <c r="U144" s="2985"/>
      <c r="V144" s="2985"/>
      <c r="W144" s="2985"/>
      <c r="X144" s="2985"/>
      <c r="Y144" s="2985"/>
      <c r="Z144" s="2985"/>
      <c r="AA144" s="2985"/>
      <c r="AB144" s="2985"/>
      <c r="AC144" s="2985"/>
      <c r="AD144" s="2985"/>
      <c r="AE144" s="2985"/>
      <c r="AF144" s="2985"/>
      <c r="AG144" s="2985"/>
      <c r="AH144" s="2985"/>
      <c r="AI144" s="2985"/>
      <c r="AJ144" s="2985"/>
      <c r="AK144" s="2985"/>
      <c r="AL144" s="2985"/>
      <c r="AM144" s="2985"/>
      <c r="AN144" s="2985"/>
      <c r="AO144" s="2986"/>
      <c r="AP144" s="1523"/>
      <c r="AQ144" s="1523"/>
      <c r="AR144" s="1523"/>
      <c r="AS144" s="1523"/>
      <c r="AT144" s="1523"/>
      <c r="AU144" s="1523"/>
      <c r="AV144" s="1523"/>
      <c r="AW144" s="1523"/>
      <c r="AX144" s="1523"/>
      <c r="AY144" s="1523"/>
      <c r="AZ144" s="1523"/>
      <c r="BA144" s="1523"/>
      <c r="BB144" s="1523"/>
      <c r="BC144" s="1523"/>
      <c r="BD144" s="1523"/>
      <c r="BE144" s="1529"/>
    </row>
    <row r="145" spans="1:57" ht="15.75" customHeight="1">
      <c r="A145" s="1802"/>
      <c r="B145" s="1523"/>
      <c r="C145" s="1523"/>
      <c r="D145" s="1523"/>
      <c r="E145" s="1523"/>
      <c r="F145" s="1523"/>
      <c r="G145" s="1523"/>
      <c r="H145" s="1523"/>
      <c r="I145" s="1523"/>
      <c r="J145" s="1523"/>
      <c r="K145" s="1523"/>
      <c r="L145" s="1523"/>
      <c r="M145" s="1523"/>
      <c r="N145" s="1523"/>
      <c r="O145" s="1523"/>
      <c r="P145" s="1523"/>
      <c r="Q145" s="1523"/>
      <c r="R145" s="1523"/>
      <c r="S145" s="1523"/>
      <c r="T145" s="1523"/>
      <c r="U145" s="1523"/>
      <c r="V145" s="1523"/>
      <c r="W145" s="1523"/>
      <c r="X145" s="1523"/>
      <c r="Y145" s="1523"/>
      <c r="Z145" s="1523"/>
      <c r="AA145" s="1523"/>
      <c r="AB145" s="1523"/>
      <c r="AC145" s="1523"/>
      <c r="AD145" s="1523"/>
      <c r="AE145" s="1523"/>
      <c r="AF145" s="1523"/>
      <c r="AG145" s="1523"/>
      <c r="AH145" s="1523"/>
      <c r="AI145" s="1523"/>
      <c r="AJ145" s="1523"/>
      <c r="AK145" s="1523"/>
      <c r="AL145" s="1523"/>
      <c r="AM145" s="1523"/>
      <c r="AN145" s="1523"/>
      <c r="AO145" s="1523"/>
      <c r="AP145" s="1523"/>
      <c r="AQ145" s="1523"/>
      <c r="AR145" s="1523"/>
      <c r="AS145" s="1523"/>
      <c r="AT145" s="1523"/>
      <c r="AU145" s="1523"/>
      <c r="AV145" s="1523"/>
      <c r="AW145" s="1523"/>
      <c r="AX145" s="1523"/>
      <c r="AY145" s="1523"/>
      <c r="AZ145" s="1523"/>
      <c r="BA145" s="1523"/>
      <c r="BB145" s="1523"/>
      <c r="BC145" s="1523"/>
      <c r="BD145" s="1523"/>
      <c r="BE145" s="1529"/>
    </row>
    <row r="146" spans="1:57" ht="15.75" customHeight="1">
      <c r="A146" s="1802"/>
      <c r="B146" s="1523"/>
      <c r="C146" s="1533" t="s">
        <v>2119</v>
      </c>
      <c r="J146" s="1535"/>
      <c r="K146" s="1535"/>
      <c r="L146" s="1535"/>
      <c r="M146" s="1535"/>
      <c r="N146" s="1535"/>
      <c r="O146" s="1535"/>
      <c r="P146" s="1535"/>
      <c r="Q146" s="1535"/>
      <c r="R146" s="1535"/>
      <c r="S146" s="1535"/>
      <c r="T146" s="1535"/>
      <c r="U146" s="1535"/>
      <c r="V146" s="1535"/>
      <c r="W146" s="1535"/>
      <c r="X146" s="1535"/>
      <c r="Y146" s="1535"/>
      <c r="Z146" s="1535"/>
      <c r="AA146" s="1535"/>
      <c r="AB146" s="1535"/>
      <c r="AC146" s="1535"/>
      <c r="AD146" s="1535"/>
      <c r="AE146" s="1535"/>
      <c r="AF146" s="1535"/>
      <c r="AG146" s="1535"/>
      <c r="AH146" s="1535"/>
      <c r="AI146" s="1535"/>
      <c r="AJ146" s="1535"/>
      <c r="AK146" s="1535"/>
      <c r="AL146" s="1535"/>
      <c r="AM146" s="1535"/>
      <c r="AN146" s="1523"/>
      <c r="AO146" s="1523"/>
      <c r="AP146" s="1523"/>
      <c r="AQ146" s="1523"/>
      <c r="AR146" s="1523"/>
      <c r="AS146" s="1523"/>
      <c r="AT146" s="1523"/>
      <c r="AU146" s="1523"/>
      <c r="AV146" s="1523"/>
      <c r="AW146" s="1523"/>
      <c r="AX146" s="1523"/>
      <c r="AY146" s="1523"/>
      <c r="AZ146" s="1523"/>
      <c r="BA146" s="1523"/>
      <c r="BB146" s="1523"/>
      <c r="BC146" s="1523"/>
      <c r="BD146" s="1523"/>
      <c r="BE146" s="1529"/>
    </row>
    <row r="147" spans="1:57" ht="15.75" customHeight="1">
      <c r="A147" s="1802"/>
      <c r="B147" s="1523"/>
      <c r="C147" s="1546" t="s">
        <v>2120</v>
      </c>
      <c r="D147" s="1535"/>
      <c r="E147" s="1535"/>
      <c r="F147" s="1535"/>
      <c r="G147" s="1535"/>
      <c r="H147" s="1535"/>
      <c r="I147" s="1535"/>
      <c r="J147" s="1535"/>
      <c r="K147" s="1535"/>
      <c r="L147" s="1535"/>
      <c r="M147" s="1535"/>
      <c r="N147" s="1535"/>
      <c r="O147" s="1535"/>
      <c r="P147" s="1535"/>
      <c r="Q147" s="1535"/>
      <c r="R147" s="1535"/>
      <c r="S147" s="1535"/>
      <c r="T147" s="1535"/>
      <c r="U147" s="1535"/>
      <c r="V147" s="1535"/>
      <c r="W147" s="1535"/>
      <c r="X147" s="1535"/>
      <c r="Y147" s="1535"/>
      <c r="Z147" s="1535"/>
      <c r="AA147" s="1535"/>
      <c r="AB147" s="1535"/>
      <c r="AC147" s="1535"/>
      <c r="AD147" s="1535"/>
      <c r="AE147" s="1535"/>
      <c r="AF147" s="1535"/>
      <c r="AG147" s="1535"/>
      <c r="AH147" s="1523"/>
      <c r="AI147" s="1523"/>
      <c r="AJ147" s="1523"/>
      <c r="AK147" s="1523"/>
      <c r="AL147" s="1523"/>
      <c r="AM147" s="1523"/>
      <c r="AN147" s="1523"/>
      <c r="AO147" s="1523"/>
      <c r="AP147" s="1523"/>
      <c r="AQ147" s="1523"/>
      <c r="AR147" s="1523"/>
      <c r="AS147" s="1523"/>
      <c r="AT147" s="1523"/>
      <c r="AU147" s="1523"/>
      <c r="AV147" s="1523"/>
      <c r="AW147" s="1523"/>
      <c r="AX147" s="1523"/>
      <c r="AY147" s="1523"/>
      <c r="AZ147" s="1523"/>
      <c r="BA147" s="1523"/>
      <c r="BB147" s="1523"/>
      <c r="BC147" s="1523"/>
      <c r="BD147" s="1523"/>
      <c r="BE147" s="1529"/>
    </row>
    <row r="148" spans="1:57" ht="15.75" customHeight="1" thickBot="1">
      <c r="A148" s="1802"/>
      <c r="B148" s="1523"/>
      <c r="C148" s="1523"/>
      <c r="D148" s="1523"/>
      <c r="E148" s="1523"/>
      <c r="F148" s="1523"/>
      <c r="G148" s="1523"/>
      <c r="H148" s="1523"/>
      <c r="I148" s="1523"/>
      <c r="J148" s="1523"/>
      <c r="K148" s="1523"/>
      <c r="L148" s="1530"/>
      <c r="M148" s="1523"/>
      <c r="N148" s="1523"/>
      <c r="O148" s="1523"/>
      <c r="P148" s="1523"/>
      <c r="Q148" s="1523"/>
      <c r="R148" s="1523"/>
      <c r="S148" s="1523"/>
      <c r="T148" s="1523"/>
      <c r="U148" s="1523"/>
      <c r="V148" s="1523"/>
      <c r="W148" s="1523"/>
      <c r="X148" s="1523"/>
      <c r="Y148" s="1523"/>
      <c r="Z148" s="1523"/>
      <c r="AA148" s="1523"/>
      <c r="AB148" s="1523"/>
      <c r="AC148" s="1523"/>
      <c r="AD148" s="1523"/>
      <c r="AE148" s="1523"/>
      <c r="AF148" s="1523"/>
      <c r="AG148" s="1523"/>
      <c r="AH148" s="1523"/>
      <c r="AI148" s="1523"/>
      <c r="AJ148" s="1523"/>
      <c r="AK148" s="1523"/>
      <c r="AL148" s="1523"/>
      <c r="AM148" s="1523"/>
      <c r="AN148" s="1523"/>
      <c r="AO148" s="1523"/>
      <c r="AP148" s="1523"/>
      <c r="AQ148" s="1523"/>
      <c r="AR148" s="1523"/>
      <c r="AS148" s="1523"/>
      <c r="AT148" s="1523"/>
      <c r="AU148" s="1523"/>
      <c r="AV148" s="1523"/>
      <c r="AW148" s="1523"/>
      <c r="AX148" s="1523"/>
      <c r="AY148" s="1523"/>
      <c r="AZ148" s="1523"/>
      <c r="BA148" s="1523"/>
      <c r="BB148" s="1523"/>
      <c r="BC148" s="1523"/>
      <c r="BD148" s="1523"/>
      <c r="BE148" s="1529"/>
    </row>
    <row r="149" spans="1:57" ht="15.75" customHeight="1">
      <c r="A149" s="1802"/>
      <c r="B149" s="1523"/>
      <c r="C149" s="2997"/>
      <c r="D149" s="2998"/>
      <c r="E149" s="2998"/>
      <c r="F149" s="2998"/>
      <c r="G149" s="2998"/>
      <c r="H149" s="2998"/>
      <c r="I149" s="2998"/>
      <c r="J149" s="2998"/>
      <c r="K149" s="2998"/>
      <c r="L149" s="2998"/>
      <c r="M149" s="2999"/>
      <c r="N149" s="3000" t="s">
        <v>2121</v>
      </c>
      <c r="O149" s="3000"/>
      <c r="P149" s="3000"/>
      <c r="Q149" s="3000"/>
      <c r="R149" s="3000"/>
      <c r="S149" s="3000"/>
      <c r="T149" s="3001"/>
      <c r="U149" s="3002" t="s">
        <v>2107</v>
      </c>
      <c r="V149" s="2832"/>
      <c r="W149" s="2832"/>
      <c r="X149" s="2832"/>
      <c r="Y149" s="2832"/>
      <c r="Z149" s="2832"/>
      <c r="AA149" s="2832"/>
      <c r="AB149" s="2832"/>
      <c r="AC149" s="2832"/>
      <c r="AD149" s="2832"/>
      <c r="AE149" s="2833"/>
      <c r="AF149" s="1523"/>
      <c r="AG149" s="1523"/>
      <c r="AH149" s="2676" t="s">
        <v>2122</v>
      </c>
      <c r="AI149" s="2677"/>
      <c r="AJ149" s="2677"/>
      <c r="AK149" s="2677"/>
      <c r="AL149" s="2677"/>
      <c r="AM149" s="2677"/>
      <c r="AN149" s="2677"/>
      <c r="AO149" s="2677"/>
      <c r="AP149" s="2677"/>
      <c r="AQ149" s="2677"/>
      <c r="AR149" s="2677"/>
      <c r="AS149" s="2987"/>
      <c r="AT149" s="2988"/>
      <c r="AU149" s="2988"/>
      <c r="AV149" s="2988"/>
      <c r="AW149" s="2988"/>
      <c r="AX149" s="1523"/>
      <c r="AY149" s="1523"/>
      <c r="AZ149" s="1523"/>
      <c r="BA149" s="1523"/>
      <c r="BB149" s="1523"/>
      <c r="BC149" s="1523"/>
      <c r="BD149" s="1523"/>
      <c r="BE149" s="1529"/>
    </row>
    <row r="150" spans="1:57" ht="15.75" customHeight="1">
      <c r="A150" s="1802"/>
      <c r="B150" s="1523"/>
      <c r="C150" s="2926" t="s">
        <v>2123</v>
      </c>
      <c r="D150" s="2927"/>
      <c r="E150" s="2927"/>
      <c r="F150" s="2927"/>
      <c r="G150" s="2927"/>
      <c r="H150" s="2927"/>
      <c r="I150" s="2927"/>
      <c r="J150" s="2927"/>
      <c r="K150" s="2927"/>
      <c r="L150" s="2927"/>
      <c r="M150" s="2989"/>
      <c r="N150" s="2990">
        <f>'Sources and Uses Budget'!B104</f>
        <v>11768635</v>
      </c>
      <c r="O150" s="2990"/>
      <c r="P150" s="2990"/>
      <c r="Q150" s="2990"/>
      <c r="R150" s="2990"/>
      <c r="S150" s="2990"/>
      <c r="T150" s="2991"/>
      <c r="U150" s="2992"/>
      <c r="V150" s="2993"/>
      <c r="W150" s="2993"/>
      <c r="X150" s="2993"/>
      <c r="Y150" s="2993"/>
      <c r="Z150" s="2993"/>
      <c r="AA150" s="2993"/>
      <c r="AB150" s="2993"/>
      <c r="AC150" s="2993"/>
      <c r="AD150" s="2993"/>
      <c r="AE150" s="2994"/>
      <c r="AF150" s="1523"/>
      <c r="AG150" s="1523"/>
      <c r="AH150" s="2995" t="s">
        <v>2124</v>
      </c>
      <c r="AI150" s="2996"/>
      <c r="AJ150" s="2996"/>
      <c r="AK150" s="2996"/>
      <c r="AL150" s="2996"/>
      <c r="AM150" s="2996"/>
      <c r="AN150" s="2996"/>
      <c r="AO150" s="2996"/>
      <c r="AP150" s="2996"/>
      <c r="AQ150" s="2996"/>
      <c r="AR150" s="2996"/>
      <c r="AS150" s="2987"/>
      <c r="AT150" s="2988"/>
      <c r="AU150" s="2988"/>
      <c r="AV150" s="2988"/>
      <c r="AW150" s="2988"/>
      <c r="AX150" s="1523"/>
      <c r="AY150" s="1523"/>
      <c r="AZ150" s="1523"/>
      <c r="BA150" s="1523"/>
      <c r="BB150" s="1523"/>
      <c r="BC150" s="1523"/>
      <c r="BD150" s="1523"/>
      <c r="BE150" s="1529"/>
    </row>
    <row r="151" spans="1:57" ht="15.75" customHeight="1">
      <c r="A151" s="1802"/>
      <c r="B151" s="1523"/>
      <c r="C151" s="2926" t="s">
        <v>2125</v>
      </c>
      <c r="D151" s="2927"/>
      <c r="E151" s="2927"/>
      <c r="F151" s="2927"/>
      <c r="G151" s="2927"/>
      <c r="H151" s="2927"/>
      <c r="I151" s="2927"/>
      <c r="J151" s="2927"/>
      <c r="K151" s="2927"/>
      <c r="L151" s="2927"/>
      <c r="M151" s="2989"/>
      <c r="N151" s="2990">
        <f>N150/J29</f>
        <v>58843.175000000003</v>
      </c>
      <c r="O151" s="2990"/>
      <c r="P151" s="2990"/>
      <c r="Q151" s="2990"/>
      <c r="R151" s="2990"/>
      <c r="S151" s="2990"/>
      <c r="T151" s="2991"/>
      <c r="U151" s="1547"/>
      <c r="V151" s="1547"/>
      <c r="W151" s="1547"/>
      <c r="X151" s="1547"/>
      <c r="Y151" s="1547"/>
      <c r="Z151" s="1547"/>
      <c r="AA151" s="1547"/>
      <c r="AB151" s="1547"/>
      <c r="AC151" s="1547"/>
      <c r="AD151" s="1547"/>
      <c r="AE151" s="1548"/>
      <c r="AF151" s="1523"/>
      <c r="AG151" s="1523"/>
      <c r="AH151" s="2945" t="s">
        <v>2126</v>
      </c>
      <c r="AI151" s="2946"/>
      <c r="AJ151" s="2946"/>
      <c r="AK151" s="2946"/>
      <c r="AL151" s="2946"/>
      <c r="AM151" s="2946"/>
      <c r="AN151" s="2946"/>
      <c r="AO151" s="2946"/>
      <c r="AP151" s="2946"/>
      <c r="AQ151" s="2946"/>
      <c r="AR151" s="2947"/>
      <c r="AS151" s="2987"/>
      <c r="AT151" s="2988"/>
      <c r="AU151" s="2988"/>
      <c r="AV151" s="2988"/>
      <c r="AW151" s="2988"/>
      <c r="AX151" s="1523"/>
      <c r="AY151" s="1523"/>
      <c r="AZ151" s="1523"/>
      <c r="BA151" s="1523"/>
      <c r="BB151" s="1523"/>
      <c r="BC151" s="1523"/>
      <c r="BD151" s="1523"/>
      <c r="BE151" s="1529"/>
    </row>
    <row r="152" spans="1:57" ht="15.75" customHeight="1">
      <c r="A152" s="1802"/>
      <c r="B152" s="1523"/>
      <c r="C152" s="3013" t="s">
        <v>2127</v>
      </c>
      <c r="D152" s="2850"/>
      <c r="E152" s="2850"/>
      <c r="F152" s="2850"/>
      <c r="G152" s="2850"/>
      <c r="H152" s="2850"/>
      <c r="I152" s="2850"/>
      <c r="J152" s="2850"/>
      <c r="K152" s="2850"/>
      <c r="L152" s="2850"/>
      <c r="M152" s="2851"/>
      <c r="N152" s="3014"/>
      <c r="O152" s="3014"/>
      <c r="P152" s="3014"/>
      <c r="Q152" s="3014"/>
      <c r="R152" s="3014"/>
      <c r="S152" s="3014"/>
      <c r="T152" s="3015"/>
      <c r="U152" s="3020"/>
      <c r="V152" s="3021"/>
      <c r="W152" s="3021"/>
      <c r="X152" s="3021"/>
      <c r="Y152" s="3021"/>
      <c r="Z152" s="3021"/>
      <c r="AA152" s="3021"/>
      <c r="AB152" s="3021"/>
      <c r="AC152" s="3021"/>
      <c r="AD152" s="3021"/>
      <c r="AE152" s="3022"/>
      <c r="AF152" s="1523"/>
      <c r="AG152" s="1523"/>
      <c r="AH152" s="2992"/>
      <c r="AI152" s="2993"/>
      <c r="AJ152" s="2993"/>
      <c r="AK152" s="2993"/>
      <c r="AL152" s="2993"/>
      <c r="AM152" s="2993"/>
      <c r="AN152" s="2993"/>
      <c r="AO152" s="2993"/>
      <c r="AP152" s="2993"/>
      <c r="AQ152" s="2993"/>
      <c r="AR152" s="3016"/>
      <c r="AS152" s="3017"/>
      <c r="AT152" s="3018"/>
      <c r="AU152" s="3018"/>
      <c r="AV152" s="3018"/>
      <c r="AW152" s="3019"/>
      <c r="AX152" s="1523"/>
      <c r="AY152" s="1523"/>
      <c r="AZ152" s="1523"/>
      <c r="BA152" s="1523"/>
      <c r="BB152" s="1523"/>
      <c r="BC152" s="1523"/>
      <c r="BD152" s="1523"/>
      <c r="BE152" s="1529"/>
    </row>
    <row r="153" spans="1:57" ht="15.75" customHeight="1" thickBot="1">
      <c r="A153" s="1802"/>
      <c r="B153" s="1523"/>
      <c r="C153" s="2945" t="s">
        <v>2128</v>
      </c>
      <c r="D153" s="2946"/>
      <c r="E153" s="2946"/>
      <c r="F153" s="2946"/>
      <c r="G153" s="2946"/>
      <c r="H153" s="2946"/>
      <c r="I153" s="2946"/>
      <c r="J153" s="2946"/>
      <c r="K153" s="2946"/>
      <c r="L153" s="2946"/>
      <c r="M153" s="3003"/>
      <c r="N153" s="3004">
        <f>SUM('Sources and Uses Budget'!B85:B86)</f>
        <v>2570683</v>
      </c>
      <c r="O153" s="3004"/>
      <c r="P153" s="3004"/>
      <c r="Q153" s="3004"/>
      <c r="R153" s="3004"/>
      <c r="S153" s="3004"/>
      <c r="T153" s="3005"/>
      <c r="U153" s="3006"/>
      <c r="V153" s="3007"/>
      <c r="W153" s="3007"/>
      <c r="X153" s="3007"/>
      <c r="Y153" s="3007"/>
      <c r="Z153" s="3007"/>
      <c r="AA153" s="3007"/>
      <c r="AB153" s="3007"/>
      <c r="AC153" s="3007"/>
      <c r="AD153" s="3007"/>
      <c r="AE153" s="3008"/>
      <c r="AF153" s="1523"/>
      <c r="AG153" s="1523"/>
      <c r="AH153" s="3009" t="s">
        <v>2129</v>
      </c>
      <c r="AI153" s="3010"/>
      <c r="AJ153" s="3010"/>
      <c r="AK153" s="3010"/>
      <c r="AL153" s="3010"/>
      <c r="AM153" s="3010"/>
      <c r="AN153" s="3010"/>
      <c r="AO153" s="3010"/>
      <c r="AP153" s="3010"/>
      <c r="AQ153" s="3010"/>
      <c r="AR153" s="3010"/>
      <c r="AS153" s="3011">
        <f>SUM(AS149:AW151)</f>
        <v>0</v>
      </c>
      <c r="AT153" s="3012"/>
      <c r="AU153" s="3012"/>
      <c r="AV153" s="3012"/>
      <c r="AW153" s="3012"/>
      <c r="AX153" s="1523"/>
      <c r="AY153" s="1523"/>
      <c r="AZ153" s="1523"/>
      <c r="BA153" s="1523"/>
      <c r="BB153" s="1523"/>
      <c r="BC153" s="1523"/>
      <c r="BD153" s="1523"/>
      <c r="BE153" s="1529"/>
    </row>
    <row r="154" spans="1:57" ht="15.75" customHeight="1">
      <c r="A154" s="1802"/>
      <c r="B154" s="1523"/>
      <c r="C154" s="2945" t="s">
        <v>2130</v>
      </c>
      <c r="D154" s="2946"/>
      <c r="E154" s="2946"/>
      <c r="F154" s="2946"/>
      <c r="G154" s="2946"/>
      <c r="H154" s="2946"/>
      <c r="I154" s="2946"/>
      <c r="J154" s="2946"/>
      <c r="K154" s="2946"/>
      <c r="L154" s="2946"/>
      <c r="M154" s="3003"/>
      <c r="N154" s="3004">
        <f>'Sources and Uses Budget'!B8</f>
        <v>4667275</v>
      </c>
      <c r="O154" s="3004"/>
      <c r="P154" s="3004"/>
      <c r="Q154" s="3004"/>
      <c r="R154" s="3004"/>
      <c r="S154" s="3004"/>
      <c r="T154" s="3005"/>
      <c r="U154" s="3006"/>
      <c r="V154" s="3007"/>
      <c r="W154" s="3007"/>
      <c r="X154" s="3007"/>
      <c r="Y154" s="3007"/>
      <c r="Z154" s="3007"/>
      <c r="AA154" s="3007"/>
      <c r="AB154" s="3007"/>
      <c r="AC154" s="3007"/>
      <c r="AD154" s="3007"/>
      <c r="AE154" s="3008"/>
      <c r="AF154" s="1523"/>
      <c r="AG154" s="1523"/>
      <c r="AH154" s="1523"/>
      <c r="AI154" s="1523"/>
      <c r="AJ154" s="1523"/>
      <c r="AK154" s="1523"/>
      <c r="AL154" s="1523"/>
      <c r="AM154" s="1523"/>
      <c r="AN154" s="1523"/>
      <c r="AO154" s="1523"/>
      <c r="AP154" s="1523"/>
      <c r="AQ154" s="1523"/>
      <c r="AR154" s="1523"/>
      <c r="AS154" s="1523"/>
      <c r="AT154" s="1523"/>
      <c r="AU154" s="1523"/>
      <c r="AV154" s="1523"/>
      <c r="AW154" s="1523"/>
      <c r="AX154" s="1523"/>
      <c r="AY154" s="1523"/>
      <c r="AZ154" s="1523"/>
      <c r="BA154" s="1523"/>
      <c r="BB154" s="1523"/>
      <c r="BC154" s="1523"/>
      <c r="BD154" s="1523"/>
      <c r="BE154" s="1529"/>
    </row>
    <row r="155" spans="1:57" ht="15.75" customHeight="1">
      <c r="A155" s="1802"/>
      <c r="B155" s="1523"/>
      <c r="C155" s="2945" t="s">
        <v>2131</v>
      </c>
      <c r="D155" s="2946"/>
      <c r="E155" s="2946"/>
      <c r="F155" s="2946"/>
      <c r="G155" s="2946"/>
      <c r="H155" s="2946"/>
      <c r="I155" s="2946"/>
      <c r="J155" s="2946"/>
      <c r="K155" s="2946"/>
      <c r="L155" s="2946"/>
      <c r="M155" s="3003"/>
      <c r="N155" s="3026"/>
      <c r="O155" s="3026"/>
      <c r="P155" s="3026"/>
      <c r="Q155" s="3026"/>
      <c r="R155" s="3026"/>
      <c r="S155" s="3026"/>
      <c r="T155" s="3027"/>
      <c r="U155" s="3006"/>
      <c r="V155" s="3007"/>
      <c r="W155" s="3007"/>
      <c r="X155" s="3007"/>
      <c r="Y155" s="3007"/>
      <c r="Z155" s="3007"/>
      <c r="AA155" s="3007"/>
      <c r="AB155" s="3007"/>
      <c r="AC155" s="3007"/>
      <c r="AD155" s="3007"/>
      <c r="AE155" s="3008"/>
      <c r="AF155" s="1523"/>
      <c r="AG155" s="1523"/>
      <c r="AH155" s="1523"/>
      <c r="AI155" s="1523"/>
      <c r="AJ155" s="1523"/>
      <c r="AK155" s="1523"/>
      <c r="AL155" s="1523"/>
      <c r="AM155" s="1523"/>
      <c r="AN155" s="1523"/>
      <c r="AO155" s="1523"/>
      <c r="AP155" s="1523"/>
      <c r="AQ155" s="1523"/>
      <c r="AR155" s="1523"/>
      <c r="AS155" s="1523"/>
      <c r="AT155" s="1523"/>
      <c r="AU155" s="1523"/>
      <c r="AV155" s="1523"/>
      <c r="AW155" s="1523"/>
      <c r="AX155" s="1523"/>
      <c r="AY155" s="1523"/>
      <c r="AZ155" s="1523"/>
      <c r="BA155" s="1523"/>
      <c r="BB155" s="1523"/>
      <c r="BC155" s="1523"/>
      <c r="BD155" s="1523"/>
      <c r="BE155" s="1529"/>
    </row>
    <row r="156" spans="1:57" ht="15.75" customHeight="1">
      <c r="A156" s="1802"/>
      <c r="B156" s="1523"/>
      <c r="C156" s="2945" t="s">
        <v>2124</v>
      </c>
      <c r="D156" s="2946"/>
      <c r="E156" s="2946"/>
      <c r="F156" s="2946"/>
      <c r="G156" s="2946"/>
      <c r="H156" s="2946"/>
      <c r="I156" s="2946"/>
      <c r="J156" s="2946"/>
      <c r="K156" s="2946"/>
      <c r="L156" s="2946"/>
      <c r="M156" s="3003"/>
      <c r="N156" s="3026"/>
      <c r="O156" s="3026"/>
      <c r="P156" s="3026"/>
      <c r="Q156" s="3026"/>
      <c r="R156" s="3026"/>
      <c r="S156" s="3026"/>
      <c r="T156" s="3027"/>
      <c r="U156" s="3006"/>
      <c r="V156" s="3007"/>
      <c r="W156" s="3007"/>
      <c r="X156" s="3007"/>
      <c r="Y156" s="3007"/>
      <c r="Z156" s="3007"/>
      <c r="AA156" s="3007"/>
      <c r="AB156" s="3007"/>
      <c r="AC156" s="3007"/>
      <c r="AD156" s="3007"/>
      <c r="AE156" s="3008"/>
      <c r="AF156" s="1523"/>
      <c r="AG156" s="1523"/>
      <c r="AH156" s="1523"/>
      <c r="AI156" s="1523"/>
      <c r="AJ156" s="1523"/>
      <c r="AK156" s="1523"/>
      <c r="AL156" s="1523"/>
      <c r="AM156" s="1523"/>
      <c r="AN156" s="1523"/>
      <c r="AO156" s="1523"/>
      <c r="AP156" s="1523"/>
      <c r="AQ156" s="1523"/>
      <c r="AR156" s="1523"/>
      <c r="AS156" s="1523"/>
      <c r="AT156" s="1523"/>
      <c r="AU156" s="1523"/>
      <c r="AV156" s="1523"/>
      <c r="AW156" s="1523"/>
      <c r="AX156" s="1523"/>
      <c r="AY156" s="1523"/>
      <c r="AZ156" s="1523"/>
      <c r="BA156" s="1523"/>
      <c r="BB156" s="1523"/>
      <c r="BC156" s="1523"/>
      <c r="BD156" s="1523"/>
      <c r="BE156" s="1529"/>
    </row>
    <row r="157" spans="1:57" ht="15.75" customHeight="1">
      <c r="A157" s="1802"/>
      <c r="B157" s="1523"/>
      <c r="C157" s="3023" t="s">
        <v>308</v>
      </c>
      <c r="D157" s="3024"/>
      <c r="E157" s="2967" t="s">
        <v>2114</v>
      </c>
      <c r="F157" s="2967"/>
      <c r="G157" s="2967"/>
      <c r="H157" s="2967"/>
      <c r="I157" s="2967"/>
      <c r="J157" s="2967"/>
      <c r="K157" s="2967"/>
      <c r="L157" s="2967"/>
      <c r="M157" s="3025"/>
      <c r="N157" s="3026"/>
      <c r="O157" s="3026"/>
      <c r="P157" s="3026"/>
      <c r="Q157" s="3026"/>
      <c r="R157" s="3026"/>
      <c r="S157" s="3026"/>
      <c r="T157" s="3027"/>
      <c r="U157" s="3006"/>
      <c r="V157" s="3007"/>
      <c r="W157" s="3007"/>
      <c r="X157" s="3007"/>
      <c r="Y157" s="3007"/>
      <c r="Z157" s="3007"/>
      <c r="AA157" s="3007"/>
      <c r="AB157" s="3007"/>
      <c r="AC157" s="3007"/>
      <c r="AD157" s="3007"/>
      <c r="AE157" s="3008"/>
      <c r="AF157" s="1523"/>
      <c r="AG157" s="1523"/>
      <c r="AH157" s="1523"/>
      <c r="AI157" s="1523"/>
      <c r="AJ157" s="1523"/>
      <c r="AK157" s="1523"/>
      <c r="AL157" s="1523"/>
      <c r="AM157" s="1523"/>
      <c r="AN157" s="1523"/>
      <c r="AO157" s="1523"/>
      <c r="AP157" s="1523"/>
      <c r="AQ157" s="1523"/>
      <c r="AR157" s="1523"/>
      <c r="AS157" s="1523"/>
      <c r="AT157" s="1523"/>
      <c r="AU157" s="1523"/>
      <c r="AV157" s="1523"/>
      <c r="AW157" s="1523"/>
      <c r="AX157" s="1523"/>
      <c r="AY157" s="1685"/>
      <c r="AZ157" s="1523"/>
      <c r="BA157" s="1523"/>
      <c r="BB157" s="1523"/>
      <c r="BC157" s="1523"/>
      <c r="BD157" s="1523"/>
      <c r="BE157" s="1529"/>
    </row>
    <row r="158" spans="1:57" ht="15.75" customHeight="1">
      <c r="A158" s="1802"/>
      <c r="B158" s="1523"/>
      <c r="C158" s="3020" t="s">
        <v>308</v>
      </c>
      <c r="D158" s="3021"/>
      <c r="E158" s="2967" t="s">
        <v>2114</v>
      </c>
      <c r="F158" s="2967"/>
      <c r="G158" s="2967"/>
      <c r="H158" s="2967"/>
      <c r="I158" s="2967"/>
      <c r="J158" s="2967"/>
      <c r="K158" s="2967"/>
      <c r="L158" s="2967"/>
      <c r="M158" s="3025"/>
      <c r="N158" s="3026"/>
      <c r="O158" s="3026"/>
      <c r="P158" s="3026"/>
      <c r="Q158" s="3026"/>
      <c r="R158" s="3026"/>
      <c r="S158" s="3026"/>
      <c r="T158" s="3027"/>
      <c r="U158" s="3006"/>
      <c r="V158" s="3007"/>
      <c r="W158" s="3007"/>
      <c r="X158" s="3007"/>
      <c r="Y158" s="3007"/>
      <c r="Z158" s="3007"/>
      <c r="AA158" s="3007"/>
      <c r="AB158" s="3007"/>
      <c r="AC158" s="3007"/>
      <c r="AD158" s="3007"/>
      <c r="AE158" s="3008"/>
      <c r="AF158" s="1523"/>
      <c r="AG158" s="1523"/>
      <c r="AH158" s="1523"/>
      <c r="AI158" s="1523"/>
      <c r="AJ158" s="1523"/>
      <c r="AK158" s="1523"/>
      <c r="AL158" s="1523"/>
      <c r="AM158" s="1523"/>
      <c r="AN158" s="1523"/>
      <c r="AO158" s="1523"/>
      <c r="AP158" s="1523"/>
      <c r="AQ158" s="1523"/>
      <c r="AR158" s="1523"/>
      <c r="AS158" s="1523"/>
      <c r="AT158" s="1523"/>
      <c r="AU158" s="1523"/>
      <c r="AV158" s="1523"/>
      <c r="AW158" s="1523"/>
      <c r="AX158" s="1523"/>
      <c r="AY158" s="1523"/>
      <c r="AZ158" s="1523"/>
      <c r="BA158" s="1523"/>
      <c r="BB158" s="1523"/>
      <c r="BC158" s="1523"/>
      <c r="BD158" s="1523"/>
      <c r="BE158" s="1529"/>
    </row>
    <row r="159" spans="1:57" ht="15.75" customHeight="1" thickBot="1">
      <c r="A159" s="1802"/>
      <c r="B159" s="1523"/>
      <c r="C159" s="3039" t="s">
        <v>308</v>
      </c>
      <c r="D159" s="3040"/>
      <c r="E159" s="2973" t="s">
        <v>2114</v>
      </c>
      <c r="F159" s="2973"/>
      <c r="G159" s="2973"/>
      <c r="H159" s="2973"/>
      <c r="I159" s="2973"/>
      <c r="J159" s="2973"/>
      <c r="K159" s="2973"/>
      <c r="L159" s="2973"/>
      <c r="M159" s="3041"/>
      <c r="N159" s="3042"/>
      <c r="O159" s="3042"/>
      <c r="P159" s="3042"/>
      <c r="Q159" s="3042"/>
      <c r="R159" s="3042"/>
      <c r="S159" s="3042"/>
      <c r="T159" s="3043"/>
      <c r="U159" s="3044"/>
      <c r="V159" s="3045"/>
      <c r="W159" s="3045"/>
      <c r="X159" s="3045"/>
      <c r="Y159" s="3045"/>
      <c r="Z159" s="3045"/>
      <c r="AA159" s="3045"/>
      <c r="AB159" s="3045"/>
      <c r="AC159" s="3045"/>
      <c r="AD159" s="3045"/>
      <c r="AE159" s="3046"/>
      <c r="AF159" s="1523"/>
      <c r="AG159" s="1523"/>
      <c r="AH159" s="1523"/>
      <c r="AI159" s="1523"/>
      <c r="AJ159" s="1523"/>
      <c r="AK159" s="1523"/>
      <c r="AL159" s="1523"/>
      <c r="AM159" s="1523"/>
      <c r="AN159" s="1523"/>
      <c r="AO159" s="1523"/>
      <c r="AP159" s="1523"/>
      <c r="AQ159" s="1523"/>
      <c r="AR159" s="1523"/>
      <c r="AS159" s="1523"/>
      <c r="AT159" s="1523"/>
      <c r="AU159" s="1523"/>
      <c r="AV159" s="1523"/>
      <c r="AW159" s="1523"/>
      <c r="AX159" s="1523"/>
      <c r="AY159" s="1523"/>
      <c r="AZ159" s="1523"/>
      <c r="BA159" s="1523"/>
      <c r="BB159" s="1523"/>
      <c r="BC159" s="1523"/>
      <c r="BD159" s="1523"/>
      <c r="BE159" s="1529"/>
    </row>
    <row r="160" spans="1:57" ht="15.75" customHeight="1">
      <c r="A160" s="1802"/>
      <c r="B160" s="1523"/>
      <c r="C160" s="3047" t="s">
        <v>2132</v>
      </c>
      <c r="D160" s="3048"/>
      <c r="E160" s="3048"/>
      <c r="F160" s="3048"/>
      <c r="G160" s="3048"/>
      <c r="H160" s="3048"/>
      <c r="I160" s="3048"/>
      <c r="J160" s="3048"/>
      <c r="K160" s="3048"/>
      <c r="L160" s="3048"/>
      <c r="M160" s="3049"/>
      <c r="N160" s="3050">
        <f>SUM(N152:T159)</f>
        <v>7237958</v>
      </c>
      <c r="O160" s="3051"/>
      <c r="P160" s="3051"/>
      <c r="Q160" s="3051"/>
      <c r="R160" s="3051"/>
      <c r="S160" s="3051"/>
      <c r="T160" s="3052"/>
      <c r="U160" s="1523"/>
      <c r="V160" s="1523"/>
      <c r="W160" s="1523"/>
      <c r="X160" s="1523"/>
      <c r="Y160" s="1523"/>
      <c r="Z160" s="1523"/>
      <c r="AA160" s="1523"/>
      <c r="AB160" s="1523"/>
      <c r="AC160" s="1523"/>
      <c r="AD160" s="1523"/>
      <c r="AE160" s="1523"/>
      <c r="AF160" s="1523"/>
      <c r="AG160" s="1523"/>
      <c r="AH160" s="1523"/>
      <c r="AI160" s="1523"/>
      <c r="AJ160" s="1523"/>
      <c r="AK160" s="1523"/>
      <c r="AL160" s="1523"/>
      <c r="AM160" s="1523"/>
      <c r="AN160" s="1523"/>
      <c r="AO160" s="1523"/>
      <c r="AP160" s="1523"/>
      <c r="AQ160" s="1523"/>
      <c r="AR160" s="1523"/>
      <c r="AS160" s="1523"/>
      <c r="AT160" s="1523"/>
      <c r="AU160" s="1523"/>
      <c r="AV160" s="1523"/>
      <c r="AW160" s="1523"/>
      <c r="AX160" s="1523"/>
      <c r="AY160" s="1523"/>
      <c r="AZ160" s="1523"/>
      <c r="BA160" s="1523"/>
      <c r="BB160" s="1523"/>
      <c r="BC160" s="1523"/>
      <c r="BD160" s="1523"/>
      <c r="BE160" s="1529"/>
    </row>
    <row r="161" spans="1:57" ht="15.75" customHeight="1" thickBot="1">
      <c r="A161" s="1802"/>
      <c r="B161" s="1523"/>
      <c r="C161" s="2852" t="s">
        <v>2133</v>
      </c>
      <c r="D161" s="2853"/>
      <c r="E161" s="2853"/>
      <c r="F161" s="2853"/>
      <c r="G161" s="2853"/>
      <c r="H161" s="2853"/>
      <c r="I161" s="2853"/>
      <c r="J161" s="2853"/>
      <c r="K161" s="2853"/>
      <c r="L161" s="2853"/>
      <c r="M161" s="2853"/>
      <c r="N161" s="3028">
        <f>(N150-N160)/J29</f>
        <v>22653.384999999998</v>
      </c>
      <c r="O161" s="3028"/>
      <c r="P161" s="3028"/>
      <c r="Q161" s="3028"/>
      <c r="R161" s="3028"/>
      <c r="S161" s="3028"/>
      <c r="T161" s="3029"/>
      <c r="U161" s="1530"/>
      <c r="V161" s="1523"/>
      <c r="W161" s="1523"/>
      <c r="X161" s="1523"/>
      <c r="Y161" s="1523"/>
      <c r="Z161" s="1523"/>
      <c r="AA161" s="1523"/>
      <c r="AB161" s="1523"/>
      <c r="AC161" s="1523"/>
      <c r="AD161" s="1523"/>
      <c r="AE161" s="1523"/>
      <c r="AF161" s="1523"/>
      <c r="AG161" s="1523"/>
      <c r="AH161" s="1523"/>
      <c r="AI161" s="1523"/>
      <c r="AJ161" s="1523"/>
      <c r="AK161" s="1523"/>
      <c r="AL161" s="1523"/>
      <c r="AM161" s="1523"/>
      <c r="AN161" s="1523"/>
      <c r="AO161" s="1523"/>
      <c r="AP161" s="1523"/>
      <c r="AQ161" s="1523"/>
      <c r="AR161" s="1523"/>
      <c r="AS161" s="1523"/>
      <c r="AT161" s="1523"/>
      <c r="AU161" s="1523"/>
      <c r="AV161" s="1523"/>
      <c r="AW161" s="1523"/>
      <c r="AX161" s="1523"/>
      <c r="AY161" s="1523"/>
      <c r="AZ161" s="1523"/>
      <c r="BA161" s="1523"/>
      <c r="BB161" s="1523"/>
      <c r="BC161" s="1523"/>
      <c r="BD161" s="1523"/>
      <c r="BE161" s="1529"/>
    </row>
    <row r="162" spans="1:57" ht="15.75" customHeight="1">
      <c r="A162" s="1802"/>
      <c r="B162" s="1523"/>
      <c r="C162" s="1523"/>
      <c r="D162" s="1523"/>
      <c r="E162" s="1523"/>
      <c r="F162" s="1523"/>
      <c r="G162" s="1523"/>
      <c r="H162" s="1523"/>
      <c r="I162" s="1523"/>
      <c r="J162" s="1523"/>
      <c r="K162" s="1523"/>
      <c r="L162" s="1523"/>
      <c r="M162" s="1523"/>
      <c r="N162" s="1523"/>
      <c r="O162" s="1523"/>
      <c r="P162" s="1523"/>
      <c r="Q162" s="1523"/>
      <c r="R162" s="1523"/>
      <c r="S162" s="1523"/>
      <c r="T162" s="1523"/>
      <c r="U162" s="1523"/>
      <c r="V162" s="1523"/>
      <c r="W162" s="1523"/>
      <c r="X162" s="1523"/>
      <c r="Y162" s="1523"/>
      <c r="Z162" s="1523"/>
      <c r="AA162" s="1523"/>
      <c r="AB162" s="1523"/>
      <c r="AC162" s="1523"/>
      <c r="AD162" s="1523"/>
      <c r="AE162" s="1523"/>
      <c r="AF162" s="1523"/>
      <c r="AG162" s="1523"/>
      <c r="AH162" s="1523"/>
      <c r="AI162" s="1523"/>
      <c r="AJ162" s="1523"/>
      <c r="AK162" s="1523"/>
      <c r="AL162" s="1523"/>
      <c r="AM162" s="1523"/>
      <c r="AN162" s="1523"/>
      <c r="AO162" s="1523"/>
      <c r="AP162" s="1523"/>
      <c r="AQ162" s="1523"/>
      <c r="AR162" s="1523"/>
      <c r="AS162" s="1523"/>
      <c r="AT162" s="1523"/>
      <c r="AU162" s="1523"/>
      <c r="AV162" s="1523"/>
      <c r="AW162" s="1523"/>
      <c r="AX162" s="1523"/>
      <c r="AY162" s="1523"/>
      <c r="AZ162" s="1523"/>
      <c r="BA162" s="1523"/>
      <c r="BB162" s="1523"/>
      <c r="BC162" s="1523"/>
      <c r="BD162" s="1523"/>
      <c r="BE162" s="1529"/>
    </row>
    <row r="163" spans="1:57" ht="15.75" customHeight="1" thickBot="1">
      <c r="A163" s="1802"/>
      <c r="B163" s="1523"/>
      <c r="C163" s="1523"/>
      <c r="D163" s="1523"/>
      <c r="E163" s="1523"/>
      <c r="F163" s="1523"/>
      <c r="G163" s="1523"/>
      <c r="H163" s="1523"/>
      <c r="I163" s="1523"/>
      <c r="J163" s="1523"/>
      <c r="K163" s="1523"/>
      <c r="L163" s="1523"/>
      <c r="M163" s="1523"/>
      <c r="N163" s="1523"/>
      <c r="O163" s="1523"/>
      <c r="P163" s="1523"/>
      <c r="Q163" s="1523"/>
      <c r="R163" s="1523"/>
      <c r="S163" s="1523"/>
      <c r="T163" s="1523"/>
      <c r="U163" s="1523"/>
      <c r="V163" s="1523"/>
      <c r="W163" s="1523"/>
      <c r="X163" s="1523"/>
      <c r="Y163" s="1523"/>
      <c r="Z163" s="1523"/>
      <c r="AA163" s="1523"/>
      <c r="AB163" s="1523"/>
      <c r="AC163" s="1523"/>
      <c r="AD163" s="1523"/>
      <c r="AE163" s="1523"/>
      <c r="AF163" s="1523"/>
      <c r="AG163" s="1523"/>
      <c r="AH163" s="1523"/>
      <c r="AI163" s="1523"/>
      <c r="AJ163" s="1523"/>
      <c r="AK163" s="1523"/>
      <c r="AL163" s="1523"/>
      <c r="AM163" s="1523"/>
      <c r="AN163" s="1523"/>
      <c r="AO163" s="1523"/>
      <c r="AP163" s="1523"/>
      <c r="AQ163" s="1523"/>
      <c r="AR163" s="1523"/>
      <c r="AS163" s="1523"/>
      <c r="AT163" s="1523"/>
      <c r="AU163" s="1523"/>
      <c r="AV163" s="1523"/>
      <c r="AW163" s="1523"/>
      <c r="AX163" s="1523"/>
      <c r="AY163" s="1523"/>
      <c r="AZ163" s="1523"/>
      <c r="BA163" s="1523"/>
      <c r="BB163" s="1523"/>
      <c r="BC163" s="1523"/>
      <c r="BD163" s="1523"/>
      <c r="BE163" s="1529"/>
    </row>
    <row r="164" spans="1:57" ht="15.75" customHeight="1">
      <c r="A164" s="1802"/>
      <c r="B164" s="3030" t="s">
        <v>2134</v>
      </c>
      <c r="C164" s="3031"/>
      <c r="D164" s="3031"/>
      <c r="E164" s="3031"/>
      <c r="F164" s="3031"/>
      <c r="G164" s="3031"/>
      <c r="H164" s="3031"/>
      <c r="I164" s="3031"/>
      <c r="J164" s="3031"/>
      <c r="K164" s="3031"/>
      <c r="L164" s="3031"/>
      <c r="M164" s="3031"/>
      <c r="N164" s="3031"/>
      <c r="O164" s="3031"/>
      <c r="P164" s="3031"/>
      <c r="Q164" s="3031"/>
      <c r="R164" s="3031"/>
      <c r="S164" s="3031"/>
      <c r="T164" s="3031"/>
      <c r="U164" s="3031"/>
      <c r="V164" s="3031"/>
      <c r="W164" s="3031"/>
      <c r="X164" s="3031"/>
      <c r="Y164" s="3031"/>
      <c r="Z164" s="3031"/>
      <c r="AA164" s="3031"/>
      <c r="AB164" s="3031"/>
      <c r="AC164" s="3031"/>
      <c r="AD164" s="3031"/>
      <c r="AE164" s="3031"/>
      <c r="AF164" s="3031"/>
      <c r="AG164" s="3031"/>
      <c r="AH164" s="3031"/>
      <c r="AI164" s="3031"/>
      <c r="AJ164" s="3031"/>
      <c r="AK164" s="3031"/>
      <c r="AL164" s="3031"/>
      <c r="AM164" s="3031"/>
      <c r="AN164" s="3031"/>
      <c r="AO164" s="3031"/>
      <c r="AP164" s="3031"/>
      <c r="AQ164" s="3031"/>
      <c r="AR164" s="3031"/>
      <c r="AS164" s="3031"/>
      <c r="AT164" s="3031"/>
      <c r="AU164" s="3031"/>
      <c r="AV164" s="3031"/>
      <c r="AW164" s="3031"/>
      <c r="AX164" s="3031"/>
      <c r="AY164" s="3031"/>
      <c r="AZ164" s="3031"/>
      <c r="BA164" s="3031"/>
      <c r="BB164" s="3031"/>
      <c r="BC164" s="3031"/>
      <c r="BD164" s="3032"/>
      <c r="BE164" s="1529"/>
    </row>
    <row r="165" spans="1:57" ht="15.75" customHeight="1">
      <c r="A165" s="1802"/>
      <c r="B165" s="3033"/>
      <c r="C165" s="3034"/>
      <c r="D165" s="3034"/>
      <c r="E165" s="3034"/>
      <c r="F165" s="3034"/>
      <c r="G165" s="3034"/>
      <c r="H165" s="3034"/>
      <c r="I165" s="3034"/>
      <c r="J165" s="3034"/>
      <c r="K165" s="3034"/>
      <c r="L165" s="3034"/>
      <c r="M165" s="3034"/>
      <c r="N165" s="3034"/>
      <c r="O165" s="3034"/>
      <c r="P165" s="3034"/>
      <c r="Q165" s="3034"/>
      <c r="R165" s="3034"/>
      <c r="S165" s="3034"/>
      <c r="T165" s="3034"/>
      <c r="U165" s="3034"/>
      <c r="V165" s="3034"/>
      <c r="W165" s="3034"/>
      <c r="X165" s="3034"/>
      <c r="Y165" s="3034"/>
      <c r="Z165" s="3034"/>
      <c r="AA165" s="3034"/>
      <c r="AB165" s="3034"/>
      <c r="AC165" s="3034"/>
      <c r="AD165" s="3034"/>
      <c r="AE165" s="3034"/>
      <c r="AF165" s="3034"/>
      <c r="AG165" s="3034"/>
      <c r="AH165" s="3034"/>
      <c r="AI165" s="3034"/>
      <c r="AJ165" s="3034"/>
      <c r="AK165" s="3034"/>
      <c r="AL165" s="3034"/>
      <c r="AM165" s="3034"/>
      <c r="AN165" s="3034"/>
      <c r="AO165" s="3034"/>
      <c r="AP165" s="3034"/>
      <c r="AQ165" s="3034"/>
      <c r="AR165" s="3034"/>
      <c r="AS165" s="3034"/>
      <c r="AT165" s="3034"/>
      <c r="AU165" s="3034"/>
      <c r="AV165" s="3034"/>
      <c r="AW165" s="3034"/>
      <c r="AX165" s="3034"/>
      <c r="AY165" s="3034"/>
      <c r="AZ165" s="3034"/>
      <c r="BA165" s="3034"/>
      <c r="BB165" s="3034"/>
      <c r="BC165" s="3034"/>
      <c r="BD165" s="3035"/>
      <c r="BE165" s="1529"/>
    </row>
    <row r="166" spans="1:57" ht="15.75" customHeight="1">
      <c r="A166" s="1802"/>
      <c r="B166" s="3036" t="s">
        <v>2135</v>
      </c>
      <c r="C166" s="3037"/>
      <c r="D166" s="3037"/>
      <c r="E166" s="3037"/>
      <c r="F166" s="3037"/>
      <c r="G166" s="3037"/>
      <c r="H166" s="3037"/>
      <c r="I166" s="3037"/>
      <c r="J166" s="3037"/>
      <c r="K166" s="3037"/>
      <c r="L166" s="3037"/>
      <c r="M166" s="3037"/>
      <c r="N166" s="3037"/>
      <c r="O166" s="3037"/>
      <c r="P166" s="3037"/>
      <c r="Q166" s="3037"/>
      <c r="R166" s="3037"/>
      <c r="S166" s="3037"/>
      <c r="T166" s="3037"/>
      <c r="U166" s="3037"/>
      <c r="V166" s="3037"/>
      <c r="W166" s="3037"/>
      <c r="X166" s="3037"/>
      <c r="Y166" s="3037"/>
      <c r="Z166" s="3037"/>
      <c r="AA166" s="3037"/>
      <c r="AB166" s="3037"/>
      <c r="AC166" s="3037"/>
      <c r="AD166" s="3037"/>
      <c r="AE166" s="3037"/>
      <c r="AF166" s="3037"/>
      <c r="AG166" s="3037"/>
      <c r="AH166" s="3037"/>
      <c r="AI166" s="3037"/>
      <c r="AJ166" s="3037"/>
      <c r="AK166" s="3037"/>
      <c r="AL166" s="3037"/>
      <c r="AM166" s="3037"/>
      <c r="AN166" s="3037"/>
      <c r="AO166" s="3037"/>
      <c r="AP166" s="3037"/>
      <c r="AQ166" s="3037"/>
      <c r="AR166" s="3037"/>
      <c r="AS166" s="3037"/>
      <c r="AT166" s="3037"/>
      <c r="AU166" s="3037"/>
      <c r="AV166" s="3037"/>
      <c r="AW166" s="3037"/>
      <c r="AX166" s="3037"/>
      <c r="AY166" s="3037"/>
      <c r="AZ166" s="3037"/>
      <c r="BA166" s="3037"/>
      <c r="BB166" s="3037"/>
      <c r="BC166" s="3037"/>
      <c r="BD166" s="3038"/>
      <c r="BE166" s="1529"/>
    </row>
    <row r="167" spans="1:57" ht="15.75" customHeight="1">
      <c r="A167" s="1802"/>
      <c r="B167" s="3036" t="s">
        <v>2136</v>
      </c>
      <c r="C167" s="3037"/>
      <c r="D167" s="3037"/>
      <c r="E167" s="3037"/>
      <c r="F167" s="3037"/>
      <c r="G167" s="3037"/>
      <c r="H167" s="3037"/>
      <c r="I167" s="3037"/>
      <c r="J167" s="3037"/>
      <c r="K167" s="3037"/>
      <c r="L167" s="3037"/>
      <c r="M167" s="3037"/>
      <c r="N167" s="3037"/>
      <c r="O167" s="3037"/>
      <c r="P167" s="3037"/>
      <c r="Q167" s="3037"/>
      <c r="R167" s="3037"/>
      <c r="S167" s="3037"/>
      <c r="T167" s="3037"/>
      <c r="U167" s="3037"/>
      <c r="V167" s="3037"/>
      <c r="W167" s="3037"/>
      <c r="X167" s="3037"/>
      <c r="Y167" s="3037"/>
      <c r="Z167" s="3037"/>
      <c r="AA167" s="3037"/>
      <c r="AB167" s="3037"/>
      <c r="AC167" s="3037"/>
      <c r="AD167" s="3037"/>
      <c r="AE167" s="3037"/>
      <c r="AF167" s="3037"/>
      <c r="AG167" s="3037"/>
      <c r="AH167" s="3037"/>
      <c r="AI167" s="3037"/>
      <c r="AJ167" s="3037"/>
      <c r="AK167" s="3037"/>
      <c r="AL167" s="3037"/>
      <c r="AM167" s="3037"/>
      <c r="AN167" s="3037"/>
      <c r="AO167" s="3037"/>
      <c r="AP167" s="3037"/>
      <c r="AQ167" s="3037"/>
      <c r="AR167" s="3037"/>
      <c r="AS167" s="3037"/>
      <c r="AT167" s="3037"/>
      <c r="AU167" s="3037"/>
      <c r="AV167" s="3037"/>
      <c r="AW167" s="3037"/>
      <c r="AX167" s="3037"/>
      <c r="AY167" s="3037"/>
      <c r="AZ167" s="3037"/>
      <c r="BA167" s="3037"/>
      <c r="BB167" s="3037"/>
      <c r="BC167" s="3037"/>
      <c r="BD167" s="3038"/>
      <c r="BE167" s="1529"/>
    </row>
    <row r="168" spans="1:57" ht="15.75" customHeight="1">
      <c r="A168" s="1802"/>
      <c r="B168" s="1522"/>
      <c r="C168" s="1549"/>
      <c r="D168" s="1549"/>
      <c r="E168" s="1549"/>
      <c r="F168" s="1549"/>
      <c r="G168" s="1549"/>
      <c r="H168" s="1549"/>
      <c r="I168" s="1549"/>
      <c r="J168" s="1549"/>
      <c r="K168" s="1549"/>
      <c r="L168" s="1549"/>
      <c r="M168" s="1549"/>
      <c r="N168" s="1549"/>
      <c r="O168" s="1549"/>
      <c r="P168" s="1549"/>
      <c r="Q168" s="1549"/>
      <c r="R168" s="1549"/>
      <c r="S168" s="1549"/>
      <c r="T168" s="1549"/>
      <c r="U168" s="1549"/>
      <c r="V168" s="1549"/>
      <c r="W168" s="1549"/>
      <c r="X168" s="1549"/>
      <c r="Y168" s="1549"/>
      <c r="Z168" s="1549"/>
      <c r="AA168" s="1549"/>
      <c r="AB168" s="1549"/>
      <c r="AC168" s="1549"/>
      <c r="AD168" s="1549"/>
      <c r="AE168" s="1549"/>
      <c r="AF168" s="1549"/>
      <c r="AG168" s="1549"/>
      <c r="AH168" s="1549"/>
      <c r="AI168" s="1549"/>
      <c r="AJ168" s="1549"/>
      <c r="AK168" s="1549"/>
      <c r="AL168" s="1549"/>
      <c r="AM168" s="1549"/>
      <c r="AN168" s="1549"/>
      <c r="AO168" s="1549"/>
      <c r="AP168" s="1549"/>
      <c r="AQ168" s="1549"/>
      <c r="AR168" s="1549"/>
      <c r="AS168" s="1549"/>
      <c r="AT168" s="1549"/>
      <c r="AU168" s="1549"/>
      <c r="AV168" s="1549"/>
      <c r="AW168" s="1549"/>
      <c r="AX168" s="1549"/>
      <c r="AY168" s="1549"/>
      <c r="AZ168" s="1549"/>
      <c r="BA168" s="1549"/>
      <c r="BB168" s="1549"/>
      <c r="BC168" s="1549"/>
      <c r="BD168" s="1529"/>
      <c r="BE168" s="1529"/>
    </row>
    <row r="169" spans="1:57" ht="15.75" customHeight="1">
      <c r="A169" s="1802"/>
      <c r="B169" s="3059" t="s">
        <v>2137</v>
      </c>
      <c r="C169" s="3060"/>
      <c r="D169" s="3060"/>
      <c r="E169" s="3060"/>
      <c r="F169" s="3060"/>
      <c r="G169" s="3060"/>
      <c r="H169" s="3060"/>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60"/>
      <c r="AD169" s="3060"/>
      <c r="AE169" s="3060"/>
      <c r="AF169" s="3060"/>
      <c r="AG169" s="3060"/>
      <c r="AH169" s="3060"/>
      <c r="AI169" s="3060"/>
      <c r="AJ169" s="3060"/>
      <c r="AK169" s="3060"/>
      <c r="AL169" s="3060"/>
      <c r="AM169" s="3060"/>
      <c r="AN169" s="3060"/>
      <c r="AO169" s="3060"/>
      <c r="AP169" s="3060"/>
      <c r="AQ169" s="3060"/>
      <c r="AR169" s="3060"/>
      <c r="AS169" s="3060"/>
      <c r="AT169" s="3060"/>
      <c r="AU169" s="3060"/>
      <c r="AV169" s="3060"/>
      <c r="AW169" s="3060"/>
      <c r="AX169" s="3060"/>
      <c r="AY169" s="3060"/>
      <c r="AZ169" s="3060"/>
      <c r="BA169" s="3060"/>
      <c r="BB169" s="3060"/>
      <c r="BC169" s="3060"/>
      <c r="BD169" s="3061"/>
      <c r="BE169" s="1529"/>
    </row>
    <row r="170" spans="1:57" ht="15.75" customHeight="1">
      <c r="A170" s="1802"/>
      <c r="B170" s="1550"/>
      <c r="C170" s="1549"/>
      <c r="D170" s="1549"/>
      <c r="E170" s="1549"/>
      <c r="F170" s="1549"/>
      <c r="G170" s="1549"/>
      <c r="H170" s="1549"/>
      <c r="I170" s="1549"/>
      <c r="J170" s="1549"/>
      <c r="K170" s="1549"/>
      <c r="L170" s="1549"/>
      <c r="M170" s="1549"/>
      <c r="N170" s="1549"/>
      <c r="O170" s="1549"/>
      <c r="P170" s="1549"/>
      <c r="Q170" s="1549"/>
      <c r="R170" s="1549"/>
      <c r="S170" s="1549"/>
      <c r="T170" s="1549"/>
      <c r="U170" s="1549"/>
      <c r="V170" s="1549"/>
      <c r="W170" s="1549"/>
      <c r="X170" s="1549"/>
      <c r="Y170" s="1549"/>
      <c r="Z170" s="1549"/>
      <c r="AA170" s="1549"/>
      <c r="AB170" s="1549"/>
      <c r="AC170" s="1549"/>
      <c r="AD170" s="1549"/>
      <c r="AE170" s="1549"/>
      <c r="AF170" s="1549"/>
      <c r="AG170" s="1549"/>
      <c r="AH170" s="1549"/>
      <c r="AI170" s="1549"/>
      <c r="AJ170" s="1549"/>
      <c r="AK170" s="1549"/>
      <c r="AL170" s="1549"/>
      <c r="AM170" s="1549"/>
      <c r="AN170" s="1549"/>
      <c r="AO170" s="1549"/>
      <c r="AP170" s="1549"/>
      <c r="AQ170" s="1549"/>
      <c r="AR170" s="1549"/>
      <c r="AS170" s="1549"/>
      <c r="AT170" s="1549"/>
      <c r="AU170" s="1549"/>
      <c r="AV170" s="1549"/>
      <c r="AW170" s="1549"/>
      <c r="AX170" s="1549"/>
      <c r="AY170" s="1549"/>
      <c r="AZ170" s="1549"/>
      <c r="BA170" s="1549"/>
      <c r="BB170" s="1549"/>
      <c r="BC170" s="1549"/>
      <c r="BD170" s="1529"/>
      <c r="BE170" s="1529"/>
    </row>
    <row r="171" spans="1:57" ht="15.75" customHeight="1">
      <c r="A171" s="1802"/>
      <c r="B171" s="1551"/>
      <c r="C171" s="1549"/>
      <c r="D171" s="1549"/>
      <c r="E171" s="1549"/>
      <c r="F171" s="1549"/>
      <c r="G171" s="1549"/>
      <c r="H171" s="1552" t="s">
        <v>2138</v>
      </c>
      <c r="I171" s="1549"/>
      <c r="J171" s="1549"/>
      <c r="K171" s="1549"/>
      <c r="L171" s="1549"/>
      <c r="M171" s="1549"/>
      <c r="N171" s="1549"/>
      <c r="O171" s="1549"/>
      <c r="P171" s="1549"/>
      <c r="Q171" s="1549"/>
      <c r="R171" s="1549"/>
      <c r="S171" s="1549"/>
      <c r="T171" s="1549"/>
      <c r="U171" s="1549"/>
      <c r="V171" s="1549"/>
      <c r="W171" s="1549"/>
      <c r="X171" s="1549"/>
      <c r="Y171" s="1549"/>
      <c r="Z171" s="1549"/>
      <c r="AA171" s="1549"/>
      <c r="AB171" s="1549"/>
      <c r="AC171" s="1549"/>
      <c r="AD171" s="1549"/>
      <c r="AE171" s="1549"/>
      <c r="AF171" s="1549"/>
      <c r="AG171" s="1549"/>
      <c r="AH171" s="1549"/>
      <c r="AI171" s="1549"/>
      <c r="AJ171" s="1549"/>
      <c r="AK171" s="1549"/>
      <c r="AL171" s="1549"/>
      <c r="AM171" s="1549"/>
      <c r="AN171" s="1549"/>
      <c r="AO171" s="1549"/>
      <c r="AP171" s="1549"/>
      <c r="AQ171" s="1549"/>
      <c r="AR171" s="1549"/>
      <c r="AS171" s="1549"/>
      <c r="AT171" s="1549"/>
      <c r="AU171" s="1549"/>
      <c r="AV171" s="1549"/>
      <c r="AW171" s="1549"/>
      <c r="AX171" s="1549"/>
      <c r="AY171" s="1549"/>
      <c r="AZ171" s="1549"/>
      <c r="BA171" s="1549"/>
      <c r="BB171" s="1549"/>
      <c r="BC171" s="1549"/>
      <c r="BD171" s="1529"/>
      <c r="BE171" s="1529"/>
    </row>
    <row r="172" spans="1:57" ht="15.75" customHeight="1">
      <c r="A172" s="1802"/>
      <c r="B172" s="1551"/>
      <c r="C172" s="1549"/>
      <c r="D172" s="1549"/>
      <c r="E172" s="1549"/>
      <c r="F172" s="1549"/>
      <c r="G172" s="1549"/>
      <c r="H172" s="1549"/>
      <c r="I172" s="1549"/>
      <c r="J172" s="1549"/>
      <c r="K172" s="1549"/>
      <c r="L172" s="1549"/>
      <c r="M172" s="1549"/>
      <c r="N172" s="1549"/>
      <c r="O172" s="1549"/>
      <c r="P172" s="1549"/>
      <c r="Q172" s="1549"/>
      <c r="R172" s="1549"/>
      <c r="S172" s="1549"/>
      <c r="T172" s="1549"/>
      <c r="U172" s="1549"/>
      <c r="V172" s="1549"/>
      <c r="W172" s="1549"/>
      <c r="X172" s="1549"/>
      <c r="Y172" s="1549"/>
      <c r="Z172" s="1549"/>
      <c r="AA172" s="1549"/>
      <c r="AB172" s="1549"/>
      <c r="AC172" s="1549"/>
      <c r="AD172" s="1549"/>
      <c r="AE172" s="1549"/>
      <c r="AF172" s="1549"/>
      <c r="AG172" s="1549"/>
      <c r="AH172" s="1549"/>
      <c r="AI172" s="1549"/>
      <c r="AJ172" s="1549"/>
      <c r="AK172" s="1549"/>
      <c r="AL172" s="1549"/>
      <c r="AM172" s="1549"/>
      <c r="AN172" s="1549"/>
      <c r="AO172" s="1549"/>
      <c r="AP172" s="1549"/>
      <c r="AQ172" s="1549"/>
      <c r="AR172" s="1549"/>
      <c r="AS172" s="1549"/>
      <c r="AT172" s="1549"/>
      <c r="AU172" s="1549"/>
      <c r="AV172" s="1549"/>
      <c r="AW172" s="1549"/>
      <c r="AX172" s="1549"/>
      <c r="AY172" s="1549"/>
      <c r="AZ172" s="1549"/>
      <c r="BA172" s="1549"/>
      <c r="BB172" s="1549"/>
      <c r="BC172" s="1549"/>
      <c r="BD172" s="1529"/>
      <c r="BE172" s="1529"/>
    </row>
    <row r="173" spans="1:57" ht="15.75" customHeight="1">
      <c r="A173" s="1802"/>
      <c r="B173" s="1551"/>
      <c r="C173" s="1549"/>
      <c r="D173" s="1549"/>
      <c r="E173" s="1549"/>
      <c r="F173" s="1549"/>
      <c r="G173" s="1549"/>
      <c r="H173" s="3062" t="s">
        <v>2139</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62"/>
      <c r="AD173" s="3062"/>
      <c r="AE173" s="3062"/>
      <c r="AF173" s="3062"/>
      <c r="AG173" s="3062"/>
      <c r="AH173" s="3062"/>
      <c r="AI173" s="3062"/>
      <c r="AJ173" s="3062"/>
      <c r="AK173" s="3062"/>
      <c r="AL173" s="3062"/>
      <c r="AM173" s="3062"/>
      <c r="AN173" s="3062"/>
      <c r="AO173" s="3062"/>
      <c r="AP173" s="3062"/>
      <c r="AQ173" s="3062"/>
      <c r="AR173" s="3062"/>
      <c r="AS173" s="3062"/>
      <c r="AT173" s="3062"/>
      <c r="AU173" s="3062"/>
      <c r="AV173" s="3062"/>
      <c r="AW173" s="3062"/>
      <c r="AX173" s="3062"/>
      <c r="AY173" s="3062"/>
      <c r="AZ173" s="1549"/>
      <c r="BA173" s="1549"/>
      <c r="BB173" s="1549"/>
      <c r="BC173" s="1549"/>
      <c r="BD173" s="1529"/>
      <c r="BE173" s="1529"/>
    </row>
    <row r="174" spans="1:57" ht="15.75" customHeight="1">
      <c r="A174" s="1802"/>
      <c r="B174" s="1551"/>
      <c r="C174" s="1549"/>
      <c r="D174" s="1549"/>
      <c r="E174" s="1549"/>
      <c r="F174" s="1549"/>
      <c r="G174" s="1549"/>
      <c r="H174" s="1549"/>
      <c r="I174" s="1549"/>
      <c r="J174" s="1549"/>
      <c r="K174" s="1549"/>
      <c r="L174" s="1549"/>
      <c r="M174" s="1549"/>
      <c r="N174" s="1549"/>
      <c r="O174" s="1549"/>
      <c r="P174" s="1549"/>
      <c r="Q174" s="1549"/>
      <c r="R174" s="1549"/>
      <c r="S174" s="1549"/>
      <c r="T174" s="1549"/>
      <c r="U174" s="1549"/>
      <c r="V174" s="1549"/>
      <c r="W174" s="1549"/>
      <c r="X174" s="1549"/>
      <c r="Y174" s="1549"/>
      <c r="Z174" s="1549"/>
      <c r="AA174" s="1549"/>
      <c r="AB174" s="1549"/>
      <c r="AC174" s="1549"/>
      <c r="AD174" s="1549"/>
      <c r="AE174" s="1549"/>
      <c r="AF174" s="1549"/>
      <c r="AG174" s="1549"/>
      <c r="AH174" s="1549"/>
      <c r="AI174" s="1549"/>
      <c r="AJ174" s="1549"/>
      <c r="AK174" s="1549"/>
      <c r="AL174" s="1549"/>
      <c r="AM174" s="1549"/>
      <c r="AN174" s="1549"/>
      <c r="AO174" s="1549"/>
      <c r="AP174" s="1549"/>
      <c r="AQ174" s="1549"/>
      <c r="AR174" s="1549"/>
      <c r="AS174" s="1549"/>
      <c r="AT174" s="1549"/>
      <c r="AU174" s="1549"/>
      <c r="AV174" s="1549"/>
      <c r="AW174" s="1549"/>
      <c r="AX174" s="1549"/>
      <c r="AY174" s="1549"/>
      <c r="AZ174" s="1549"/>
      <c r="BA174" s="1549"/>
      <c r="BB174" s="1549"/>
      <c r="BC174" s="1549"/>
      <c r="BD174" s="1529"/>
      <c r="BE174" s="1529"/>
    </row>
    <row r="175" spans="1:57" ht="15.75" customHeight="1">
      <c r="A175" s="1802"/>
      <c r="B175" s="1551"/>
      <c r="C175" s="1549"/>
      <c r="D175" s="1549"/>
      <c r="E175" s="1549"/>
      <c r="F175" s="1549"/>
      <c r="G175" s="1549"/>
      <c r="H175" s="3063" t="s">
        <v>2140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63"/>
      <c r="AD175" s="3063"/>
      <c r="AE175" s="3063"/>
      <c r="AF175" s="3063"/>
      <c r="AG175" s="3063"/>
      <c r="AH175" s="3063"/>
      <c r="AI175" s="3063"/>
      <c r="AJ175" s="3063"/>
      <c r="AK175" s="3063"/>
      <c r="AL175" s="3063"/>
      <c r="AM175" s="3063"/>
      <c r="AN175" s="3063"/>
      <c r="AO175" s="3063"/>
      <c r="AP175" s="3063"/>
      <c r="AQ175" s="3063"/>
      <c r="AR175" s="3063"/>
      <c r="AS175" s="3063"/>
      <c r="AT175" s="3063"/>
      <c r="AU175" s="3063"/>
      <c r="AV175" s="3063"/>
      <c r="AW175" s="3063"/>
      <c r="AX175" s="3063"/>
      <c r="AY175" s="3063"/>
      <c r="AZ175" s="3063"/>
      <c r="BA175" s="1549"/>
      <c r="BB175" s="1549"/>
      <c r="BC175" s="1549"/>
      <c r="BD175" s="1529"/>
      <c r="BE175" s="1529"/>
    </row>
    <row r="176" spans="1:57" ht="15.75" customHeight="1">
      <c r="A176" s="1802"/>
      <c r="B176" s="1522"/>
      <c r="C176" s="1549"/>
      <c r="D176" s="1549"/>
      <c r="E176" s="1549"/>
      <c r="F176" s="1549"/>
      <c r="G176" s="1549"/>
      <c r="H176" s="3063"/>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63"/>
      <c r="AD176" s="3063"/>
      <c r="AE176" s="3063"/>
      <c r="AF176" s="3063"/>
      <c r="AG176" s="3063"/>
      <c r="AH176" s="3063"/>
      <c r="AI176" s="3063"/>
      <c r="AJ176" s="3063"/>
      <c r="AK176" s="3063"/>
      <c r="AL176" s="3063"/>
      <c r="AM176" s="3063"/>
      <c r="AN176" s="3063"/>
      <c r="AO176" s="3063"/>
      <c r="AP176" s="3063"/>
      <c r="AQ176" s="3063"/>
      <c r="AR176" s="3063"/>
      <c r="AS176" s="3063"/>
      <c r="AT176" s="3063"/>
      <c r="AU176" s="3063"/>
      <c r="AV176" s="3063"/>
      <c r="AW176" s="3063"/>
      <c r="AX176" s="3063"/>
      <c r="AY176" s="3063"/>
      <c r="AZ176" s="3063"/>
      <c r="BA176" s="1549"/>
      <c r="BB176" s="1549"/>
      <c r="BC176" s="1549"/>
      <c r="BD176" s="1529"/>
      <c r="BE176" s="1529"/>
    </row>
    <row r="177" spans="1:57" ht="15.75" customHeight="1">
      <c r="A177" s="1802"/>
      <c r="B177" s="1522"/>
      <c r="C177" s="1549"/>
      <c r="D177" s="1549"/>
      <c r="E177" s="1549"/>
      <c r="F177" s="1549"/>
      <c r="G177" s="1549"/>
      <c r="H177" s="3063"/>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63"/>
      <c r="AD177" s="3063"/>
      <c r="AE177" s="3063"/>
      <c r="AF177" s="3063"/>
      <c r="AG177" s="3063"/>
      <c r="AH177" s="3063"/>
      <c r="AI177" s="3063"/>
      <c r="AJ177" s="3063"/>
      <c r="AK177" s="3063"/>
      <c r="AL177" s="3063"/>
      <c r="AM177" s="3063"/>
      <c r="AN177" s="3063"/>
      <c r="AO177" s="3063"/>
      <c r="AP177" s="3063"/>
      <c r="AQ177" s="3063"/>
      <c r="AR177" s="3063"/>
      <c r="AS177" s="3063"/>
      <c r="AT177" s="3063"/>
      <c r="AU177" s="3063"/>
      <c r="AV177" s="3063"/>
      <c r="AW177" s="3063"/>
      <c r="AX177" s="3063"/>
      <c r="AY177" s="3063"/>
      <c r="AZ177" s="3063"/>
      <c r="BA177" s="1549"/>
      <c r="BB177" s="1549"/>
      <c r="BC177" s="1549"/>
      <c r="BD177" s="1529"/>
      <c r="BE177" s="1529"/>
    </row>
    <row r="178" spans="1:57" ht="15.75" customHeight="1">
      <c r="A178" s="1802"/>
      <c r="B178" s="1522"/>
      <c r="C178" s="1549"/>
      <c r="D178" s="1549"/>
      <c r="E178" s="1549"/>
      <c r="F178" s="1549"/>
      <c r="G178" s="1549"/>
      <c r="H178" s="1553"/>
      <c r="I178" s="1553"/>
      <c r="J178" s="1553"/>
      <c r="K178" s="1553"/>
      <c r="L178" s="1553"/>
      <c r="M178" s="1553"/>
      <c r="N178" s="1553"/>
      <c r="O178" s="1553"/>
      <c r="P178" s="1553"/>
      <c r="Q178" s="1553"/>
      <c r="R178" s="1553"/>
      <c r="S178" s="1553"/>
      <c r="T178" s="1553"/>
      <c r="U178" s="1553"/>
      <c r="V178" s="1553"/>
      <c r="W178" s="1553"/>
      <c r="X178" s="1553"/>
      <c r="Y178" s="1553"/>
      <c r="Z178" s="1553"/>
      <c r="AA178" s="1553"/>
      <c r="AB178" s="1553"/>
      <c r="AC178" s="1553"/>
      <c r="AD178" s="1553"/>
      <c r="AE178" s="1553"/>
      <c r="AF178" s="1553"/>
      <c r="AG178" s="1553"/>
      <c r="AH178" s="1553"/>
      <c r="AI178" s="1553"/>
      <c r="AJ178" s="1553"/>
      <c r="AK178" s="1553"/>
      <c r="AL178" s="1553"/>
      <c r="AM178" s="1553"/>
      <c r="AN178" s="1553"/>
      <c r="AO178" s="1553"/>
      <c r="AP178" s="1553"/>
      <c r="AQ178" s="1553"/>
      <c r="AR178" s="1553"/>
      <c r="AS178" s="1553"/>
      <c r="AT178" s="1553"/>
      <c r="AU178" s="1553"/>
      <c r="AV178" s="1553"/>
      <c r="AW178" s="1553"/>
      <c r="AX178" s="1553"/>
      <c r="AY178" s="1553"/>
      <c r="AZ178" s="1549"/>
      <c r="BA178" s="1549"/>
      <c r="BB178" s="1549"/>
      <c r="BC178" s="1549"/>
      <c r="BD178" s="1529"/>
      <c r="BE178" s="1529"/>
    </row>
    <row r="179" spans="1:57" ht="15.75" customHeight="1">
      <c r="A179" s="1802"/>
      <c r="B179" s="1522"/>
      <c r="C179" s="1549"/>
      <c r="D179" s="1549"/>
      <c r="E179" s="1549"/>
      <c r="F179" s="1549"/>
      <c r="G179" s="1549"/>
      <c r="H179" s="1549"/>
      <c r="I179" s="1549"/>
      <c r="J179" s="1549"/>
      <c r="K179" s="1549"/>
      <c r="L179" s="1549"/>
      <c r="M179" s="1549"/>
      <c r="N179" s="1549"/>
      <c r="O179" s="1549"/>
      <c r="P179" s="1549"/>
      <c r="Q179" s="1549"/>
      <c r="R179" s="1549"/>
      <c r="S179" s="1549"/>
      <c r="T179" s="1549"/>
      <c r="U179" s="1549"/>
      <c r="V179" s="1549"/>
      <c r="W179" s="1549"/>
      <c r="X179" s="1549"/>
      <c r="Y179" s="1549"/>
      <c r="Z179" s="1549"/>
      <c r="AA179" s="1549"/>
      <c r="AB179" s="1549"/>
      <c r="AC179" s="1549"/>
      <c r="AD179" s="1549"/>
      <c r="AE179" s="1549"/>
      <c r="AF179" s="1549"/>
      <c r="AG179" s="1549"/>
      <c r="AH179" s="1549"/>
      <c r="AI179" s="1549"/>
      <c r="AJ179" s="1549"/>
      <c r="AK179" s="1549"/>
      <c r="AL179" s="1549"/>
      <c r="AM179" s="1549"/>
      <c r="AN179" s="1549"/>
      <c r="AO179" s="1549"/>
      <c r="AP179" s="1549"/>
      <c r="AQ179" s="1549"/>
      <c r="AR179" s="1549"/>
      <c r="AS179" s="1549"/>
      <c r="AT179" s="1549"/>
      <c r="AU179" s="1549"/>
      <c r="AV179" s="1549"/>
      <c r="AW179" s="1549"/>
      <c r="AX179" s="1549"/>
      <c r="AY179" s="1549"/>
      <c r="AZ179" s="1549"/>
      <c r="BA179" s="1549"/>
      <c r="BB179" s="1549"/>
      <c r="BC179" s="1549"/>
      <c r="BD179" s="1529"/>
      <c r="BE179" s="1529"/>
    </row>
    <row r="180" spans="1:57" ht="15.75" customHeight="1" thickBot="1">
      <c r="A180" s="1802"/>
      <c r="B180" s="1554"/>
      <c r="C180" s="1555"/>
      <c r="D180" s="1555"/>
      <c r="E180" s="1555"/>
      <c r="F180" s="1555"/>
      <c r="G180" s="1555"/>
      <c r="H180" s="3064" t="s">
        <v>2141</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64"/>
      <c r="AD180" s="3064"/>
      <c r="AE180" s="3064"/>
      <c r="AF180" s="3064"/>
      <c r="AG180" s="3064"/>
      <c r="AH180" s="3064"/>
      <c r="AI180" s="3064"/>
      <c r="AJ180" s="3064"/>
      <c r="AK180" s="3064"/>
      <c r="AL180" s="3064"/>
      <c r="AM180" s="3064"/>
      <c r="AN180" s="3064"/>
      <c r="AO180" s="3064"/>
      <c r="AP180" s="3064"/>
      <c r="AQ180" s="3064"/>
      <c r="AR180" s="3064"/>
      <c r="AS180" s="3064"/>
      <c r="AT180" s="3064"/>
      <c r="AU180" s="3064"/>
      <c r="AV180" s="3064"/>
      <c r="AW180" s="1555"/>
      <c r="AX180" s="1555"/>
      <c r="AY180" s="1555"/>
      <c r="AZ180" s="1555"/>
      <c r="BA180" s="1555"/>
      <c r="BB180" s="1555"/>
      <c r="BC180" s="1555"/>
      <c r="BD180" s="1556"/>
      <c r="BE180" s="1529"/>
    </row>
    <row r="181" spans="1:57" ht="15.75" customHeight="1" thickBot="1">
      <c r="A181" s="1802"/>
      <c r="B181" s="1557"/>
      <c r="C181" s="1558"/>
      <c r="D181" s="1558"/>
      <c r="E181" s="1558"/>
      <c r="F181" s="1558"/>
      <c r="G181" s="1558"/>
      <c r="H181" s="1558"/>
      <c r="I181" s="1558"/>
      <c r="J181" s="1558"/>
      <c r="K181" s="1558"/>
      <c r="L181" s="1558"/>
      <c r="M181" s="1558"/>
      <c r="N181" s="1558"/>
      <c r="O181" s="1558"/>
      <c r="P181" s="1558"/>
      <c r="Q181" s="1558"/>
      <c r="R181" s="1558"/>
      <c r="S181" s="1558"/>
      <c r="T181" s="1558"/>
      <c r="U181" s="1558"/>
      <c r="V181" s="1558"/>
      <c r="W181" s="1558"/>
      <c r="X181" s="1558"/>
      <c r="Y181" s="1558"/>
      <c r="Z181" s="1558"/>
      <c r="AA181" s="1558"/>
      <c r="AB181" s="1558"/>
      <c r="AC181" s="1558"/>
      <c r="AD181" s="1558"/>
      <c r="AE181" s="1558"/>
      <c r="AF181" s="1558"/>
      <c r="AG181" s="1558"/>
      <c r="AH181" s="1558"/>
      <c r="AI181" s="1558"/>
      <c r="AJ181" s="1558"/>
      <c r="AK181" s="1558"/>
      <c r="AL181" s="1558"/>
      <c r="AM181" s="1558"/>
      <c r="AN181" s="1558"/>
      <c r="AO181" s="1558"/>
      <c r="AP181" s="1558"/>
      <c r="AQ181" s="1558"/>
      <c r="AR181" s="1558"/>
      <c r="AS181" s="1558"/>
      <c r="AT181" s="1558"/>
      <c r="AU181" s="1558"/>
      <c r="AV181" s="1558"/>
      <c r="AW181" s="1558"/>
      <c r="AX181" s="1558"/>
      <c r="AY181" s="1558"/>
      <c r="AZ181" s="1558"/>
      <c r="BA181" s="1558"/>
      <c r="BB181" s="1558"/>
      <c r="BC181" s="1558"/>
      <c r="BD181" s="1559"/>
      <c r="BE181" s="1529"/>
    </row>
    <row r="182" spans="1:57" ht="15.75" customHeight="1" thickBot="1">
      <c r="A182" s="1802"/>
      <c r="B182" s="1557"/>
      <c r="C182" s="1558"/>
      <c r="D182" s="1558"/>
      <c r="E182" s="1558"/>
      <c r="F182" s="1558"/>
      <c r="G182" s="1558"/>
      <c r="H182" s="3057" t="s">
        <v>2142</v>
      </c>
      <c r="I182" s="3057"/>
      <c r="J182" s="3057"/>
      <c r="K182" s="3057"/>
      <c r="L182" s="1558"/>
      <c r="M182" s="1558"/>
      <c r="N182" s="1558"/>
      <c r="O182" s="1558"/>
      <c r="P182" s="1558"/>
      <c r="Q182" s="1558"/>
      <c r="R182" s="1558"/>
      <c r="S182" s="3054"/>
      <c r="T182" s="3055"/>
      <c r="U182" s="3055"/>
      <c r="V182" s="3055"/>
      <c r="W182" s="3055"/>
      <c r="X182" s="3055"/>
      <c r="Y182" s="3055"/>
      <c r="Z182" s="3055"/>
      <c r="AA182" s="3055"/>
      <c r="AB182" s="3055"/>
      <c r="AC182" s="3055"/>
      <c r="AD182" s="3055"/>
      <c r="AE182" s="3055"/>
      <c r="AF182" s="3055"/>
      <c r="AG182" s="3055"/>
      <c r="AH182" s="3055"/>
      <c r="AI182" s="3055"/>
      <c r="AJ182" s="3056"/>
      <c r="AK182" s="1558"/>
      <c r="AL182" s="1558"/>
      <c r="AM182" s="1558"/>
      <c r="AN182" s="1558"/>
      <c r="AO182" s="1558"/>
      <c r="AP182" s="1558"/>
      <c r="AQ182" s="1558"/>
      <c r="AR182" s="1558"/>
      <c r="AS182" s="1558"/>
      <c r="AT182" s="1558"/>
      <c r="AU182" s="1558"/>
      <c r="AV182" s="1558"/>
      <c r="AW182" s="1558"/>
      <c r="AX182" s="1558"/>
      <c r="AY182" s="1558"/>
      <c r="AZ182" s="1558"/>
      <c r="BA182" s="1558"/>
      <c r="BB182" s="1558"/>
      <c r="BC182" s="1558"/>
      <c r="BD182" s="1559"/>
      <c r="BE182" s="1529"/>
    </row>
    <row r="183" spans="1:57" ht="15.75" customHeight="1" thickBot="1">
      <c r="A183" s="1802"/>
      <c r="B183" s="1557"/>
      <c r="C183" s="1558"/>
      <c r="D183" s="1558"/>
      <c r="E183" s="1558"/>
      <c r="F183" s="1558"/>
      <c r="G183" s="1558"/>
      <c r="H183" s="1560"/>
      <c r="I183" s="1560"/>
      <c r="J183" s="1560"/>
      <c r="K183" s="1560"/>
      <c r="L183" s="1558"/>
      <c r="M183" s="1558"/>
      <c r="N183" s="1558"/>
      <c r="O183" s="1558"/>
      <c r="P183" s="1558"/>
      <c r="Q183" s="1558"/>
      <c r="R183" s="1558"/>
      <c r="S183" s="1558"/>
      <c r="T183" s="1558"/>
      <c r="U183" s="1558"/>
      <c r="V183" s="1558"/>
      <c r="W183" s="1558"/>
      <c r="X183" s="1558"/>
      <c r="Y183" s="1558"/>
      <c r="Z183" s="1558"/>
      <c r="AA183" s="1558"/>
      <c r="AB183" s="1558"/>
      <c r="AC183" s="1558"/>
      <c r="AD183" s="1558"/>
      <c r="AE183" s="1558"/>
      <c r="AF183" s="1558"/>
      <c r="AG183" s="1558"/>
      <c r="AH183" s="1558"/>
      <c r="AI183" s="1558"/>
      <c r="AJ183" s="1558"/>
      <c r="AK183" s="1558"/>
      <c r="AL183" s="1558"/>
      <c r="AM183" s="1558"/>
      <c r="AN183" s="1558"/>
      <c r="AO183" s="1558"/>
      <c r="AP183" s="1558"/>
      <c r="AQ183" s="1558"/>
      <c r="AR183" s="1558"/>
      <c r="AS183" s="1558"/>
      <c r="AT183" s="1558"/>
      <c r="AU183" s="1558"/>
      <c r="AV183" s="1558"/>
      <c r="AW183" s="1558"/>
      <c r="AX183" s="1558"/>
      <c r="AY183" s="1558"/>
      <c r="AZ183" s="1558"/>
      <c r="BA183" s="1558"/>
      <c r="BB183" s="1558"/>
      <c r="BC183" s="1558"/>
      <c r="BD183" s="1559"/>
      <c r="BE183" s="1529"/>
    </row>
    <row r="184" spans="1:57" ht="15.75" customHeight="1" thickBot="1">
      <c r="A184" s="1802"/>
      <c r="B184" s="1557"/>
      <c r="C184" s="1558"/>
      <c r="D184" s="1558"/>
      <c r="E184" s="1558"/>
      <c r="F184" s="1558"/>
      <c r="G184" s="1558"/>
      <c r="H184" s="3057" t="s">
        <v>2143</v>
      </c>
      <c r="I184" s="3057"/>
      <c r="J184" s="3057"/>
      <c r="K184" s="1560"/>
      <c r="L184" s="1558"/>
      <c r="M184" s="1558"/>
      <c r="N184" s="1558"/>
      <c r="O184" s="1558"/>
      <c r="P184" s="1558"/>
      <c r="Q184" s="1558"/>
      <c r="R184" s="1558"/>
      <c r="S184" s="3054"/>
      <c r="T184" s="3055"/>
      <c r="U184" s="3055"/>
      <c r="V184" s="3055"/>
      <c r="W184" s="3055"/>
      <c r="X184" s="3055"/>
      <c r="Y184" s="3055"/>
      <c r="Z184" s="3055"/>
      <c r="AA184" s="3055"/>
      <c r="AB184" s="3055"/>
      <c r="AC184" s="3055"/>
      <c r="AD184" s="3055"/>
      <c r="AE184" s="3055"/>
      <c r="AF184" s="3055"/>
      <c r="AG184" s="3055"/>
      <c r="AH184" s="3055"/>
      <c r="AI184" s="3055"/>
      <c r="AJ184" s="3056"/>
      <c r="AK184" s="1558"/>
      <c r="AL184" s="1558"/>
      <c r="AM184" s="1558"/>
      <c r="AN184" s="1558"/>
      <c r="AO184" s="1558"/>
      <c r="AP184" s="1558"/>
      <c r="AQ184" s="1558"/>
      <c r="AR184" s="1558"/>
      <c r="AS184" s="1558"/>
      <c r="AT184" s="1558"/>
      <c r="AU184" s="1558"/>
      <c r="AV184" s="1558"/>
      <c r="AW184" s="1558"/>
      <c r="AX184" s="1558"/>
      <c r="AY184" s="1558"/>
      <c r="AZ184" s="1558"/>
      <c r="BA184" s="1558"/>
      <c r="BB184" s="1558"/>
      <c r="BC184" s="1558"/>
      <c r="BD184" s="1559"/>
      <c r="BE184" s="1529"/>
    </row>
    <row r="185" spans="1:57" ht="15.75" customHeight="1" thickBot="1">
      <c r="A185" s="1802"/>
      <c r="B185" s="1557"/>
      <c r="C185" s="1558"/>
      <c r="D185" s="1558"/>
      <c r="E185" s="1558"/>
      <c r="F185" s="1558"/>
      <c r="G185" s="1558"/>
      <c r="H185" s="1560"/>
      <c r="I185" s="1560"/>
      <c r="J185" s="1560"/>
      <c r="K185" s="1560"/>
      <c r="L185" s="1558"/>
      <c r="M185" s="1558"/>
      <c r="N185" s="1558"/>
      <c r="O185" s="1558"/>
      <c r="P185" s="1558"/>
      <c r="Q185" s="1558"/>
      <c r="R185" s="1558"/>
      <c r="S185" s="1558"/>
      <c r="T185" s="1558"/>
      <c r="U185" s="1558"/>
      <c r="V185" s="1558"/>
      <c r="W185" s="1558"/>
      <c r="X185" s="1558"/>
      <c r="Y185" s="1558"/>
      <c r="Z185" s="1558"/>
      <c r="AA185" s="1558"/>
      <c r="AB185" s="1558"/>
      <c r="AC185" s="1558"/>
      <c r="AD185" s="1558"/>
      <c r="AE185" s="1558"/>
      <c r="AF185" s="1558"/>
      <c r="AG185" s="1558"/>
      <c r="AH185" s="1558"/>
      <c r="AI185" s="1558"/>
      <c r="AJ185" s="1558"/>
      <c r="AK185" s="1558"/>
      <c r="AL185" s="1558"/>
      <c r="AM185" s="1558"/>
      <c r="AN185" s="1558"/>
      <c r="AO185" s="1558"/>
      <c r="AP185" s="1558"/>
      <c r="AQ185" s="1558"/>
      <c r="AR185" s="1558"/>
      <c r="AS185" s="1558"/>
      <c r="AT185" s="1558"/>
      <c r="AU185" s="1558"/>
      <c r="AV185" s="1558"/>
      <c r="AW185" s="1558"/>
      <c r="AX185" s="1558"/>
      <c r="AY185" s="1558"/>
      <c r="AZ185" s="1558"/>
      <c r="BA185" s="1558"/>
      <c r="BB185" s="1558"/>
      <c r="BC185" s="1558"/>
      <c r="BD185" s="1559"/>
      <c r="BE185" s="1529"/>
    </row>
    <row r="186" spans="1:57" ht="15.75" customHeight="1" thickBot="1">
      <c r="A186" s="1802"/>
      <c r="B186" s="1557"/>
      <c r="C186" s="1558"/>
      <c r="D186" s="1558"/>
      <c r="E186" s="1558"/>
      <c r="F186" s="1558"/>
      <c r="G186" s="1558"/>
      <c r="H186" s="3057" t="s">
        <v>464</v>
      </c>
      <c r="I186" s="3057"/>
      <c r="J186" s="1560"/>
      <c r="K186" s="1560"/>
      <c r="L186" s="1558"/>
      <c r="M186" s="1558"/>
      <c r="N186" s="1558"/>
      <c r="O186" s="1558"/>
      <c r="P186" s="1558"/>
      <c r="Q186" s="1558"/>
      <c r="R186" s="1558"/>
      <c r="S186" s="3054"/>
      <c r="T186" s="3055"/>
      <c r="U186" s="3055"/>
      <c r="V186" s="3055"/>
      <c r="W186" s="3055"/>
      <c r="X186" s="3055"/>
      <c r="Y186" s="3055"/>
      <c r="Z186" s="3055"/>
      <c r="AA186" s="3055"/>
      <c r="AB186" s="3055"/>
      <c r="AC186" s="3055"/>
      <c r="AD186" s="3055"/>
      <c r="AE186" s="3055"/>
      <c r="AF186" s="3055"/>
      <c r="AG186" s="3055"/>
      <c r="AH186" s="3055"/>
      <c r="AI186" s="3055"/>
      <c r="AJ186" s="3056"/>
      <c r="AK186" s="1558"/>
      <c r="AL186" s="1558"/>
      <c r="AM186" s="1558"/>
      <c r="AN186" s="1558"/>
      <c r="AO186" s="1558"/>
      <c r="AP186" s="1558"/>
      <c r="AQ186" s="1558"/>
      <c r="AR186" s="1558"/>
      <c r="AS186" s="1558"/>
      <c r="AT186" s="1558"/>
      <c r="AU186" s="1558"/>
      <c r="AV186" s="1558"/>
      <c r="AW186" s="1558"/>
      <c r="AX186" s="1558"/>
      <c r="AY186" s="1558"/>
      <c r="AZ186" s="1558"/>
      <c r="BA186" s="1558"/>
      <c r="BB186" s="1558"/>
      <c r="BC186" s="1558"/>
      <c r="BD186" s="1559"/>
      <c r="BE186" s="1529"/>
    </row>
    <row r="187" spans="1:57" ht="15.75" customHeight="1" thickBot="1">
      <c r="A187" s="1802"/>
      <c r="B187" s="1557"/>
      <c r="C187" s="1558"/>
      <c r="D187" s="1558"/>
      <c r="E187" s="1558"/>
      <c r="F187" s="1558"/>
      <c r="G187" s="1558"/>
      <c r="H187" s="1558"/>
      <c r="I187" s="1558"/>
      <c r="J187" s="1558"/>
      <c r="K187" s="1558"/>
      <c r="L187" s="1558"/>
      <c r="M187" s="1558"/>
      <c r="N187" s="1558"/>
      <c r="O187" s="1558"/>
      <c r="P187" s="1558"/>
      <c r="Q187" s="1558"/>
      <c r="R187" s="1558"/>
      <c r="S187" s="1558"/>
      <c r="T187" s="1558"/>
      <c r="U187" s="1558"/>
      <c r="V187" s="1558"/>
      <c r="W187" s="1558"/>
      <c r="X187" s="1558"/>
      <c r="Y187" s="1558"/>
      <c r="Z187" s="1558"/>
      <c r="AA187" s="1558"/>
      <c r="AB187" s="1558"/>
      <c r="AC187" s="1558"/>
      <c r="AD187" s="1558"/>
      <c r="AE187" s="1558"/>
      <c r="AF187" s="1558"/>
      <c r="AG187" s="1558"/>
      <c r="AH187" s="1558"/>
      <c r="AI187" s="1558"/>
      <c r="AJ187" s="1558"/>
      <c r="AK187" s="1558"/>
      <c r="AL187" s="1558"/>
      <c r="AM187" s="1558"/>
      <c r="AN187" s="1558"/>
      <c r="AO187" s="1558"/>
      <c r="AP187" s="1558"/>
      <c r="AQ187" s="1558"/>
      <c r="AR187" s="1558"/>
      <c r="AS187" s="1558"/>
      <c r="AT187" s="1558"/>
      <c r="AU187" s="1558"/>
      <c r="AV187" s="1558"/>
      <c r="AW187" s="1558"/>
      <c r="AX187" s="1558"/>
      <c r="AY187" s="1558"/>
      <c r="AZ187" s="1558"/>
      <c r="BA187" s="1558"/>
      <c r="BB187" s="1558"/>
      <c r="BC187" s="1558"/>
      <c r="BD187" s="1559"/>
      <c r="BE187" s="1529"/>
    </row>
    <row r="188" spans="1:57" ht="15.75" customHeight="1" thickBot="1">
      <c r="A188" s="1802"/>
      <c r="B188" s="1557"/>
      <c r="C188" s="1558"/>
      <c r="D188" s="1558"/>
      <c r="E188" s="1558"/>
      <c r="F188" s="1558"/>
      <c r="G188" s="1558"/>
      <c r="H188" s="3058" t="s">
        <v>2144</v>
      </c>
      <c r="I188" s="3058"/>
      <c r="J188" s="3058"/>
      <c r="K188" s="3058"/>
      <c r="L188" s="3058"/>
      <c r="M188" s="3058"/>
      <c r="N188" s="3058"/>
      <c r="O188" s="3058"/>
      <c r="P188" s="1558"/>
      <c r="Q188" s="1558"/>
      <c r="R188" s="1558"/>
      <c r="S188" s="3054"/>
      <c r="T188" s="3055"/>
      <c r="U188" s="3055"/>
      <c r="V188" s="3055"/>
      <c r="W188" s="3055"/>
      <c r="X188" s="3055"/>
      <c r="Y188" s="3055"/>
      <c r="Z188" s="3055"/>
      <c r="AA188" s="3055"/>
      <c r="AB188" s="3055"/>
      <c r="AC188" s="3055"/>
      <c r="AD188" s="3055"/>
      <c r="AE188" s="3055"/>
      <c r="AF188" s="3055"/>
      <c r="AG188" s="3055"/>
      <c r="AH188" s="3055"/>
      <c r="AI188" s="3055"/>
      <c r="AJ188" s="3056"/>
      <c r="AK188" s="1558"/>
      <c r="AL188" s="1558"/>
      <c r="AM188" s="1558"/>
      <c r="AN188" s="1558"/>
      <c r="AO188" s="1558"/>
      <c r="AP188" s="1558"/>
      <c r="AQ188" s="1558"/>
      <c r="AR188" s="1558"/>
      <c r="AS188" s="1558"/>
      <c r="AT188" s="1558"/>
      <c r="AU188" s="1558"/>
      <c r="AV188" s="1558"/>
      <c r="AW188" s="1558"/>
      <c r="AX188" s="1558"/>
      <c r="AY188" s="1558"/>
      <c r="AZ188" s="1558"/>
      <c r="BA188" s="1558"/>
      <c r="BB188" s="1558"/>
      <c r="BC188" s="1558"/>
      <c r="BD188" s="1559"/>
      <c r="BE188" s="1529"/>
    </row>
    <row r="189" spans="1:57" ht="15.75" customHeight="1" thickBot="1">
      <c r="A189" s="1802"/>
      <c r="B189" s="1557"/>
      <c r="C189" s="1558"/>
      <c r="D189" s="1558"/>
      <c r="E189" s="1558"/>
      <c r="F189" s="1558"/>
      <c r="G189" s="1558"/>
      <c r="H189" s="1558"/>
      <c r="I189" s="1558"/>
      <c r="J189" s="1558"/>
      <c r="K189" s="1558"/>
      <c r="L189" s="1558"/>
      <c r="M189" s="1558"/>
      <c r="N189" s="1558"/>
      <c r="O189" s="1558"/>
      <c r="P189" s="1558"/>
      <c r="Q189" s="1558"/>
      <c r="R189" s="1558"/>
      <c r="S189" s="1558"/>
      <c r="T189" s="1558"/>
      <c r="U189" s="1558"/>
      <c r="V189" s="1558"/>
      <c r="W189" s="1558"/>
      <c r="X189" s="1558"/>
      <c r="Y189" s="1558"/>
      <c r="Z189" s="1558"/>
      <c r="AA189" s="1558"/>
      <c r="AB189" s="1558"/>
      <c r="AC189" s="1558"/>
      <c r="AD189" s="1558"/>
      <c r="AE189" s="1558"/>
      <c r="AF189" s="1558"/>
      <c r="AG189" s="1558"/>
      <c r="AH189" s="1558"/>
      <c r="AI189" s="1558"/>
      <c r="AJ189" s="1558"/>
      <c r="AK189" s="1558"/>
      <c r="AL189" s="1558"/>
      <c r="AM189" s="1558"/>
      <c r="AN189" s="1558"/>
      <c r="AO189" s="1558"/>
      <c r="AP189" s="1558"/>
      <c r="AQ189" s="1558"/>
      <c r="AR189" s="1558"/>
      <c r="AS189" s="1558"/>
      <c r="AT189" s="1558"/>
      <c r="AU189" s="1558"/>
      <c r="AV189" s="1558"/>
      <c r="AW189" s="1558"/>
      <c r="AX189" s="1558"/>
      <c r="AY189" s="1558"/>
      <c r="AZ189" s="1558"/>
      <c r="BA189" s="1558"/>
      <c r="BB189" s="1558"/>
      <c r="BC189" s="1558"/>
      <c r="BD189" s="1559"/>
      <c r="BE189" s="1529"/>
    </row>
    <row r="190" spans="1:57" ht="15.75" customHeight="1" thickBot="1">
      <c r="A190" s="1802"/>
      <c r="B190" s="1557"/>
      <c r="C190" s="1558"/>
      <c r="D190" s="1558"/>
      <c r="E190" s="1558"/>
      <c r="F190" s="1558"/>
      <c r="G190" s="1558"/>
      <c r="H190" s="3053" t="s">
        <v>2145</v>
      </c>
      <c r="I190" s="3053"/>
      <c r="J190" s="1558"/>
      <c r="K190" s="1558"/>
      <c r="L190" s="1558"/>
      <c r="M190" s="1558"/>
      <c r="N190" s="1558"/>
      <c r="O190" s="1558"/>
      <c r="P190" s="1558"/>
      <c r="Q190" s="1558"/>
      <c r="R190" s="1558"/>
      <c r="S190" s="3054"/>
      <c r="T190" s="3055"/>
      <c r="U190" s="3055"/>
      <c r="V190" s="3055"/>
      <c r="W190" s="3055"/>
      <c r="X190" s="3055"/>
      <c r="Y190" s="3055"/>
      <c r="Z190" s="3055"/>
      <c r="AA190" s="3055"/>
      <c r="AB190" s="3055"/>
      <c r="AC190" s="3055"/>
      <c r="AD190" s="3055"/>
      <c r="AE190" s="3055"/>
      <c r="AF190" s="3055"/>
      <c r="AG190" s="3055"/>
      <c r="AH190" s="3055"/>
      <c r="AI190" s="3055"/>
      <c r="AJ190" s="3056"/>
      <c r="AK190" s="1558"/>
      <c r="AL190" s="1558"/>
      <c r="AM190" s="1558"/>
      <c r="AN190" s="1558"/>
      <c r="AO190" s="1558"/>
      <c r="AP190" s="1558"/>
      <c r="AQ190" s="1558"/>
      <c r="AR190" s="1558"/>
      <c r="AS190" s="1558"/>
      <c r="AT190" s="1558"/>
      <c r="AU190" s="1558"/>
      <c r="AV190" s="1558"/>
      <c r="AW190" s="1558"/>
      <c r="AX190" s="1558"/>
      <c r="AY190" s="1558"/>
      <c r="AZ190" s="1558"/>
      <c r="BA190" s="1558"/>
      <c r="BB190" s="1558"/>
      <c r="BC190" s="1558"/>
      <c r="BD190" s="1559"/>
      <c r="BE190" s="1529"/>
    </row>
    <row r="191" spans="1:57" ht="15.75" customHeight="1" thickBot="1">
      <c r="A191" s="1802"/>
      <c r="B191" s="1561"/>
      <c r="C191" s="1562"/>
      <c r="D191" s="1562"/>
      <c r="E191" s="1562"/>
      <c r="F191" s="1562"/>
      <c r="G191" s="1562"/>
      <c r="H191" s="1562"/>
      <c r="I191" s="1562"/>
      <c r="J191" s="1562"/>
      <c r="K191" s="1562"/>
      <c r="L191" s="1562"/>
      <c r="M191" s="1562"/>
      <c r="N191" s="1562"/>
      <c r="O191" s="1562"/>
      <c r="P191" s="1562"/>
      <c r="Q191" s="1562"/>
      <c r="R191" s="1562"/>
      <c r="S191" s="1562"/>
      <c r="T191" s="1562"/>
      <c r="U191" s="1562"/>
      <c r="V191" s="1562"/>
      <c r="W191" s="1562"/>
      <c r="X191" s="1562"/>
      <c r="Y191" s="1562"/>
      <c r="Z191" s="1562"/>
      <c r="AA191" s="1562"/>
      <c r="AB191" s="1562"/>
      <c r="AC191" s="1562"/>
      <c r="AD191" s="1562"/>
      <c r="AE191" s="1562"/>
      <c r="AF191" s="1562"/>
      <c r="AG191" s="1562"/>
      <c r="AH191" s="1562"/>
      <c r="AI191" s="1562"/>
      <c r="AJ191" s="1562"/>
      <c r="AK191" s="1562"/>
      <c r="AL191" s="1562"/>
      <c r="AM191" s="1562"/>
      <c r="AN191" s="1562"/>
      <c r="AO191" s="1562"/>
      <c r="AP191" s="1562"/>
      <c r="AQ191" s="1562"/>
      <c r="AR191" s="1562"/>
      <c r="AS191" s="1562"/>
      <c r="AT191" s="1562"/>
      <c r="AU191" s="1562"/>
      <c r="AV191" s="1562"/>
      <c r="AW191" s="1562"/>
      <c r="AX191" s="1562"/>
      <c r="AY191" s="1562"/>
      <c r="AZ191" s="1562"/>
      <c r="BA191" s="1562"/>
      <c r="BB191" s="1562"/>
      <c r="BC191" s="1562"/>
      <c r="BD191" s="1563"/>
      <c r="BE191" s="1529"/>
    </row>
    <row r="192" spans="1:57" ht="15.75" customHeight="1" thickBot="1">
      <c r="A192" s="1555"/>
      <c r="B192" s="1555"/>
      <c r="C192" s="1555"/>
      <c r="D192" s="1555"/>
      <c r="E192" s="1555"/>
      <c r="F192" s="1555"/>
      <c r="G192" s="1555"/>
      <c r="H192" s="1555"/>
      <c r="I192" s="1555"/>
      <c r="J192" s="1555"/>
      <c r="K192" s="1555"/>
      <c r="L192" s="1555"/>
      <c r="M192" s="1555"/>
      <c r="N192" s="1555"/>
      <c r="O192" s="1555"/>
      <c r="P192" s="1555"/>
      <c r="Q192" s="1555"/>
      <c r="R192" s="1555"/>
      <c r="S192" s="1555"/>
      <c r="T192" s="1555"/>
      <c r="U192" s="1555"/>
      <c r="V192" s="1555"/>
      <c r="W192" s="1555"/>
      <c r="X192" s="1555"/>
      <c r="Y192" s="1555"/>
      <c r="Z192" s="1555"/>
      <c r="AA192" s="1555"/>
      <c r="AB192" s="1555"/>
      <c r="AC192" s="1555"/>
      <c r="AD192" s="1555"/>
      <c r="AE192" s="1555"/>
      <c r="AF192" s="1555"/>
      <c r="AG192" s="1555"/>
      <c r="AH192" s="1555"/>
      <c r="AI192" s="1555"/>
      <c r="AJ192" s="1555"/>
      <c r="AK192" s="1555"/>
      <c r="AL192" s="1555"/>
      <c r="AM192" s="1555"/>
      <c r="AN192" s="1555"/>
      <c r="AO192" s="1555"/>
      <c r="AP192" s="1555"/>
      <c r="AQ192" s="1555"/>
      <c r="AR192" s="1555"/>
      <c r="AS192" s="1555"/>
      <c r="AT192" s="1555"/>
      <c r="AU192" s="1555"/>
      <c r="AV192" s="1555"/>
      <c r="AW192" s="1555"/>
      <c r="AX192" s="1555"/>
      <c r="AY192" s="1555"/>
      <c r="AZ192" s="1555"/>
      <c r="BA192" s="1555"/>
      <c r="BB192" s="1555"/>
      <c r="BC192" s="1555"/>
      <c r="BD192" s="1555"/>
      <c r="BE192" s="1556"/>
    </row>
    <row r="195" spans="4:18" ht="15.75" customHeight="1">
      <c r="D195" s="1521"/>
    </row>
    <row r="196" spans="4:18" ht="15.75" customHeight="1">
      <c r="D196" s="1564"/>
    </row>
    <row r="197" spans="4:18" ht="15.75" customHeight="1">
      <c r="D197" s="1521"/>
    </row>
    <row r="198" spans="4:18" ht="15.75" customHeight="1">
      <c r="D198" s="1521"/>
    </row>
    <row r="199" spans="4:18" ht="15.75" customHeight="1">
      <c r="R199" s="1520"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F07475286B70B4F885A135B3B11FEBA" ma:contentTypeVersion="14" ma:contentTypeDescription="Create a new document." ma:contentTypeScope="" ma:versionID="b90efc91c5ff4bd0fff3f516402cde1e">
  <xsd:schema xmlns:xsd="http://www.w3.org/2001/XMLSchema" xmlns:xs="http://www.w3.org/2001/XMLSchema" xmlns:p="http://schemas.microsoft.com/office/2006/metadata/properties" xmlns:ns1="http://schemas.microsoft.com/sharepoint/v3" xmlns:ns2="ba19ea60-d477-4bd6-b867-d41866ce08a2" xmlns:ns3="5ebaabba-4a57-48b0-85b2-b83b7f4de49e" targetNamespace="http://schemas.microsoft.com/office/2006/metadata/properties" ma:root="true" ma:fieldsID="fbd97a6e8608d27dea32af9af0387813" ns1:_="" ns2:_="" ns3:_="">
    <xsd:import namespace="http://schemas.microsoft.com/sharepoint/v3"/>
    <xsd:import namespace="ba19ea60-d477-4bd6-b867-d41866ce08a2"/>
    <xsd:import namespace="5ebaabba-4a57-48b0-85b2-b83b7f4de49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19ea60-d477-4bd6-b867-d41866ce08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96B54889-A8E1-4F6C-B968-CC4D5A56DA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a19ea60-d477-4bd6-b867-d41866ce08a2"/>
    <ds:schemaRef ds:uri="5ebaabba-4a57-48b0-85b2-b83b7f4de4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D730D48-EAB8-4550-8668-68D2C2AC1A07}">
  <ds:schemaRefs>
    <ds:schemaRef ds:uri="http://schemas.microsoft.com/sharepoint/v3/contenttype/forms"/>
  </ds:schemaRefs>
</ds:datastoreItem>
</file>

<file path=customXml/itemProps3.xml><?xml version="1.0" encoding="utf-8"?>
<ds:datastoreItem xmlns:ds="http://schemas.openxmlformats.org/officeDocument/2006/customXml" ds:itemID="{3BF3E324-6DFB-4E12-8070-7DE3D0D2E156}">
  <ds:schemaRefs>
    <ds:schemaRef ds:uri="http://schemas.openxmlformats.org/package/2006/metadata/core-properties"/>
    <ds:schemaRef ds:uri="http://schemas.microsoft.com/sharepoint/v3"/>
    <ds:schemaRef ds:uri="http://purl.org/dc/terms/"/>
    <ds:schemaRef ds:uri="http://purl.org/dc/dcmitype/"/>
    <ds:schemaRef ds:uri="http://www.w3.org/XML/1998/namespace"/>
    <ds:schemaRef ds:uri="http://purl.org/dc/elements/1.1/"/>
    <ds:schemaRef ds:uri="http://schemas.microsoft.com/office/2006/documentManagement/types"/>
    <ds:schemaRef ds:uri="5ebaabba-4a57-48b0-85b2-b83b7f4de49e"/>
    <ds:schemaRef ds:uri="ba19ea60-d477-4bd6-b867-d41866ce08a2"/>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Basis &amp; Credits</vt:lpstr>
      <vt:lpstr>CalHFA Addendum</vt:lpstr>
      <vt:lpstr>CDLAC Points System</vt:lpstr>
      <vt:lpstr>CDLAC Tie Breaker</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Jenn Fleming</cp:lastModifiedBy>
  <cp:lastPrinted>2021-05-20T18:14:12Z</cp:lastPrinted>
  <dcterms:created xsi:type="dcterms:W3CDTF">2007-12-27T18:26:28Z</dcterms:created>
  <dcterms:modified xsi:type="dcterms:W3CDTF">2021-05-20T20:47:09Z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0x0101001F07475286B70B4F885A135B3B11FEBA</vt:lpwstr>
  </property>
</Properties>
</file>