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Palm Desert (4%) (09-09)\TAB 40 - TCAC E-App\"/>
    </mc:Choice>
  </mc:AlternateContent>
  <bookViews>
    <workbookView xWindow="-118" yWindow="-118" windowWidth="29036" windowHeight="1584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E45" i="4" l="1"/>
  <c r="C45" i="4"/>
  <c r="AJ1004" i="3"/>
  <c r="Y829" i="3"/>
  <c r="U829" i="3"/>
  <c r="Q829" i="3"/>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E10" i="13" s="1"/>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9"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s="1"/>
  <c r="BI713" i="3" s="1"/>
  <c r="AC739" i="3"/>
  <c r="AC740" i="3"/>
  <c r="AM740" i="3" s="1"/>
  <c r="BI715" i="3" s="1"/>
  <c r="AC741" i="3"/>
  <c r="AM741" i="3" s="1"/>
  <c r="BI716" i="3" s="1"/>
  <c r="AC742" i="3"/>
  <c r="AM742" i="3" s="1"/>
  <c r="BI717" i="3" s="1"/>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11" i="4" l="1"/>
  <c r="AM735" i="3"/>
  <c r="BI710" i="3" s="1"/>
  <c r="AM737" i="3"/>
  <c r="BI712" i="3" s="1"/>
  <c r="AM743" i="3"/>
  <c r="BI718" i="3" s="1"/>
  <c r="AM739" i="3"/>
  <c r="BI714" i="3" s="1"/>
  <c r="S70" i="4"/>
  <c r="E70" i="13" s="1"/>
  <c r="S81" i="4"/>
  <c r="E81" i="13" s="1"/>
  <c r="E80" i="13"/>
  <c r="S42" i="4"/>
  <c r="E42" i="13" s="1"/>
  <c r="S104" i="4"/>
  <c r="E104" i="13" s="1"/>
  <c r="AM736" i="3"/>
  <c r="BI711" i="3" s="1"/>
  <c r="S96" i="4"/>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P768" i="20" s="1"/>
  <c r="AJ1024" i="3"/>
  <c r="AP767" i="20" s="1"/>
  <c r="E94" i="20"/>
  <c r="AP94"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61" i="7" s="1"/>
  <c r="AC47" i="7"/>
  <c r="AA69" i="7" l="1"/>
  <c r="AA71" i="7" s="1"/>
  <c r="AC65" i="7"/>
  <c r="AG44" i="7"/>
  <c r="AG46" i="7" s="1"/>
  <c r="AE59" i="7"/>
  <c r="AE61" i="7" s="1"/>
  <c r="AE46" i="7"/>
  <c r="AE47" i="7"/>
  <c r="AC69" i="7" l="1"/>
  <c r="AC71" i="7" s="1"/>
  <c r="AE65" i="7"/>
  <c r="AG59" i="7"/>
  <c r="AG61" i="7" s="1"/>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Navarrette, DC</author>
    <author>State Treasurer's Office</author>
  </authors>
  <commentList>
    <comment ref="AK97" authorId="0" shapeId="0">
      <text>
        <r>
          <rPr>
            <b/>
            <sz val="9"/>
            <color indexed="81"/>
            <rFont val="Tahoma"/>
            <charset val="1"/>
          </rPr>
          <t xml:space="preserve">Navarrette, DC: Overrode the scoring to correct an application formula constraint. See DC for qeustions. </t>
        </r>
      </text>
    </comment>
    <comment ref="H536"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<sst xmlns="http://schemas.openxmlformats.org/spreadsheetml/2006/main" count="5125" uniqueCount="2683">
  <si>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</si>
  <si>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</si>
  <si>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</si>
  <si>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</si>
  <si>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</si>
  <si>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</si>
  <si>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</si>
  <si>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</si>
  <si>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</si>
  <si>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</si>
  <si>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</si>
  <si>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</si>
  <si>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</si>
  <si>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</si>
  <si>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</si>
  <si>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</si>
  <si>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</si>
  <si>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</si>
  <si>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</si>
  <si>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</si>
  <si>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</si>
  <si>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</si>
  <si>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</si>
  <si>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</si>
  <si>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</si>
  <si>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</si>
  <si>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</si>
  <si>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</si>
  <si>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</si>
  <si>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</si>
  <si>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</si>
  <si>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</si>
  <si>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</si>
  <si>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</si>
  <si>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</si>
  <si>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</si>
  <si>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</si>
  <si>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</si>
  <si>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</si>
  <si>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</si>
  <si>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</si>
  <si>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</si>
  <si>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</si>
  <si>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</si>
  <si>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</si>
  <si>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</si>
  <si>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</si>
  <si>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</si>
  <si>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</si>
  <si>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</si>
  <si>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</si>
  <si>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</si>
  <si>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</si>
  <si>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</si>
  <si>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</si>
  <si>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</si>
  <si>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</si>
  <si>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</si>
  <si>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</si>
  <si>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</si>
  <si>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</si>
  <si>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</si>
  <si>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</si>
  <si>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</si>
  <si>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</si>
  <si>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</si>
  <si>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</si>
  <si>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</si>
  <si>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</si>
  <si>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</si>
  <si>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</si>
  <si>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</si>
  <si>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</si>
  <si>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</si>
  <si>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</si>
  <si>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</si>
  <si>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</si>
  <si>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</si>
  <si>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</si>
  <si>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</si>
  <si>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</si>
  <si>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</si>
  <si>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</si>
  <si>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</si>
  <si>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</si>
  <si>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</si>
  <si>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</si>
  <si>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</si>
  <si>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</si>
  <si>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</si>
  <si>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</si>
  <si>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</si>
  <si>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</si>
  <si>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</si>
  <si>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</si>
  <si>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</si>
  <si>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</si>
  <si>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</si>
  <si>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</si>
  <si>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</si>
  <si>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</si>
  <si>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</si>
  <si>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</si>
  <si>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</si>
  <si>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</si>
  <si>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</si>
  <si>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</si>
  <si>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</si>
  <si>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</si>
  <si>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</si>
  <si>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</si>
  <si>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</si>
  <si>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</si>
  <si>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</si>
  <si>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</si>
  <si>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</si>
  <si>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</si>
  <si>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</si>
  <si>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</si>
  <si>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</si>
  <si>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</si>
  <si>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</si>
  <si>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</si>
  <si>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</si>
  <si>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</si>
  <si>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</si>
  <si>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</si>
  <si>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</si>
  <si>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</si>
  <si>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</si>
  <si>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</si>
  <si>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</si>
  <si>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</si>
  <si>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</si>
  <si>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</si>
  <si>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</si>
  <si>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</si>
  <si>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</si>
  <si>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</si>
  <si>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</si>
  <si>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</si>
  <si>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</si>
  <si>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</si>
  <si>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</si>
  <si>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</si>
  <si>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</si>
  <si>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</si>
  <si>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</si>
  <si>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</si>
  <si>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</si>
  <si>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</si>
  <si>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</si>
  <si>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</si>
  <si>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</si>
  <si>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</si>
  <si>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</si>
  <si>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</si>
  <si>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</si>
  <si>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</si>
  <si>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</si>
  <si>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</si>
  <si>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</si>
  <si>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</si>
  <si>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</si>
  <si>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</si>
  <si>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</si>
  <si>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</si>
  <si>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</si>
  <si>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</si>
  <si>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</si>
  <si>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</si>
  <si>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</si>
  <si>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</si>
  <si>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</si>
  <si>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</si>
  <si>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</si>
  <si>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</si>
  <si>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</si>
  <si>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</si>
  <si>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</si>
  <si>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</si>
  <si>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</si>
  <si>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</si>
  <si>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</si>
  <si>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</si>
  <si>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</si>
  <si>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</si>
  <si>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</si>
  <si>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</si>
  <si>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</si>
  <si>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</si>
  <si>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</si>
  <si>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</si>
  <si>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</si>
  <si>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</si>
  <si>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</si>
  <si>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</si>
  <si>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</si>
  <si>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</si>
  <si>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</si>
  <si>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</si>
  <si>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</si>
  <si>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</si>
  <si>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</si>
  <si>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</si>
  <si>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</si>
  <si>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</si>
  <si>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</si>
  <si>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</si>
  <si>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</si>
  <si>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</si>
  <si>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</si>
  <si>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</si>
  <si>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</si>
  <si>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</si>
  <si>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</si>
  <si>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</si>
  <si>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</si>
  <si>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</si>
  <si>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</si>
  <si>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</si>
  <si>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</si>
  <si>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</si>
  <si>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</si>
  <si>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</si>
  <si>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</si>
  <si>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</si>
  <si>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</si>
  <si>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</si>
  <si>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</si>
  <si>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</si>
  <si>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</si>
  <si>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</si>
  <si>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</si>
  <si>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</si>
  <si>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</si>
  <si>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</si>
  <si>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</si>
  <si>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</si>
  <si>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</si>
  <si>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</si>
  <si>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</si>
  <si>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</si>
  <si>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</si>
  <si>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</si>
  <si>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</si>
  <si>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</si>
  <si>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</si>
  <si>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</si>
  <si>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</si>
  <si>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</si>
  <si>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</si>
  <si>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</si>
  <si>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</si>
  <si>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</si>
  <si>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</si>
  <si>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</si>
  <si>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</si>
  <si>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</si>
  <si>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</si>
  <si>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</si>
  <si>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</si>
  <si>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</si>
  <si>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</si>
  <si>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</si>
  <si>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</si>
  <si>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</si>
  <si>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</si>
  <si>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</si>
  <si>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</si>
  <si>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</si>
  <si>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</si>
  <si>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</si>
  <si>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</si>
  <si>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</si>
  <si>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</si>
  <si>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</si>
  <si>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</si>
  <si>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</si>
  <si>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</si>
  <si>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</si>
  <si>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</si>
  <si>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</si>
  <si>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</si>
  <si>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</si>
  <si>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</si>
  <si>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</si>
  <si>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</si>
  <si>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</si>
  <si>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</si>
  <si>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</si>
  <si>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</si>
  <si>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</si>
  <si>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</si>
  <si>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</si>
  <si>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</si>
  <si>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</si>
  <si>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</si>
  <si>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</si>
  <si>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</si>
  <si>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</si>
  <si>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</si>
  <si>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</si>
  <si>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</si>
  <si>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</si>
  <si>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</si>
  <si>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</si>
  <si>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</si>
  <si>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</si>
  <si>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</si>
  <si>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</si>
  <si>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</si>
  <si>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</si>
  <si>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</si>
  <si>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</si>
  <si>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</si>
  <si>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</si>
  <si>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</si>
  <si>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</si>
  <si>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</si>
  <si>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</si>
  <si>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</si>
  <si>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</si>
  <si>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</si>
  <si>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</si>
  <si>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</si>
  <si>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</si>
  <si>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</si>
  <si>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</si>
  <si>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</si>
  <si>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</si>
  <si>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</si>
  <si>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</si>
  <si>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</si>
  <si>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</si>
  <si>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</si>
  <si>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</si>
  <si>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</si>
  <si>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</si>
  <si>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</si>
  <si>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</si>
  <si>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</si>
  <si>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</si>
  <si>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</si>
  <si>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</si>
  <si>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</si>
  <si>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</si>
  <si>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</si>
  <si>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</si>
  <si>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</si>
  <si>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</si>
  <si>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</si>
  <si>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</si>
  <si>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</si>
  <si>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</si>
  <si>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</si>
  <si>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</si>
  <si>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</si>
  <si>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</si>
  <si>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</si>
  <si>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</si>
  <si>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</si>
  <si>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</si>
  <si>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</si>
  <si>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</si>
  <si>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</si>
  <si>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</si>
  <si>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</si>
  <si>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</si>
  <si>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</si>
  <si>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</si>
  <si>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</si>
  <si>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</si>
  <si>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</si>
  <si>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</si>
  <si>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</si>
  <si>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</si>
  <si>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</si>
  <si>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</si>
  <si>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</si>
  <si>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</si>
  <si>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</si>
  <si>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</si>
  <si>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</si>
  <si>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</si>
  <si>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</si>
  <si>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</si>
  <si>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</si>
  <si>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</si>
  <si>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</si>
  <si>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</si>
  <si>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</si>
  <si>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</si>
  <si>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</si>
  <si>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</si>
  <si>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</si>
  <si>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</si>
  <si>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</si>
  <si>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</si>
  <si>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</si>
  <si>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</si>
  <si>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</si>
  <si>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</si>
  <si>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</si>
  <si>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</si>
  <si>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</si>
  <si>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</si>
  <si>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</si>
  <si>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</si>
  <si>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</si>
  <si>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</si>
  <si>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</si>
  <si>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</si>
  <si>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</si>
  <si>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</si>
  <si>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</si>
  <si>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</si>
  <si>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</si>
  <si>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</si>
  <si>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</si>
  <si>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</si>
  <si>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</si>
  <si>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</si>
  <si>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</si>
  <si>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</si>
  <si>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</si>
  <si>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</si>
  <si>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</si>
  <si>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</si>
  <si>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</si>
  <si>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</si>
  <si>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</si>
  <si>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</si>
  <si>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</si>
  <si>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</si>
  <si>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</si>
  <si>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</si>
  <si>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</si>
  <si>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</si>
  <si>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</si>
  <si>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</si>
  <si>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</si>
  <si>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</si>
  <si>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</si>
  <si>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</si>
  <si>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</si>
  <si>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</si>
  <si>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</si>
  <si>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</si>
  <si>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</si>
  <si>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</si>
  <si>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</si>
  <si>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</si>
  <si>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</si>
  <si>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</si>
  <si>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</si>
  <si>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</si>
  <si>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</si>
  <si>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</si>
  <si>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</si>
  <si>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</si>
  <si>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</si>
  <si>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</si>
  <si>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</si>
  <si>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</si>
  <si>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</si>
  <si>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</si>
  <si>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</si>
  <si>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</si>
  <si>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</si>
  <si>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</si>
  <si>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</si>
  <si>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</si>
  <si>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</si>
  <si>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</si>
  <si>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</si>
  <si>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</si>
  <si>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</si>
  <si>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</si>
  <si>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</si>
  <si>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</si>
  <si>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</si>
  <si>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</si>
  <si>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</si>
  <si>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</si>
  <si>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</si>
  <si>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</si>
  <si>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</si>
  <si>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</si>
  <si>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</si>
  <si>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</si>
  <si>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</si>
  <si>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</si>
  <si>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</si>
  <si>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</si>
  <si>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</si>
  <si>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</si>
  <si>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</si>
  <si>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</si>
  <si>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</si>
  <si>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</si>
  <si>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</si>
  <si>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</si>
  <si>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</si>
  <si>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</si>
  <si>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</si>
  <si>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</si>
  <si>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</si>
  <si>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</si>
  <si>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</si>
  <si>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</si>
  <si>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</si>
  <si>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</si>
  <si>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</si>
  <si>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</si>
  <si>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</si>
  <si>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</si>
  <si>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</si>
  <si>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</si>
  <si>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</si>
  <si>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</si>
  <si>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</si>
  <si>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</si>
  <si>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</si>
  <si>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</si>
  <si>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</si>
  <si>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</si>
  <si>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</si>
  <si>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</si>
  <si>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</si>
  <si>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</si>
  <si>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</si>
  <si>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</si>
  <si>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</si>
  <si>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</si>
  <si>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</si>
  <si>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</si>
  <si>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</si>
  <si>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</si>
  <si>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</si>
  <si>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</si>
  <si>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</si>
  <si>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</si>
  <si>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</si>
  <si>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</si>
  <si>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</si>
  <si>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</si>
  <si>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</si>
  <si>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</si>
  <si>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</si>
  <si>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</si>
  <si>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</si>
  <si>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</si>
  <si>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</si>
  <si>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</si>
  <si>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</si>
  <si>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</si>
  <si>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</si>
  <si>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</si>
  <si>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</si>
  <si>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</si>
  <si>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</si>
  <si>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</si>
  <si>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</si>
  <si>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</si>
  <si>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</si>
  <si>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</si>
  <si>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</si>
  <si>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</si>
  <si>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</si>
  <si>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</si>
  <si>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</si>
  <si>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</si>
  <si>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</si>
  <si>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</si>
  <si>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</si>
  <si>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</si>
  <si>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</si>
  <si>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</si>
  <si>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</si>
  <si>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</si>
  <si>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</si>
  <si>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</si>
  <si>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</si>
  <si>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</si>
  <si>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</si>
  <si>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</si>
  <si>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</si>
  <si>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</si>
  <si>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</si>
  <si>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</si>
  <si>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</si>
  <si>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</si>
  <si>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</si>
  <si>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</si>
  <si>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</si>
  <si>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</si>
  <si>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</si>
  <si>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</si>
  <si>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</si>
  <si>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</si>
  <si>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</si>
  <si>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</si>
  <si>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</si>
  <si>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</si>
  <si>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</si>
  <si>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</si>
  <si>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</si>
  <si>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</si>
  <si>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</si>
  <si>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</si>
  <si>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</si>
  <si>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</si>
  <si>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</si>
  <si>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</si>
  <si>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</si>
  <si>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</si>
  <si>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</si>
  <si>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</si>
  <si>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</si>
  <si>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</si>
  <si>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</si>
  <si>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</si>
  <si>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</si>
  <si>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</si>
  <si>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</si>
  <si>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</si>
  <si>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</si>
  <si>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</si>
  <si>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</si>
  <si>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</si>
  <si>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</si>
  <si>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</si>
  <si>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</si>
  <si>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</si>
  <si>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</si>
  <si>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</si>
  <si>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</si>
  <si>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</si>
  <si>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</si>
  <si>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</si>
  <si>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</si>
  <si>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</si>
  <si>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</si>
  <si>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</si>
  <si>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</si>
  <si>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</si>
  <si>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</si>
  <si>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</si>
  <si>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</si>
  <si>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</si>
  <si>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</si>
  <si>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</si>
  <si>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</si>
  <si>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</si>
  <si>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</si>
  <si>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</si>
  <si>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</si>
  <si>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</si>
  <si>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</si>
  <si>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</si>
  <si>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</si>
  <si>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</si>
  <si>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</si>
  <si>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</si>
  <si>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</si>
  <si>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</si>
  <si>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</si>
  <si>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</si>
  <si>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</si>
  <si>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</si>
  <si>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</si>
  <si>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</si>
  <si>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</si>
  <si>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</si>
  <si>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</si>
  <si>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</si>
  <si>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</si>
  <si>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</si>
  <si>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</si>
  <si>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</si>
  <si>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</si>
  <si>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</si>
  <si>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</si>
  <si>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</si>
  <si>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</si>
  <si>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</si>
  <si>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</si>
  <si>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</si>
  <si>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</si>
  <si>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</si>
  <si>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</si>
  <si>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</si>
  <si>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</si>
  <si>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</si>
  <si>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</si>
  <si>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</si>
  <si>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</si>
  <si>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</si>
  <si>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</si>
  <si>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</si>
  <si>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</si>
  <si>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</si>
  <si>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</si>
  <si>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</si>
  <si>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</si>
  <si>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</si>
  <si>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</si>
  <si>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</si>
  <si>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</si>
  <si>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</si>
  <si>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</si>
  <si>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</si>
  <si>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</si>
  <si>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</si>
  <si>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</si>
  <si>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</si>
  <si>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</si>
  <si>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</si>
  <si>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</si>
  <si>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</si>
  <si>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</si>
  <si>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</si>
  <si>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</si>
  <si>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</si>
  <si>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</si>
  <si>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</si>
  <si>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</si>
  <si>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</si>
  <si>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</si>
  <si>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</si>
  <si>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</si>
  <si>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</si>
  <si>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</si>
  <si>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</si>
  <si>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</si>
  <si>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</si>
  <si>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</si>
  <si>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</si>
  <si>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</si>
  <si>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</si>
  <si>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</si>
  <si>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</si>
  <si>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</si>
  <si>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</si>
  <si>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</si>
  <si>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</si>
  <si>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</si>
  <si>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</si>
  <si>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</si>
  <si>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</si>
  <si>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</si>
  <si>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</si>
  <si>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</si>
  <si>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</si>
  <si>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</si>
  <si>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</si>
  <si>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</si>
  <si>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</si>
  <si>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</si>
  <si>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</si>
  <si>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</si>
  <si>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</si>
  <si>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</si>
  <si>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</si>
  <si>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</si>
  <si>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</si>
  <si>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</si>
  <si>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</si>
  <si>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</si>
  <si>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</si>
  <si>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</si>
  <si>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</si>
  <si>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</si>
  <si>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</si>
  <si>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</si>
  <si>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</si>
  <si>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</si>
  <si>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</si>
  <si>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</si>
  <si>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</si>
  <si>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</si>
  <si>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</si>
  <si>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</si>
  <si>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</si>
  <si>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</si>
  <si>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</si>
  <si>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</si>
  <si>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</si>
  <si>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</si>
  <si>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</si>
  <si>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</si>
  <si>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</si>
  <si>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</si>
  <si>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</si>
  <si>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</si>
  <si>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</si>
  <si>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</si>
  <si>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</si>
  <si>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</si>
  <si>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</si>
  <si>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</si>
  <si>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</si>
  <si>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</si>
  <si>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</si>
  <si>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</si>
  <si>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</si>
  <si>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</si>
  <si>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</si>
  <si>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</si>
  <si>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</si>
  <si>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</si>
  <si>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</si>
  <si>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</si>
  <si>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</si>
  <si>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</si>
  <si>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</si>
  <si>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</si>
  <si>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</si>
  <si>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</si>
  <si>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</si>
  <si>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</si>
  <si>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</si>
  <si>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</si>
  <si>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</si>
  <si>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</si>
  <si>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</si>
  <si>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</si>
  <si>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</si>
  <si>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</si>
  <si>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</si>
  <si>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</si>
  <si>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</si>
  <si>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</si>
  <si>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</si>
  <si>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</si>
  <si>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</si>
  <si>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</si>
  <si>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</si>
  <si>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</si>
  <si>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</si>
  <si>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</si>
  <si>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</si>
  <si>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</si>
  <si>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</si>
  <si>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</si>
  <si>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</si>
  <si>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</si>
  <si>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</si>
  <si>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</si>
  <si>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</si>
  <si>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</si>
  <si>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</si>
  <si>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</si>
  <si>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</si>
  <si>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</si>
  <si>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</si>
  <si>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</si>
  <si>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</si>
  <si>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</si>
  <si>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</si>
  <si>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</si>
  <si>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</si>
  <si>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</si>
  <si>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</si>
  <si>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</si>
  <si>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</si>
  <si>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</si>
  <si>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</si>
  <si>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</si>
  <si>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</si>
  <si>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</si>
  <si>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</si>
  <si>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</si>
  <si>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</si>
  <si>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</si>
  <si>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</si>
  <si>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</si>
  <si>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</si>
  <si>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</si>
  <si>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</si>
  <si>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</si>
  <si>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</si>
  <si>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</si>
  <si>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</si>
  <si>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</si>
  <si>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</si>
  <si>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</si>
  <si>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</si>
  <si>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</si>
  <si>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</si>
  <si>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</si>
  <si>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</si>
  <si>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</si>
  <si>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</si>
  <si>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</si>
  <si>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</si>
  <si>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</si>
  <si>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</si>
  <si>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</si>
  <si>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</si>
  <si>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</si>
  <si>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</si>
  <si>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</si>
  <si>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</si>
  <si>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</si>
  <si>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</si>
  <si>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</si>
  <si>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</si>
  <si>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</si>
  <si>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</si>
  <si>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</si>
  <si>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</si>
  <si>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</si>
  <si>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</si>
  <si>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</si>
  <si>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</si>
  <si>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</si>
  <si>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</si>
  <si>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</si>
  <si>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</si>
  <si>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</si>
  <si>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</si>
  <si>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</si>
  <si>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</si>
  <si>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</si>
  <si>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</si>
  <si>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</si>
  <si>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</si>
  <si>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</si>
  <si>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</si>
  <si>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</si>
  <si>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</si>
  <si>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</si>
  <si>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</si>
  <si>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</si>
  <si>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</si>
  <si>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</si>
  <si>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</si>
  <si>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</si>
  <si>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</si>
  <si>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</si>
  <si>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</si>
  <si>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</si>
  <si>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</si>
  <si>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</si>
  <si>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</si>
  <si>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</si>
  <si>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</si>
  <si>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</si>
  <si>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</si>
  <si>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</si>
  <si>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</si>
  <si>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</si>
  <si>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</si>
  <si>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</si>
  <si>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</si>
  <si>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</si>
  <si>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</si>
  <si>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</si>
  <si>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</si>
  <si>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</si>
  <si>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</si>
  <si>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</si>
  <si>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</si>
  <si>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</si>
  <si>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</si>
  <si>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</si>
  <si>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</si>
  <si>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</si>
  <si>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</si>
  <si>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</si>
  <si>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</si>
  <si>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</si>
  <si>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</si>
  <si>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</si>
  <si>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</si>
  <si>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</si>
  <si>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</si>
  <si>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</si>
  <si>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</si>
  <si>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</si>
  <si>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</si>
  <si>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</si>
  <si>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</si>
  <si>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</si>
  <si>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</si>
  <si>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</si>
  <si>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</si>
  <si>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</si>
  <si>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</si>
  <si>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</si>
  <si>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</si>
  <si>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</si>
  <si>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</si>
  <si>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</si>
  <si>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</si>
  <si>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</si>
  <si>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</si>
  <si>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</si>
  <si>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</si>
  <si>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</si>
  <si>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</si>
  <si>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</si>
  <si>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</si>
  <si>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</si>
  <si>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</si>
  <si>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</si>
  <si>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</si>
  <si>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</si>
  <si>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</si>
  <si>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</si>
  <si>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</si>
  <si>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</si>
  <si>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</si>
  <si>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</si>
  <si>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</si>
  <si>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</si>
  <si>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</si>
  <si>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</si>
  <si>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</si>
  <si>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</si>
  <si>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</si>
  <si>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</si>
  <si>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</si>
  <si>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</si>
  <si>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</si>
  <si>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</si>
  <si>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</si>
  <si>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</si>
  <si>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</si>
  <si>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</si>
  <si>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</si>
  <si>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</si>
  <si>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</si>
  <si>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</si>
  <si>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</si>
  <si>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</si>
  <si>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</si>
  <si>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</si>
  <si>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</si>
  <si>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</si>
  <si>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</si>
  <si>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</si>
  <si>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</si>
  <si>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</si>
  <si>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</si>
  <si>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</si>
  <si>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</si>
  <si>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</si>
  <si>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</si>
  <si>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</si>
  <si>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</si>
  <si>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</si>
  <si>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</si>
  <si>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</si>
  <si>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</si>
  <si>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</si>
  <si>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</si>
  <si>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</si>
  <si>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</si>
  <si>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</si>
  <si>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</si>
  <si>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</si>
  <si>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</si>
  <si>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</si>
  <si>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</si>
  <si>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</si>
  <si>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</si>
  <si>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</si>
  <si>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</si>
  <si>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</si>
  <si>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</si>
  <si>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</si>
  <si>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</si>
  <si>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</si>
  <si>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</si>
  <si>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</si>
  <si>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</si>
  <si>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</si>
  <si>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</si>
  <si>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</si>
  <si>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</si>
  <si>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</si>
  <si>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</si>
  <si>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</si>
  <si>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</si>
  <si>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</si>
  <si>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</si>
  <si>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</si>
  <si>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</si>
  <si>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</si>
  <si>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</si>
  <si>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</si>
  <si>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</si>
  <si>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</si>
  <si>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</si>
  <si>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</si>
  <si>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</si>
  <si>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</si>
  <si>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</si>
  <si>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</si>
  <si>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</si>
  <si>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</si>
  <si>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</si>
  <si>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</si>
  <si>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</si>
  <si>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</si>
  <si>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</si>
  <si>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</si>
  <si>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</si>
  <si>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</si>
  <si>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</si>
  <si>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</si>
  <si>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</si>
  <si>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</si>
  <si>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</si>
  <si>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</si>
  <si>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</si>
  <si>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</si>
  <si>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</si>
  <si>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</si>
  <si>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</si>
  <si>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</si>
  <si>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</si>
  <si>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</si>
  <si>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</si>
  <si>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</si>
  <si>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</si>
  <si>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</si>
  <si>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</si>
  <si>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</si>
  <si>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</si>
  <si>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</si>
  <si>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</si>
  <si>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</si>
  <si>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</si>
  <si>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</si>
  <si>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</si>
  <si>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</si>
  <si>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</si>
  <si>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</si>
  <si>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</si>
  <si>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</si>
  <si>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</si>
  <si>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</si>
  <si>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</si>
  <si>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</si>
  <si>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</si>
  <si>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</si>
  <si>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</si>
  <si>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</si>
  <si>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</si>
  <si>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</si>
  <si>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</si>
  <si>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</si>
  <si>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</si>
  <si>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</si>
  <si>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</si>
  <si>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</si>
  <si>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</si>
  <si>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</si>
  <si>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</si>
  <si>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</si>
  <si>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</si>
  <si>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</si>
  <si>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</si>
  <si>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</si>
  <si>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</si>
  <si>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</si>
  <si>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</si>
  <si>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</si>
  <si>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</si>
  <si>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</si>
  <si>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</si>
  <si>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</si>
  <si>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</si>
  <si>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</si>
  <si>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</si>
  <si>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</si>
  <si>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</si>
  <si>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</si>
  <si>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</si>
  <si>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</si>
  <si>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</si>
  <si>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</si>
  <si>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</si>
  <si>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</si>
  <si>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</si>
  <si>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</si>
  <si>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</si>
  <si>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</si>
  <si>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</si>
  <si>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</si>
  <si>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</si>
  <si>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</si>
  <si>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</si>
  <si>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</si>
  <si>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</si>
  <si>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</si>
  <si>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</si>
  <si>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</si>
  <si>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</si>
  <si>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</si>
  <si>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</si>
  <si>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</si>
  <si>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</si>
  <si>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</si>
  <si>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</si>
  <si>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</si>
  <si>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</si>
  <si>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</si>
  <si>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</si>
  <si>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</si>
  <si>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</si>
  <si>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</si>
  <si>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</si>
  <si>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</si>
  <si>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</si>
  <si>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</si>
  <si>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</si>
  <si>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</si>
  <si>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</si>
  <si>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</si>
  <si>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</si>
  <si>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</si>
  <si>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</si>
  <si>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</si>
  <si>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</si>
  <si>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</si>
  <si>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</si>
  <si>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</si>
  <si>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</si>
  <si>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</si>
  <si>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</si>
  <si>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</si>
  <si>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</si>
  <si>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</si>
  <si>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</si>
  <si>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</si>
  <si>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</si>
  <si>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</si>
  <si>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</si>
  <si>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</si>
  <si>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</si>
  <si>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</si>
  <si>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</si>
  <si>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</si>
  <si>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</si>
  <si>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</si>
  <si>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</si>
  <si>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</si>
  <si>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</si>
  <si>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</si>
  <si>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</si>
  <si>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</si>
  <si>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</si>
  <si>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</si>
  <si>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</si>
  <si>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</si>
  <si>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</si>
  <si>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</si>
  <si>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</si>
  <si>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</si>
  <si>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</si>
  <si>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</si>
  <si>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</si>
  <si>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</si>
  <si>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</si>
  <si>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</si>
  <si>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</si>
  <si>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</si>
  <si>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</si>
  <si>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</si>
  <si>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</si>
  <si>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</si>
  <si>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</si>
  <si>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</si>
  <si>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</si>
  <si>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</si>
  <si>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</si>
  <si>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</si>
  <si>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</si>
  <si>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</si>
  <si>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</si>
  <si>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</si>
  <si>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</si>
  <si>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</si>
  <si>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</si>
  <si>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</si>
  <si>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</si>
  <si>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</si>
  <si>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</si>
  <si>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</si>
  <si>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</si>
  <si>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</si>
  <si>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</si>
  <si>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</si>
  <si>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</si>
  <si>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</si>
  <si>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</si>
  <si>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</si>
  <si>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</si>
  <si>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</si>
  <si>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</si>
  <si>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</si>
  <si>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</si>
  <si>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</si>
  <si>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</si>
  <si>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</si>
  <si>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</si>
  <si>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</si>
  <si>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</si>
  <si>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</si>
  <si>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</si>
  <si>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</si>
  <si>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</si>
  <si>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</si>
  <si>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</si>
  <si>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</si>
  <si>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</si>
  <si>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</si>
  <si>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</si>
  <si>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</si>
  <si>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</si>
  <si>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</si>
  <si>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</si>
  <si>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</si>
  <si>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</si>
  <si>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</si>
  <si>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</si>
  <si>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</si>
  <si>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</si>
  <si>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</si>
  <si>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</si>
  <si>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</si>
  <si>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</si>
  <si>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</si>
  <si>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</si>
  <si>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</si>
  <si>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</si>
  <si>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</si>
  <si>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</si>
  <si>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</si>
  <si>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</si>
  <si>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</si>
  <si>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</si>
  <si>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</si>
  <si>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</si>
  <si>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</si>
  <si>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</si>
  <si>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</si>
  <si>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</si>
  <si>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</si>
  <si>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</si>
  <si>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</si>
  <si>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</si>
  <si>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</si>
  <si>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</si>
  <si>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</si>
  <si>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</si>
  <si>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</si>
  <si>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</si>
  <si>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</si>
  <si>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</si>
  <si>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</si>
  <si>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</si>
  <si>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</si>
  <si>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</si>
  <si>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</si>
  <si>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</si>
  <si>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</si>
  <si>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</si>
  <si>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</si>
  <si>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</si>
  <si>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</si>
  <si>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</si>
  <si>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</si>
  <si>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</si>
  <si>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</si>
  <si>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</si>
  <si>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</si>
  <si>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</si>
  <si>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</si>
  <si>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</si>
  <si>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</si>
  <si>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</si>
  <si>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</si>
  <si>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</si>
  <si>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</si>
  <si>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</si>
  <si>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</si>
  <si>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</si>
  <si>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</si>
  <si>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</si>
  <si>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</si>
  <si>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</si>
  <si>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</si>
  <si>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</si>
  <si>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</si>
  <si>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</si>
  <si>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</si>
  <si>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</si>
  <si>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</si>
  <si>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</si>
  <si>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</si>
  <si>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</si>
  <si>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</si>
  <si>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</si>
  <si>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</si>
  <si>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</si>
  <si>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</si>
  <si>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</si>
  <si>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</si>
  <si>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</si>
  <si>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</si>
  <si>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</si>
  <si>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</si>
  <si>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</si>
  <si>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</si>
  <si>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</si>
  <si>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</si>
  <si>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</si>
  <si>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</si>
  <si>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</si>
  <si>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</si>
  <si>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</si>
  <si>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</si>
  <si>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</si>
  <si>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</si>
  <si>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</si>
  <si>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</si>
  <si>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</si>
  <si>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</si>
  <si>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</si>
  <si>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</si>
  <si>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</si>
  <si>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</si>
  <si>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</si>
  <si>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</si>
  <si>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</si>
  <si>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</si>
  <si>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</si>
  <si>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</si>
  <si>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</si>
  <si>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</si>
  <si>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</si>
  <si>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</si>
  <si>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</si>
  <si>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</si>
  <si>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</si>
  <si>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</si>
  <si>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</si>
  <si>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</si>
  <si>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</si>
  <si>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</si>
  <si>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</si>
  <si>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</si>
  <si>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</si>
  <si>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</si>
  <si>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</si>
  <si>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</si>
  <si>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</si>
  <si>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</si>
  <si>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</si>
  <si>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</si>
  <si>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</si>
  <si>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</si>
  <si>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</si>
  <si>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</si>
  <si>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</si>
  <si>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</si>
  <si>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</si>
  <si>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</si>
  <si>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</si>
  <si>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</si>
  <si>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</si>
  <si>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</si>
  <si>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</si>
  <si>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</si>
  <si>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</si>
  <si>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</si>
  <si>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</si>
  <si>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</si>
  <si>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</si>
  <si>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</si>
  <si>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</si>
  <si>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</si>
  <si>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</si>
  <si>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</si>
  <si>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</si>
  <si>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</si>
  <si>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</si>
  <si>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</si>
  <si>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</si>
  <si>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</si>
  <si>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</si>
  <si>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</si>
  <si>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</si>
  <si>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</si>
  <si>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</si>
  <si>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</si>
  <si>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</si>
  <si>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</si>
  <si>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</si>
  <si>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</si>
  <si>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</si>
  <si>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</si>
  <si>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</si>
  <si>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</si>
  <si>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</si>
  <si>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</si>
  <si>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</si>
  <si>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</si>
  <si>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</si>
  <si>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</si>
  <si>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</si>
  <si>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</si>
  <si>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</si>
  <si>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</si>
  <si>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</si>
  <si>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</si>
  <si>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</si>
  <si>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</si>
  <si>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</si>
  <si>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</si>
  <si>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</si>
  <si>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</si>
  <si>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</si>
  <si>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</si>
  <si>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</si>
  <si>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</si>
  <si>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</si>
  <si>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</si>
  <si>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</si>
  <si>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</si>
  <si>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</si>
  <si>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</si>
  <si>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</si>
  <si>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</si>
  <si>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</si>
  <si>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</si>
  <si>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</si>
  <si>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</si>
  <si>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</si>
  <si>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</si>
  <si>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</si>
  <si>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</si>
  <si>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</si>
  <si>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</si>
  <si>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</si>
  <si>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</si>
  <si>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</si>
  <si>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</si>
  <si>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</si>
  <si>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</si>
  <si>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</si>
  <si>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</si>
  <si>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</si>
  <si>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</si>
  <si>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</si>
  <si>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</si>
  <si>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</si>
  <si>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</si>
  <si>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</si>
  <si>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</si>
  <si>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</si>
  <si>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</si>
  <si>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</si>
  <si>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</si>
  <si>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</si>
  <si>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</si>
  <si>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</si>
  <si>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</si>
  <si>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</si>
  <si>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</si>
  <si>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</si>
  <si>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</si>
  <si>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</si>
  <si>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</si>
  <si>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</si>
  <si>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</si>
  <si>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</si>
  <si>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</si>
  <si>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</si>
  <si>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</si>
  <si>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</si>
  <si>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</si>
  <si>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</si>
  <si>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</si>
  <si>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</si>
  <si>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</si>
  <si>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</si>
  <si>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</si>
  <si>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</si>
  <si>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</si>
  <si>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</si>
  <si>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</si>
  <si>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</si>
  <si>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</si>
  <si>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</si>
  <si>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</si>
  <si>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</si>
  <si>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</si>
  <si>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</si>
  <si>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</si>
  <si>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</si>
  <si>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</si>
  <si>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</si>
  <si>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</si>
  <si>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</si>
  <si>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</si>
  <si>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</si>
  <si>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</si>
  <si>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</si>
  <si>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</si>
  <si>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</si>
  <si>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</si>
  <si>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</si>
  <si>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</si>
  <si>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</si>
  <si>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</si>
  <si>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</si>
  <si>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</si>
  <si>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</si>
  <si>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</si>
  <si>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</si>
  <si>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</si>
  <si>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</si>
  <si>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</si>
  <si>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</si>
  <si>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</si>
  <si>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</si>
  <si>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</si>
  <si>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</si>
  <si>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</si>
  <si>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</si>
  <si>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</si>
  <si>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</si>
  <si>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</si>
  <si>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</si>
  <si>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</si>
  <si>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</si>
  <si>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</si>
  <si>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</si>
  <si>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</si>
  <si>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</si>
  <si>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</si>
  <si>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</si>
  <si>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</si>
  <si>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</si>
  <si>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</si>
  <si>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</si>
  <si>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</si>
  <si>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</si>
  <si>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</si>
  <si>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</si>
  <si>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</si>
  <si>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</si>
  <si>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</si>
  <si>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</si>
  <si>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</si>
  <si>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</si>
  <si>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</si>
  <si>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</si>
  <si>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</si>
  <si>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</si>
  <si>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</si>
  <si>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</si>
  <si>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</si>
  <si>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</si>
  <si>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</si>
  <si>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</si>
  <si>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</si>
  <si>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</si>
  <si>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</si>
  <si>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</si>
  <si>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</si>
  <si>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</si>
  <si>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</si>
  <si>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</si>
  <si>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</si>
  <si>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</si>
  <si>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</si>
  <si>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</si>
  <si>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</si>
  <si>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</si>
  <si>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</si>
  <si>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</si>
  <si>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</si>
  <si>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</si>
  <si>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</si>
  <si>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</si>
  <si>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</si>
  <si>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</si>
  <si>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</si>
  <si>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</si>
  <si>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</si>
  <si>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</si>
  <si>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</si>
  <si>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</si>
  <si>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</si>
  <si>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</si>
  <si>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</si>
  <si>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</si>
  <si>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</si>
  <si>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</si>
  <si>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</si>
  <si>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</si>
  <si>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</si>
  <si>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</si>
  <si>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</si>
  <si>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</si>
  <si>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</si>
  <si>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</si>
  <si>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</si>
  <si>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</si>
  <si>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</si>
  <si>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</si>
  <si>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</si>
  <si>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</si>
  <si>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</si>
  <si>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</si>
  <si>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</si>
  <si>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</si>
  <si>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</si>
  <si>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</si>
  <si>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</si>
  <si>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</si>
  <si>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</si>
  <si>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</si>
  <si>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</si>
  <si>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</si>
  <si>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</si>
  <si>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</si>
  <si>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</si>
  <si>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</si>
  <si>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</si>
  <si>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</si>
  <si>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</si>
  <si>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</si>
  <si>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</si>
  <si>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</si>
  <si>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</si>
  <si>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</si>
  <si>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</si>
  <si>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</si>
  <si>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</si>
  <si>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</si>
  <si>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</si>
  <si>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</si>
  <si>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</si>
  <si>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</si>
  <si>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</si>
  <si>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</si>
  <si>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</si>
  <si>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</si>
  <si>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</si>
  <si>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</si>
  <si>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</si>
  <si>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</si>
  <si>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</si>
  <si>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</si>
  <si>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</si>
  <si>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</si>
  <si>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</si>
  <si>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</si>
  <si>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</si>
  <si>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</si>
  <si>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</si>
  <si>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</si>
  <si>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</si>
  <si>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</si>
  <si>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</si>
  <si>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</si>
  <si>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</si>
  <si>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</si>
  <si>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</si>
  <si>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</si>
  <si>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</si>
  <si>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</si>
  <si>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</si>
  <si>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</si>
  <si>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</si>
  <si>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</si>
  <si>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</si>
  <si>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</si>
  <si>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</si>
  <si>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</si>
  <si>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</si>
  <si>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</si>
  <si>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</si>
  <si>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</si>
  <si>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</si>
  <si>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</si>
  <si>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</si>
  <si>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</si>
  <si>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</si>
  <si>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</si>
  <si>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</si>
  <si>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</si>
  <si>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</si>
  <si>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</si>
  <si>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</si>
  <si>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</si>
  <si>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</si>
  <si>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</si>
  <si>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</si>
  <si>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</si>
  <si>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</si>
  <si>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</si>
  <si>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</si>
  <si>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</si>
  <si>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</si>
  <si>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</si>
  <si>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</si>
  <si>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</si>
  <si>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</si>
  <si>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</si>
  <si>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</si>
  <si>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</si>
  <si>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</si>
  <si>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</si>
  <si>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</si>
  <si>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</si>
  <si>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</si>
  <si>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</si>
  <si>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</si>
  <si>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</si>
  <si>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</si>
  <si>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</si>
  <si>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</si>
  <si>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</si>
  <si>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</si>
  <si>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</si>
  <si>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</si>
  <si>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</si>
  <si>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</si>
  <si>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</si>
  <si>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</si>
  <si>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</si>
  <si>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</si>
  <si>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</si>
  <si>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</si>
  <si>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</si>
  <si>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</si>
  <si>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</si>
  <si>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</si>
  <si>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</si>
  <si>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</si>
  <si>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</si>
  <si>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</si>
  <si>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</si>
  <si>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</si>
  <si>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</si>
  <si>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</si>
  <si>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</si>
  <si>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</si>
  <si>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</si>
  <si>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</si>
  <si>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</si>
  <si>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</si>
  <si>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</si>
  <si>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</si>
  <si>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</si>
  <si>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</si>
  <si>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</si>
  <si>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</si>
  <si>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</si>
  <si>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</si>
  <si>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</si>
  <si>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</si>
  <si>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</si>
  <si>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</si>
  <si>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</si>
  <si>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</si>
  <si>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</si>
  <si>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</si>
  <si>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</si>
  <si>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</si>
  <si>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</si>
  <si>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</si>
  <si>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</si>
  <si>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</si>
  <si>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</si>
  <si>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</si>
  <si>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</si>
  <si>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</si>
  <si>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</si>
  <si>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</si>
  <si>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</si>
  <si>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</si>
  <si>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</si>
  <si>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</si>
  <si>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</si>
  <si>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</si>
  <si>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</si>
  <si>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</si>
  <si>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</si>
  <si>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</si>
  <si>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</si>
  <si>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</si>
  <si>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</si>
  <si>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</si>
  <si>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</si>
  <si>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</si>
  <si>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</si>
  <si>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</si>
  <si>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</si>
  <si>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</si>
  <si>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</si>
  <si>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</si>
  <si>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</si>
  <si>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</si>
  <si>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</si>
  <si>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</si>
  <si>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</si>
  <si>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</si>
  <si>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</si>
  <si>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</si>
  <si>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</si>
  <si>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</si>
  <si>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</si>
  <si>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</si>
  <si>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</si>
  <si>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</si>
  <si>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</si>
  <si>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</si>
  <si>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</si>
  <si>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</si>
  <si>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</si>
  <si>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</si>
  <si>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</si>
  <si>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</si>
  <si>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</si>
  <si>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</si>
  <si>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</si>
  <si>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</si>
  <si>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</si>
  <si>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</si>
  <si>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</si>
  <si>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</si>
  <si>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</si>
  <si>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</si>
  <si>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</si>
  <si>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</si>
  <si>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</si>
  <si>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</si>
  <si>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</si>
  <si>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</si>
  <si>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</si>
  <si>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</si>
  <si>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</si>
  <si>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</si>
  <si>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</si>
  <si>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</si>
  <si>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</si>
  <si>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</si>
  <si>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</si>
  <si>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</si>
  <si>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</si>
  <si>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</si>
  <si>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</si>
  <si>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</si>
  <si>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</si>
  <si>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</si>
  <si>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</si>
  <si>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</si>
  <si>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</si>
  <si>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</si>
  <si>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</si>
  <si>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</si>
  <si>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</si>
  <si>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</si>
  <si>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</si>
  <si>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</si>
  <si>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</si>
  <si>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</si>
  <si>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</si>
  <si>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</si>
  <si>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</si>
  <si>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</si>
  <si>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</si>
  <si>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</si>
  <si>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</si>
  <si>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</si>
  <si>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</si>
  <si>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</si>
  <si>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</si>
  <si>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</si>
  <si>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</si>
  <si>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</si>
  <si>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</si>
  <si>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</si>
  <si>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</si>
  <si>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</si>
  <si>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</si>
  <si>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</si>
  <si>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</si>
  <si>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</si>
  <si>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</si>
  <si>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</si>
  <si>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</si>
  <si>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</si>
  <si>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</si>
  <si>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</si>
  <si>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</si>
  <si>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</si>
  <si>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</si>
  <si>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</si>
  <si>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</si>
  <si>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</si>
  <si>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</si>
  <si>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</si>
  <si>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</si>
  <si>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</si>
  <si>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</si>
  <si>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</si>
  <si>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</si>
  <si>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</si>
  <si>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</si>
  <si>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</si>
  <si>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</si>
  <si>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</si>
  <si>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</si>
  <si>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</si>
  <si>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</si>
  <si>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</si>
  <si>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</si>
  <si>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</si>
  <si>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</si>
  <si>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</si>
  <si>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</si>
  <si>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</si>
  <si>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</si>
  <si>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</si>
  <si>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</si>
  <si>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</si>
  <si>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</si>
  <si>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</si>
  <si>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</si>
  <si>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</si>
  <si>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</si>
  <si>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</si>
  <si>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</si>
  <si>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</si>
  <si>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</si>
  <si>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</si>
  <si>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</si>
  <si>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</si>
  <si>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</si>
  <si>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</si>
  <si>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</si>
  <si>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</si>
  <si>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</si>
  <si>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</si>
  <si>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</si>
  <si>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</si>
  <si>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</si>
  <si>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</si>
  <si>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</si>
  <si>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</si>
  <si>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</si>
  <si>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</si>
  <si>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</si>
  <si>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</si>
  <si>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</si>
  <si>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</si>
  <si>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</si>
  <si>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</si>
  <si>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</si>
  <si>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</si>
  <si>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</si>
  <si>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</si>
  <si>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</si>
  <si>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</si>
  <si>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</si>
  <si>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</si>
  <si>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</si>
  <si>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</si>
  <si>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</si>
  <si>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</si>
  <si>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</si>
  <si>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</si>
  <si>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</si>
  <si>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</si>
  <si>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</si>
  <si>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</si>
  <si>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</si>
  <si>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</si>
  <si>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</si>
  <si>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</si>
  <si>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</si>
  <si>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</si>
  <si>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</si>
  <si>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</si>
  <si>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</si>
  <si>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</si>
  <si>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</si>
  <si>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</si>
  <si>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</si>
  <si>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</si>
  <si>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</si>
  <si>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</si>
  <si>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</si>
  <si>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</si>
  <si>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</si>
  <si>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</si>
  <si>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</si>
  <si>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</si>
  <si>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</si>
  <si>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</si>
  <si>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</si>
  <si>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</si>
  <si>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</si>
  <si>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</si>
  <si>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</si>
  <si>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</si>
  <si>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</si>
  <si>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</si>
  <si>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</si>
  <si>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</si>
  <si>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</si>
  <si>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</si>
  <si>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</si>
  <si>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</si>
  <si>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</si>
  <si>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</si>
  <si>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</si>
  <si>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</si>
  <si>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</si>
  <si>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</si>
  <si>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</si>
  <si>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</si>
  <si>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</si>
  <si>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</si>
  <si>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</si>
  <si>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</si>
  <si>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</si>
  <si>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</si>
  <si>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</si>
  <si>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</si>
  <si>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</si>
  <si>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</si>
  <si>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</si>
  <si>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</si>
  <si>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</si>
  <si>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</si>
  <si>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</si>
  <si>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</si>
  <si>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</si>
  <si>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</si>
  <si>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</si>
  <si>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</si>
  <si>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</si>
  <si>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</si>
  <si>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</si>
  <si>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</si>
  <si>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</si>
  <si>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</si>
  <si>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</si>
  <si>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</si>
  <si>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</si>
  <si>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</si>
  <si>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</si>
  <si>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</si>
  <si>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</si>
  <si>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</si>
  <si>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</si>
  <si>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</si>
  <si>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</si>
  <si>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</si>
  <si>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</si>
  <si>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</si>
  <si>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</si>
  <si>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</si>
  <si>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</si>
  <si>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</si>
  <si>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</si>
  <si>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</si>
  <si>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</si>
  <si>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</si>
  <si>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</si>
  <si>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</si>
  <si>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</si>
  <si>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</si>
  <si>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</si>
  <si>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</si>
  <si>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</si>
  <si>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</si>
  <si>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</si>
  <si>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</si>
  <si>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</si>
  <si>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</si>
  <si>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</si>
  <si>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</si>
  <si>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</si>
  <si>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</si>
  <si>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</si>
  <si>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</si>
  <si>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</si>
  <si>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</si>
  <si>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</si>
  <si>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</si>
  <si>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</si>
  <si>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</si>
  <si>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</si>
  <si>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</si>
  <si>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</si>
  <si>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</si>
  <si>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</si>
  <si>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</si>
  <si>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</si>
  <si>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</si>
  <si>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</si>
  <si>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</si>
  <si>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</si>
  <si>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</si>
  <si>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</si>
  <si>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</si>
  <si>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</si>
  <si>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</si>
  <si>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</si>
  <si>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</si>
  <si>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</si>
  <si>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</si>
  <si>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</si>
  <si>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</si>
  <si>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</si>
  <si>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</si>
  <si>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</si>
  <si>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</si>
  <si>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</si>
  <si>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</si>
  <si>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</si>
  <si>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</si>
  <si>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</si>
  <si>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</si>
  <si>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</si>
  <si>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</si>
  <si>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</si>
  <si>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</si>
  <si>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</si>
  <si>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</si>
  <si>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</si>
  <si>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</si>
  <si>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</si>
  <si>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</si>
  <si>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</si>
  <si>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</si>
  <si>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</si>
  <si>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</si>
  <si>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</si>
  <si>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</si>
  <si>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</si>
  <si>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</si>
  <si>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</si>
  <si>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</si>
  <si>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</si>
  <si>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</si>
  <si>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</si>
  <si>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</si>
  <si>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</si>
  <si>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</si>
  <si>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</si>
  <si>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</si>
  <si>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</si>
  <si>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</si>
  <si>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</si>
  <si>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</si>
  <si>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</si>
  <si>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</si>
  <si>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</si>
  <si>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</si>
  <si>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</si>
  <si>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</si>
  <si>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</si>
  <si>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</si>
  <si>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</si>
  <si>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</si>
  <si>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</si>
  <si>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</si>
  <si>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</si>
  <si>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</si>
  <si>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</si>
  <si>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</si>
  <si>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</si>
  <si>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</si>
  <si>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</si>
  <si>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</si>
  <si>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</si>
  <si>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</si>
  <si>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</si>
  <si>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</si>
  <si>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</si>
  <si>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</si>
  <si>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</si>
  <si>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</si>
  <si>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</si>
  <si>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</si>
  <si>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</si>
  <si>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</si>
  <si>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</si>
  <si>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</si>
  <si>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</si>
  <si>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</si>
  <si>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</si>
  <si>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</si>
  <si>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</si>
  <si>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</si>
  <si>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</si>
  <si>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</si>
  <si>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</si>
  <si>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</si>
  <si>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</si>
  <si>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</si>
  <si>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</si>
  <si>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</si>
  <si>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</si>
  <si>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</si>
  <si>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</si>
  <si>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</si>
  <si>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</si>
  <si>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</si>
  <si>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</si>
  <si>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</si>
  <si>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</si>
  <si>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</si>
  <si>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</si>
  <si>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</si>
  <si>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</si>
  <si>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</si>
  <si>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</si>
  <si>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</si>
  <si>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</si>
  <si>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</si>
  <si>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</si>
  <si>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</si>
  <si>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</si>
  <si>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</si>
  <si>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</si>
  <si>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</si>
  <si>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</si>
  <si>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</si>
  <si>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</si>
  <si>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</si>
  <si>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</si>
  <si>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</si>
  <si>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</si>
  <si>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</si>
  <si>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</si>
  <si>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</si>
  <si>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</si>
  <si>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</si>
  <si>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</si>
  <si>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</si>
  <si>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</si>
  <si>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</si>
  <si>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</si>
  <si>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</si>
  <si>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</si>
  <si>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</si>
  <si>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</si>
  <si>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</si>
  <si>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</si>
  <si>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</si>
  <si>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</si>
  <si>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</si>
  <si>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</si>
  <si>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</si>
  <si>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</si>
  <si>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</si>
  <si>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</si>
  <si>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</si>
  <si>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</si>
  <si>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</si>
  <si>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</si>
  <si>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</si>
  <si>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</si>
  <si>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</si>
  <si>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</si>
  <si>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</si>
  <si>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</si>
  <si>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</si>
  <si>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</si>
  <si>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</si>
  <si>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</si>
  <si>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</si>
  <si>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</si>
  <si>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</si>
  <si>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</si>
  <si>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</si>
  <si>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</si>
  <si>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</si>
  <si>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</si>
  <si>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</si>
  <si>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</si>
  <si>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</si>
  <si>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</si>
  <si>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</si>
  <si>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</si>
  <si>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</si>
  <si>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</si>
  <si>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</si>
  <si>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</si>
  <si>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</si>
  <si>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</si>
  <si>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</si>
  <si>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</si>
  <si>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</si>
  <si>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</si>
  <si>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</si>
  <si>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</si>
  <si>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</si>
  <si>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</si>
  <si>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</si>
  <si>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</si>
  <si>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</si>
  <si>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</si>
  <si>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</si>
  <si>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</si>
  <si>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</si>
  <si>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</si>
  <si>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</si>
  <si>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</si>
  <si>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</si>
  <si>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</si>
  <si>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</si>
  <si>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</si>
  <si>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</si>
  <si>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</si>
  <si>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</si>
  <si>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</si>
  <si>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</si>
  <si>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</si>
  <si>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</si>
  <si>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</si>
  <si>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</si>
  <si>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</si>
  <si>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</si>
  <si>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</si>
  <si>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</si>
  <si>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</si>
  <si>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</si>
  <si>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</si>
  <si>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</si>
  <si>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</si>
  <si>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</si>
  <si>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</si>
  <si>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</si>
  <si>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</si>
  <si>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</si>
  <si>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</si>
  <si>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</si>
  <si>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</si>
  <si>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</si>
  <si>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</si>
  <si>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</si>
  <si>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</si>
  <si>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</si>
  <si>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</si>
  <si>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</si>
  <si>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</si>
  <si>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</si>
  <si>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</si>
  <si>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</si>
  <si>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</si>
  <si>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</si>
  <si>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</si>
  <si>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</si>
  <si>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</si>
  <si>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</si>
  <si>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</si>
  <si>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</si>
  <si>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</si>
  <si>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</si>
  <si>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</si>
  <si>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</si>
  <si>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</si>
  <si>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</si>
  <si>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</si>
  <si>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</si>
  <si>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</si>
  <si>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</si>
  <si>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</si>
  <si>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</si>
  <si>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</si>
  <si>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</si>
  <si>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</si>
  <si>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</si>
  <si>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</si>
  <si>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</si>
  <si>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</si>
  <si>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</si>
  <si>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</si>
  <si>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</si>
  <si>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</si>
  <si>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</si>
  <si>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</si>
  <si>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</si>
  <si>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</si>
  <si>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</si>
  <si>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</si>
  <si>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</si>
  <si>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</si>
  <si>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</si>
  <si>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</si>
  <si>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</si>
  <si>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</si>
  <si>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</si>
  <si>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</si>
  <si>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</si>
  <si>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</si>
  <si>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</si>
  <si>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</si>
  <si>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</si>
  <si>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</si>
  <si>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</si>
  <si>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</si>
  <si>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</si>
  <si>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</si>
  <si>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</si>
  <si>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</si>
  <si>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</si>
  <si>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</si>
  <si>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</si>
  <si>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</si>
  <si>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</si>
  <si>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</si>
  <si>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</si>
  <si>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</si>
  <si>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</si>
  <si>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</si>
  <si>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</si>
  <si>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</si>
  <si>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</si>
  <si>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</si>
  <si>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</si>
  <si>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</si>
  <si>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</si>
  <si>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</si>
  <si>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</si>
  <si>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</si>
  <si>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</si>
  <si>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</si>
  <si>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</si>
  <si>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</si>
  <si>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</si>
  <si>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</si>
  <si>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</si>
  <si>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</si>
  <si>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</si>
  <si>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</si>
  <si>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</si>
  <si>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</si>
  <si>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</si>
  <si>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</si>
  <si>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</si>
  <si>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</si>
  <si>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</si>
  <si>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</si>
  <si>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</si>
  <si>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</si>
  <si>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</si>
  <si>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</si>
  <si>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</si>
  <si>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</si>
  <si>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</si>
  <si>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</si>
  <si>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</si>
  <si>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</si>
  <si>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</si>
  <si>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</si>
  <si>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</si>
  <si>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</si>
  <si>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</si>
  <si>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</si>
  <si>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</si>
  <si>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</si>
  <si>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</si>
  <si>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</si>
  <si>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</si>
  <si>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</si>
  <si>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</si>
  <si>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</si>
  <si>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</si>
  <si>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</si>
  <si>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</si>
  <si>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</si>
  <si>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</si>
  <si>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</si>
  <si>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</si>
  <si>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</si>
  <si>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</si>
  <si>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</si>
  <si>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</si>
  <si>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</si>
  <si>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</si>
  <si>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</si>
  <si>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</si>
  <si>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</si>
  <si>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</si>
  <si>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</si>
  <si>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</si>
  <si>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</si>
  <si>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</si>
  <si>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</si>
  <si>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</si>
  <si>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</si>
  <si>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</si>
  <si>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</si>
  <si>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</si>
  <si>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</si>
  <si>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</si>
  <si>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</si>
  <si>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</si>
  <si>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</si>
  <si>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</si>
  <si>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</si>
  <si>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</si>
  <si>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</si>
  <si>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</si>
  <si>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</si>
  <si>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</si>
  <si>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</si>
  <si>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</si>
  <si>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</si>
  <si>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</si>
  <si>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</si>
  <si>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</si>
  <si>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</si>
  <si>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</si>
  <si>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</si>
  <si>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</si>
  <si>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</si>
  <si>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Issuer / Trustee Fees</t>
  </si>
  <si>
    <t xml:space="preserve">No   </t>
  </si>
  <si>
    <t>Citibank - Taxable Bonds</t>
  </si>
  <si>
    <t>Construction Loan (Taxable Bonds)</t>
  </si>
  <si>
    <t>CEQA Review and Design / Architectural Review</t>
  </si>
  <si>
    <t>Fee Waiver</t>
  </si>
  <si>
    <t>Vitalia Apartments</t>
  </si>
  <si>
    <t>City of Palm Desert</t>
  </si>
  <si>
    <t>Todd Hileman</t>
  </si>
  <si>
    <t>City Manager</t>
  </si>
  <si>
    <t>73-510 Fred Waring Drive</t>
  </si>
  <si>
    <t>Palm Desert</t>
  </si>
  <si>
    <t>760.346.0611</t>
  </si>
  <si>
    <t>760.340.0574</t>
  </si>
  <si>
    <t>info@cityofpalmdesert.org</t>
  </si>
  <si>
    <t>South side of Gerald Ford Drive, west of Portola Road</t>
  </si>
  <si>
    <t>694-310-006 (a portion of)</t>
  </si>
  <si>
    <t>Highest Resource</t>
  </si>
  <si>
    <t>Novogradac Consulting LLP</t>
  </si>
  <si>
    <t>6700 Antioch Road, Suite 450</t>
  </si>
  <si>
    <t>Merriam, KS 66204</t>
  </si>
  <si>
    <t>Rachel B. Denton</t>
  </si>
  <si>
    <t>913.312.4612</t>
  </si>
  <si>
    <t>Rachel.Denton@novoco.com</t>
  </si>
  <si>
    <t>Successor Agency to the Palm Desert Redevelopment Agency</t>
  </si>
  <si>
    <t>N/A - Public Entity</t>
  </si>
  <si>
    <t>Executive Director</t>
  </si>
  <si>
    <t>Palm Desert, CA 92260</t>
  </si>
  <si>
    <t>Other (Specify below)</t>
  </si>
  <si>
    <t>2 &amp; 3</t>
  </si>
  <si>
    <t>2 and 3 story garden style residential buildings.</t>
  </si>
  <si>
    <t>Multifamily Residential (Planned Residential)</t>
  </si>
  <si>
    <t>PR (Planned Residential); 27 du / acre</t>
  </si>
  <si>
    <t>Palm Desert Pacific Assoc - Deferred Costs</t>
  </si>
  <si>
    <t>CVAG - TUMF Fee Waiver</t>
  </si>
  <si>
    <t>City of Palm Desert - Housing Auth. Loan</t>
  </si>
  <si>
    <t>Housing Authority Loan</t>
  </si>
  <si>
    <t>73-710 Fred Waring Drive, Ste. 200</t>
  </si>
  <si>
    <t>Peter Satin</t>
  </si>
  <si>
    <t>760.346.1127</t>
  </si>
  <si>
    <t>Air Conditioning &amp; Monthly Charges</t>
  </si>
  <si>
    <t>Housing Authority of the County of Riverside</t>
  </si>
  <si>
    <t>City of Palm Desert - Housing Authority Loan</t>
  </si>
  <si>
    <t>282 hours / year</t>
  </si>
  <si>
    <t>City of Palm Desert - Hsg. Auth. Loan</t>
  </si>
  <si>
    <t>3 Stories or 40' Maximum</t>
  </si>
  <si>
    <t>1.1 spaces per unit or a total of 297 parking spaces required</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</si>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</sst>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indexed="81"/>
      <name val="Tahoma"/>
      <charset val="1"/>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5" borderId="3"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688</v>
      </c>
      <c r="F42" s="1862" t="s">
        <v>1357</v>
      </c>
    </row>
    <row r="43" spans="1:38" s="1862"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8" sqref="K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9" t="s">
        <v>1876</v>
      </c>
      <c r="B1" s="3259"/>
      <c r="C1" s="3259"/>
      <c r="D1" s="3259"/>
      <c r="E1" s="3259"/>
      <c r="F1" s="3259"/>
      <c r="G1" s="3259"/>
      <c r="H1" s="3259"/>
      <c r="I1" s="3259"/>
    </row>
    <row r="2" spans="1:11" ht="14">
      <c r="A2" s="1336"/>
      <c r="B2" s="1336"/>
      <c r="E2" s="1337"/>
      <c r="I2" s="1339"/>
      <c r="K2" s="1340"/>
    </row>
    <row r="3" spans="1:11">
      <c r="A3" s="1341" t="s">
        <v>1583</v>
      </c>
      <c r="B3" s="1341"/>
      <c r="C3" s="1334" t="s">
        <v>2179</v>
      </c>
      <c r="E3" s="1826">
        <f>ROUND(Application!AM564+'Basis &amp; Credits'!AB77,0)</f>
        <v>66818289</v>
      </c>
      <c r="F3" s="1342"/>
      <c r="K3" s="1413"/>
    </row>
    <row r="4" spans="1:11" s="1343" customFormat="1" ht="15.05" customHeight="1">
      <c r="C4" s="1343" t="s">
        <v>1877</v>
      </c>
      <c r="E4" s="1419">
        <f>Application!AD1037</f>
        <v>-0.12719298245614036</v>
      </c>
      <c r="F4" s="1344"/>
      <c r="H4" s="1345"/>
      <c r="K4" s="1632"/>
    </row>
    <row r="5" spans="1:11" s="1346" customFormat="1" ht="15.05" customHeight="1">
      <c r="A5" s="3260"/>
      <c r="B5" s="3260"/>
      <c r="D5" s="1346" t="s">
        <v>2180</v>
      </c>
      <c r="E5" s="1347">
        <f>IF('CDLAC Points System'!C274="Yes",0.2,0)</f>
        <v>0.2</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61953448.660526313</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0</v>
      </c>
      <c r="G11" s="1361">
        <v>0.9</v>
      </c>
      <c r="H11" s="1362"/>
      <c r="I11" s="1363">
        <f>E11*G11</f>
        <v>0</v>
      </c>
      <c r="J11" s="1354"/>
      <c r="K11" s="1358"/>
    </row>
    <row r="12" spans="1:11" ht="14">
      <c r="A12" s="1336"/>
      <c r="B12" s="1336"/>
      <c r="C12" s="1354" t="s">
        <v>1885</v>
      </c>
      <c r="D12" s="1354"/>
      <c r="E12" s="1414">
        <f>Application!BS635+Application!BS644+Application!CX658</f>
        <v>131</v>
      </c>
      <c r="G12" s="1361">
        <v>1</v>
      </c>
      <c r="H12" s="1362"/>
      <c r="I12" s="1363">
        <f>E12*G12</f>
        <v>131</v>
      </c>
      <c r="J12" s="1354"/>
    </row>
    <row r="13" spans="1:11" ht="14">
      <c r="A13" s="1336"/>
      <c r="B13" s="1336"/>
      <c r="C13" s="1354" t="s">
        <v>1886</v>
      </c>
      <c r="D13" s="1354"/>
      <c r="E13" s="1414">
        <f>Application!BX635+Application!BX644+Application!DC658</f>
        <v>70</v>
      </c>
      <c r="G13" s="1361">
        <v>1.25</v>
      </c>
      <c r="H13" s="1362"/>
      <c r="I13" s="1363">
        <f>E13*G13</f>
        <v>87.5</v>
      </c>
      <c r="J13" s="1354"/>
    </row>
    <row r="14" spans="1:11" ht="14">
      <c r="A14" s="1336"/>
      <c r="B14" s="1336"/>
      <c r="C14" s="1354" t="s">
        <v>1887</v>
      </c>
      <c r="D14" s="1354"/>
      <c r="E14" s="1414">
        <f>Application!CC635+Application!CC644+Application!DH658</f>
        <v>68</v>
      </c>
      <c r="G14" s="1361">
        <f>1.5+0.25*0</f>
        <v>1.5</v>
      </c>
      <c r="H14" s="1362"/>
      <c r="I14" s="1363">
        <f>IF(E14/E16&lt;=30%,E14*G14,TRUNC(0.3*E16)*G14+(E14-TRUNC(0.3*E16))*G13)</f>
        <v>102</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269</v>
      </c>
      <c r="G16" s="1337"/>
      <c r="I16" s="1418">
        <f>SUM(I11:I15)</f>
        <v>320.5</v>
      </c>
    </row>
    <row r="17" spans="1:9" ht="14">
      <c r="A17" s="1336"/>
      <c r="B17" s="1336"/>
      <c r="E17" s="1337"/>
      <c r="I17" s="1365"/>
    </row>
    <row r="18" spans="1:9" ht="14">
      <c r="A18" s="1341" t="s">
        <v>1588</v>
      </c>
      <c r="B18" s="1341"/>
      <c r="C18" s="1366" t="s">
        <v>1889</v>
      </c>
      <c r="D18" s="1338"/>
      <c r="E18" s="1367">
        <f>E7/I16</f>
        <v>193302.49192051892</v>
      </c>
      <c r="F18" s="1368"/>
      <c r="G18" s="1369"/>
      <c r="H18" s="1370"/>
      <c r="I18" s="1365"/>
    </row>
    <row r="21" spans="1:9" ht="14.25" customHeight="1">
      <c r="A21" s="3261" t="s">
        <v>2178</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Normal="100" zoomScaleSheetLayoutView="100" workbookViewId="0">
      <selection activeCell="AB78" activeCellId="1" sqref="AB57:AF57 AB78:AF78"/>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8" t="s">
        <v>1520</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5" t="s">
        <v>392</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76422192</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4" t="s">
        <v>528</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7" t="s">
        <v>529</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7" t="s">
        <v>530</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7" t="s">
        <v>531</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7" t="s">
        <v>862</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7" t="s">
        <v>532</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2" t="s">
        <v>2669</v>
      </c>
      <c r="D18" s="3322"/>
      <c r="E18" s="3322"/>
      <c r="F18" s="3322"/>
      <c r="G18" s="3322"/>
      <c r="H18" s="3322"/>
      <c r="I18" s="3322"/>
      <c r="J18" s="3322"/>
      <c r="K18" s="3322"/>
      <c r="L18" s="3322"/>
      <c r="M18" s="3322"/>
      <c r="N18" s="3322"/>
      <c r="O18" s="3322"/>
      <c r="P18" s="3322"/>
      <c r="Q18" s="3322"/>
      <c r="R18" s="3322"/>
      <c r="S18" s="3323"/>
      <c r="T18" s="3302">
        <v>361228</v>
      </c>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2" t="s">
        <v>1037</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5" t="s">
        <v>533</v>
      </c>
      <c r="C20" s="3276"/>
      <c r="D20" s="3276"/>
      <c r="E20" s="3276"/>
      <c r="F20" s="3276"/>
      <c r="G20" s="3276"/>
      <c r="H20" s="3276"/>
      <c r="I20" s="3276"/>
      <c r="J20" s="3276"/>
      <c r="K20" s="3276"/>
      <c r="L20" s="3276"/>
      <c r="M20" s="3276"/>
      <c r="N20" s="3276"/>
      <c r="O20" s="3276"/>
      <c r="P20" s="3276"/>
      <c r="Q20" s="3276"/>
      <c r="R20" s="3276"/>
      <c r="S20" s="3277"/>
      <c r="T20" s="3292">
        <f>SUM(T13:X19)</f>
        <v>361228</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5" t="s">
        <v>1492</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5" t="s">
        <v>534</v>
      </c>
      <c r="C22" s="3276"/>
      <c r="D22" s="3276"/>
      <c r="E22" s="3276"/>
      <c r="F22" s="3276"/>
      <c r="G22" s="3276"/>
      <c r="H22" s="3276"/>
      <c r="I22" s="3276"/>
      <c r="J22" s="3276"/>
      <c r="K22" s="3276"/>
      <c r="L22" s="3276"/>
      <c r="M22" s="3276"/>
      <c r="N22" s="3276"/>
      <c r="O22" s="3276"/>
      <c r="P22" s="3276"/>
      <c r="Q22" s="3276"/>
      <c r="R22" s="3276"/>
      <c r="S22" s="3277"/>
      <c r="T22" s="3298">
        <f>(T20+T21)*-1</f>
        <v>-361228</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1" t="s">
        <v>535</v>
      </c>
      <c r="C23" s="3332"/>
      <c r="D23" s="3332"/>
      <c r="E23" s="3332"/>
      <c r="F23" s="3332"/>
      <c r="G23" s="3332"/>
      <c r="H23" s="3332"/>
      <c r="I23" s="3332"/>
      <c r="J23" s="3332"/>
      <c r="K23" s="3332"/>
      <c r="L23" s="3332"/>
      <c r="M23" s="3332"/>
      <c r="N23" s="3332"/>
      <c r="O23" s="3332"/>
      <c r="P23" s="3332"/>
      <c r="Q23" s="3332"/>
      <c r="R23" s="3332"/>
      <c r="S23" s="3333"/>
      <c r="T23" s="3292">
        <f>T11+T22</f>
        <v>76060964</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5" t="s">
        <v>1038</v>
      </c>
      <c r="C24" s="3276"/>
      <c r="D24" s="3276"/>
      <c r="E24" s="3276"/>
      <c r="F24" s="3276"/>
      <c r="G24" s="3276"/>
      <c r="H24" s="3276"/>
      <c r="I24" s="3276"/>
      <c r="J24" s="3276"/>
      <c r="K24" s="3276"/>
      <c r="L24" s="3276"/>
      <c r="M24" s="3276"/>
      <c r="N24" s="3276"/>
      <c r="O24" s="3276"/>
      <c r="P24" s="3276"/>
      <c r="Q24" s="3276"/>
      <c r="R24" s="3276"/>
      <c r="S24" s="3277"/>
      <c r="T24" s="3290">
        <f>Application!AJ1032</f>
        <v>147863846</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4" t="s">
        <v>1493</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5" t="s">
        <v>536</v>
      </c>
      <c r="C26" s="3276"/>
      <c r="D26" s="3276"/>
      <c r="E26" s="3276"/>
      <c r="F26" s="3276"/>
      <c r="G26" s="3276"/>
      <c r="H26" s="3276"/>
      <c r="I26" s="3276"/>
      <c r="J26" s="3276"/>
      <c r="K26" s="3276"/>
      <c r="L26" s="3276"/>
      <c r="M26" s="3276"/>
      <c r="N26" s="3276"/>
      <c r="O26" s="3276"/>
      <c r="P26" s="3276"/>
      <c r="Q26" s="3276"/>
      <c r="R26" s="3276"/>
      <c r="S26" s="3277"/>
      <c r="T26" s="3311">
        <f>T23*T25</f>
        <v>98879253.200000003</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7" t="s">
        <v>446</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5" t="s">
        <v>537</v>
      </c>
      <c r="C28" s="3276"/>
      <c r="D28" s="3276"/>
      <c r="E28" s="3276"/>
      <c r="F28" s="3276"/>
      <c r="G28" s="3276"/>
      <c r="H28" s="3276"/>
      <c r="I28" s="3276"/>
      <c r="J28" s="3276"/>
      <c r="K28" s="3276"/>
      <c r="L28" s="3276"/>
      <c r="M28" s="3276"/>
      <c r="N28" s="3276"/>
      <c r="O28" s="3276"/>
      <c r="P28" s="3276"/>
      <c r="Q28" s="3276"/>
      <c r="R28" s="3276"/>
      <c r="S28" s="3277"/>
      <c r="T28" s="3304">
        <f>IF(ISERROR((T26*T27)),0,(T26*T27))</f>
        <v>98879253.200000003</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5" t="s">
        <v>554</v>
      </c>
      <c r="C29" s="3276"/>
      <c r="D29" s="3276"/>
      <c r="E29" s="3276"/>
      <c r="F29" s="3276"/>
      <c r="G29" s="3276"/>
      <c r="H29" s="3276"/>
      <c r="I29" s="3276"/>
      <c r="J29" s="3276"/>
      <c r="K29" s="3276"/>
      <c r="L29" s="3276"/>
      <c r="M29" s="3276"/>
      <c r="N29" s="3276"/>
      <c r="O29" s="3276"/>
      <c r="P29" s="3276"/>
      <c r="Q29" s="3276"/>
      <c r="R29" s="3276"/>
      <c r="S29" s="3277"/>
      <c r="T29" s="3290">
        <f>T28+Y28+AD28+AI28</f>
        <v>98879253.200000003</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7" t="s">
        <v>1495</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7" t="s">
        <v>1494</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1343</v>
      </c>
      <c r="Z35" s="3293"/>
      <c r="AA35" s="3293"/>
      <c r="AB35" s="3293"/>
      <c r="AC35" s="3293"/>
      <c r="AD35" s="3294" t="s">
        <v>379</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5" t="s">
        <v>537</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98879253.200000003</v>
      </c>
      <c r="Z38" s="3295"/>
      <c r="AA38" s="3295"/>
      <c r="AB38" s="3295"/>
      <c r="AC38" s="3295"/>
      <c r="AD38" s="3295">
        <f>IF(T24&gt;=(T23+Y23+AD23+AI23),AD28+AI28,0)</f>
        <v>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5" t="s">
        <v>2177</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5" t="s">
        <v>675</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3955170</v>
      </c>
      <c r="Z40" s="3295"/>
      <c r="AA40" s="3295"/>
      <c r="AB40" s="3295"/>
      <c r="AC40" s="3295"/>
      <c r="AD40" s="3292">
        <f>ROUND(AD38*AD39,0)</f>
        <v>0</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5" t="s">
        <v>676</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3955170</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9" t="s">
        <v>1509</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82320460</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30391228</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51929232</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f>0.9999*0.84</f>
        <v>0.839916</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2" t="s">
        <v>2373</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61826697</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6182669.7000000002</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3955170</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33220106</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18709126</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78" t="s">
        <v>1065</v>
      </c>
      <c r="Z63" s="3278"/>
      <c r="AA63" s="3278"/>
      <c r="AB63" s="3278"/>
      <c r="AC63" s="3278"/>
      <c r="AD63" s="3278" t="s">
        <v>379</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76060964</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69">
        <f>ROUND(Y64*Y67,0)</f>
        <v>22818289</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f>0.9999*0.82</f>
        <v>0.81991799999999992</v>
      </c>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4" t="s">
        <v>1480</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22818289</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22818289</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18709125.880301997</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0.11969800293445587</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45" thickTop="1"/>
    <row r="85" spans="1:98" ht="12.9">
      <c r="A85" s="794"/>
      <c r="C85" s="334"/>
      <c r="Z85" s="619"/>
      <c r="AA85" s="619"/>
      <c r="AB85" s="619"/>
      <c r="AC85" s="619"/>
      <c r="AD85" s="619"/>
      <c r="AE85" s="619"/>
      <c r="AF85" s="619"/>
      <c r="AG85" s="619"/>
      <c r="AH85" s="619"/>
    </row>
    <row r="86" spans="1:98" ht="12.9">
      <c r="D86" s="334"/>
      <c r="Z86" s="619"/>
      <c r="AA86" s="619"/>
      <c r="AB86" s="3330"/>
      <c r="AC86" s="3330"/>
      <c r="AD86" s="3330"/>
      <c r="AE86" s="3330"/>
      <c r="AF86" s="3330"/>
      <c r="AG86" s="619"/>
      <c r="AH86" s="619"/>
    </row>
    <row r="87" spans="1:98" ht="13.45"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5" t="s">
        <v>1933</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1934</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1935</v>
      </c>
      <c r="D7" s="1426"/>
      <c r="E7" s="3347" t="str">
        <f>Application!H16</f>
        <v>Central Valley Coalition for Affordable Housing, a California Nonprofit Public Benefit Corporation</v>
      </c>
      <c r="F7" s="3347"/>
      <c r="G7" s="3347"/>
      <c r="H7" s="1426"/>
      <c r="I7" s="1427" t="s">
        <v>1936</v>
      </c>
      <c r="J7" s="1428">
        <f>Application!AG437+Application!AG439</f>
        <v>266</v>
      </c>
    </row>
    <row r="8" spans="1:33">
      <c r="C8" s="1427" t="s">
        <v>1937</v>
      </c>
      <c r="D8" s="1426"/>
      <c r="E8" s="3347" t="str">
        <f>Application!H18</f>
        <v>Vitalia Apartments</v>
      </c>
      <c r="F8" s="3347"/>
      <c r="G8" s="3347"/>
      <c r="H8" s="1426"/>
      <c r="I8" s="1427" t="s">
        <v>1938</v>
      </c>
      <c r="J8" s="1429">
        <f>Application!CS663</f>
        <v>469</v>
      </c>
    </row>
    <row r="9" spans="1:33" ht="14.25" customHeight="1">
      <c r="C9" s="1427" t="s">
        <v>1939</v>
      </c>
      <c r="D9" s="1426"/>
      <c r="E9" s="3348" t="str">
        <f>Application!D210</f>
        <v>Large Family</v>
      </c>
      <c r="F9" s="3348"/>
      <c r="G9" s="3348"/>
      <c r="H9" s="1426"/>
      <c r="I9" s="1427" t="s">
        <v>1940</v>
      </c>
      <c r="J9" s="1430">
        <v>0</v>
      </c>
      <c r="N9" s="1431"/>
    </row>
    <row r="10" spans="1:33" ht="26.9" customHeight="1">
      <c r="C10" s="3346" t="s">
        <v>1941</v>
      </c>
      <c r="D10" s="3346"/>
      <c r="E10" s="3349" t="str">
        <f>Application!D213</f>
        <v>N/A</v>
      </c>
      <c r="F10" s="3349"/>
      <c r="G10" s="3349"/>
      <c r="H10" s="1426"/>
      <c r="I10" s="1432" t="s">
        <v>1942</v>
      </c>
      <c r="J10" s="1433">
        <f>IF(J9&gt;0,J8-J9,J8)</f>
        <v>469</v>
      </c>
      <c r="N10" s="1431"/>
    </row>
    <row r="11" spans="1:33">
      <c r="C11" s="1434"/>
      <c r="N11" s="1431"/>
    </row>
    <row r="12" spans="1:33" ht="15.05" customHeight="1">
      <c r="C12" s="3350" t="s">
        <v>1943</v>
      </c>
      <c r="D12" s="3351"/>
      <c r="E12" s="3352"/>
      <c r="F12" s="3343" t="s">
        <v>1944</v>
      </c>
      <c r="G12" s="3343" t="s">
        <v>1945</v>
      </c>
      <c r="H12" s="3356" t="s">
        <v>2159</v>
      </c>
      <c r="I12" s="3343" t="s">
        <v>2158</v>
      </c>
      <c r="J12" s="3343" t="s">
        <v>1946</v>
      </c>
      <c r="N12" s="1431"/>
    </row>
    <row r="13" spans="1:33" ht="68.25" customHeight="1">
      <c r="C13" s="3353"/>
      <c r="D13" s="3354"/>
      <c r="E13" s="3355"/>
      <c r="F13" s="3344"/>
      <c r="G13" s="3344"/>
      <c r="H13" s="3357"/>
      <c r="I13" s="3344"/>
      <c r="J13" s="3344"/>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2602</v>
      </c>
      <c r="G17" s="1443">
        <v>8000</v>
      </c>
      <c r="H17" s="1442" t="s">
        <v>2603</v>
      </c>
      <c r="I17" s="1442" t="s">
        <v>2604</v>
      </c>
      <c r="J17" s="1442" t="s">
        <v>2605</v>
      </c>
    </row>
    <row r="18" spans="3:10">
      <c r="C18" s="1439" t="s">
        <v>1953</v>
      </c>
      <c r="D18" s="1425" t="s">
        <v>1954</v>
      </c>
      <c r="E18" s="1425"/>
      <c r="F18" s="1440" t="s">
        <v>2678</v>
      </c>
      <c r="G18" s="1443">
        <v>15000</v>
      </c>
      <c r="H18" s="1442" t="s">
        <v>2603</v>
      </c>
      <c r="I18" s="1442" t="s">
        <v>2604</v>
      </c>
      <c r="J18" s="1442" t="s">
        <v>2605</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2606</v>
      </c>
      <c r="E31" s="1459"/>
      <c r="F31" s="1440"/>
      <c r="G31" s="1443">
        <v>1000</v>
      </c>
      <c r="H31" s="1442" t="s">
        <v>2603</v>
      </c>
      <c r="I31" s="1442" t="s">
        <v>2604</v>
      </c>
      <c r="J31" s="1442" t="s">
        <v>2605</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24000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2651244</v>
      </c>
      <c r="G4" s="354">
        <f>E4*$C$4</f>
        <v>2717525.0999999996</v>
      </c>
      <c r="I4" s="354">
        <f>G4*$C$4</f>
        <v>2785463.2274999996</v>
      </c>
      <c r="K4" s="354">
        <f>I4*$C$4</f>
        <v>2855099.8081874992</v>
      </c>
      <c r="M4" s="354">
        <f>K4*$C$4</f>
        <v>2926477.3033921863</v>
      </c>
      <c r="O4" s="354">
        <f>M4*$C$4</f>
        <v>2999639.2359769908</v>
      </c>
      <c r="Q4" s="354">
        <f>O4*$C$4</f>
        <v>3074630.2168764151</v>
      </c>
      <c r="S4" s="354">
        <f>Q4*$C$4</f>
        <v>3151495.972298325</v>
      </c>
      <c r="U4" s="354">
        <f>S4*$C$4</f>
        <v>3230283.3716057828</v>
      </c>
      <c r="W4" s="354">
        <f>U4*$C$4</f>
        <v>3311040.4558959273</v>
      </c>
      <c r="Y4" s="354">
        <f>W4*$C$4</f>
        <v>3393816.4672933253</v>
      </c>
      <c r="AA4" s="354">
        <f>Y4*$C$4</f>
        <v>3478661.8789756582</v>
      </c>
      <c r="AC4" s="354">
        <f>AA4*$C$4</f>
        <v>3565628.4259500494</v>
      </c>
      <c r="AE4" s="354">
        <f>AC4*$C$4</f>
        <v>3654769.1365988003</v>
      </c>
      <c r="AG4" s="354">
        <f>AE4*$C$4</f>
        <v>3746138.3650137698</v>
      </c>
    </row>
    <row r="5" spans="1:34" s="339" customFormat="1" ht="13.45">
      <c r="B5" s="339" t="s">
        <v>899</v>
      </c>
      <c r="C5" s="375">
        <f>IF(Application!$D$210="Special Needs",0.1,0.05)</f>
        <v>0.05</v>
      </c>
      <c r="E5" s="356">
        <f>-E4*$C$5</f>
        <v>-132562.20000000001</v>
      </c>
      <c r="F5" s="356"/>
      <c r="G5" s="356">
        <f>-G4*$C$5</f>
        <v>-135876.25499999998</v>
      </c>
      <c r="H5" s="356"/>
      <c r="I5" s="356">
        <f>-I4*$C$5</f>
        <v>-139273.161375</v>
      </c>
      <c r="J5" s="356"/>
      <c r="K5" s="356">
        <f>-K4*$C$5</f>
        <v>-142754.99040937496</v>
      </c>
      <c r="L5" s="356"/>
      <c r="M5" s="356">
        <f>-M4*$C$5</f>
        <v>-146323.86516960931</v>
      </c>
      <c r="N5" s="356"/>
      <c r="O5" s="356">
        <f>-O4*$C$5</f>
        <v>-149981.96179884954</v>
      </c>
      <c r="P5" s="356"/>
      <c r="Q5" s="356">
        <f>-Q4*$C$5</f>
        <v>-153731.51084382075</v>
      </c>
      <c r="R5" s="356"/>
      <c r="S5" s="356">
        <f>-S4*$C$5</f>
        <v>-157574.79861491628</v>
      </c>
      <c r="T5" s="356"/>
      <c r="U5" s="356">
        <f>-U4*$C$5</f>
        <v>-161514.16858028914</v>
      </c>
      <c r="V5" s="356"/>
      <c r="W5" s="356">
        <f>-W4*$C$5</f>
        <v>-165552.02279479639</v>
      </c>
      <c r="X5" s="356"/>
      <c r="Y5" s="356">
        <f>-Y4*$C$5</f>
        <v>-169690.82336466628</v>
      </c>
      <c r="Z5" s="356"/>
      <c r="AA5" s="356">
        <f>-AA4*$C$5</f>
        <v>-173933.09394878292</v>
      </c>
      <c r="AB5" s="356"/>
      <c r="AC5" s="356">
        <f>-AC4*$C$5</f>
        <v>-178281.42129750247</v>
      </c>
      <c r="AD5" s="356"/>
      <c r="AE5" s="356">
        <f>-AE4*$C$5</f>
        <v>-182738.45682994003</v>
      </c>
      <c r="AF5" s="356"/>
      <c r="AG5" s="356">
        <f>-AG4*$C$5</f>
        <v>-187306.9182506885</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40350</v>
      </c>
      <c r="F8" s="357"/>
      <c r="G8" s="357">
        <f>E8*$C$8</f>
        <v>41358.75</v>
      </c>
      <c r="H8" s="357"/>
      <c r="I8" s="357">
        <f>G8*$C$8</f>
        <v>42392.718749999993</v>
      </c>
      <c r="J8" s="357"/>
      <c r="K8" s="357">
        <f>I8*$C$8</f>
        <v>43452.536718749987</v>
      </c>
      <c r="L8" s="357"/>
      <c r="M8" s="357">
        <f>K8*$C$8</f>
        <v>44538.850136718735</v>
      </c>
      <c r="N8" s="357"/>
      <c r="O8" s="357">
        <f>M8*$C$8</f>
        <v>45652.321390136698</v>
      </c>
      <c r="P8" s="357"/>
      <c r="Q8" s="357">
        <f>O8*$C$8</f>
        <v>46793.62942489011</v>
      </c>
      <c r="R8" s="357"/>
      <c r="S8" s="357">
        <f>Q8*$C$8</f>
        <v>47963.470160512356</v>
      </c>
      <c r="T8" s="357"/>
      <c r="U8" s="357">
        <f>S8*$C$8</f>
        <v>49162.556914525157</v>
      </c>
      <c r="V8" s="357"/>
      <c r="W8" s="357">
        <f>U8*$C$8</f>
        <v>50391.620837388284</v>
      </c>
      <c r="X8" s="357"/>
      <c r="Y8" s="357">
        <f>W8*$C$8</f>
        <v>51651.411358322985</v>
      </c>
      <c r="Z8" s="357"/>
      <c r="AA8" s="357">
        <f>Y8*$C$8</f>
        <v>52942.696642281051</v>
      </c>
      <c r="AB8" s="357"/>
      <c r="AC8" s="357">
        <f>AA8*$C$8</f>
        <v>54266.264058338071</v>
      </c>
      <c r="AD8" s="357"/>
      <c r="AE8" s="357">
        <f>AC8*$C$8</f>
        <v>55622.920659796517</v>
      </c>
      <c r="AF8" s="357"/>
      <c r="AG8" s="357">
        <f>AE8*$C$8</f>
        <v>57013.493676291422</v>
      </c>
    </row>
    <row r="9" spans="1:34" s="339" customFormat="1" ht="13.45">
      <c r="B9" s="339" t="s">
        <v>899</v>
      </c>
      <c r="C9" s="375">
        <f>IF(Application!$D$210="Special Needs",0.1,0.05)</f>
        <v>0.05</v>
      </c>
      <c r="E9" s="373">
        <f>-E8*$C$9</f>
        <v>-2017.5</v>
      </c>
      <c r="F9" s="356"/>
      <c r="G9" s="373">
        <f>-G8*$C$9</f>
        <v>-2067.9375</v>
      </c>
      <c r="H9" s="356"/>
      <c r="I9" s="373">
        <f>-I8*$C$9</f>
        <v>-2119.6359374999997</v>
      </c>
      <c r="J9" s="356"/>
      <c r="K9" s="373">
        <f>-K8*$C$9</f>
        <v>-2172.6268359374994</v>
      </c>
      <c r="L9" s="356"/>
      <c r="M9" s="373">
        <f>-M8*$C$9</f>
        <v>-2226.9425068359369</v>
      </c>
      <c r="N9" s="356"/>
      <c r="O9" s="373">
        <f>-O8*$C$9</f>
        <v>-2282.6160695068352</v>
      </c>
      <c r="P9" s="356"/>
      <c r="Q9" s="373">
        <f>-Q8*$C$9</f>
        <v>-2339.6814712445057</v>
      </c>
      <c r="R9" s="356"/>
      <c r="S9" s="373">
        <f>-S8*$C$9</f>
        <v>-2398.173508025618</v>
      </c>
      <c r="T9" s="356"/>
      <c r="U9" s="373">
        <f>-U8*$C$9</f>
        <v>-2458.1278457262579</v>
      </c>
      <c r="V9" s="356"/>
      <c r="W9" s="373">
        <f>-W8*$C$9</f>
        <v>-2519.5810418694145</v>
      </c>
      <c r="X9" s="356"/>
      <c r="Y9" s="373">
        <f>-Y8*$C$9</f>
        <v>-2582.5705679161492</v>
      </c>
      <c r="Z9" s="356"/>
      <c r="AA9" s="373">
        <f>-AA8*$C$9</f>
        <v>-2647.1348321140526</v>
      </c>
      <c r="AB9" s="356"/>
      <c r="AC9" s="373">
        <f>-AC8*$C$9</f>
        <v>-2713.3132029169037</v>
      </c>
      <c r="AD9" s="356"/>
      <c r="AE9" s="373">
        <f>-AE8*$C$9</f>
        <v>-2781.1460329898259</v>
      </c>
      <c r="AF9" s="356"/>
      <c r="AG9" s="373">
        <f>-AG8*$C$9</f>
        <v>-2850.6746838145714</v>
      </c>
    </row>
    <row r="10" spans="1:34" s="358" customFormat="1" ht="14">
      <c r="A10" s="358" t="s">
        <v>920</v>
      </c>
      <c r="C10" s="349"/>
      <c r="E10" s="358">
        <f>SUM(E4:E9)</f>
        <v>2557014.2999999998</v>
      </c>
      <c r="G10" s="358">
        <f>SUM(G4:G9)</f>
        <v>2620939.6574999997</v>
      </c>
      <c r="I10" s="358">
        <f>SUM(I4:I9)</f>
        <v>2686463.1489374996</v>
      </c>
      <c r="K10" s="358">
        <f>SUM(K4:K9)</f>
        <v>2753624.7276609363</v>
      </c>
      <c r="M10" s="358">
        <f>SUM(M4:M9)</f>
        <v>2822465.3458524598</v>
      </c>
      <c r="O10" s="358">
        <f>SUM(O4:O9)</f>
        <v>2893026.979498771</v>
      </c>
      <c r="Q10" s="358">
        <f>SUM(Q4:Q9)</f>
        <v>2965352.6539862398</v>
      </c>
      <c r="S10" s="358">
        <f>SUM(S4:S9)</f>
        <v>3039486.4703358952</v>
      </c>
      <c r="U10" s="358">
        <f>SUM(U4:U9)</f>
        <v>3115473.6320942924</v>
      </c>
      <c r="W10" s="358">
        <f>SUM(W4:W9)</f>
        <v>3193360.4728966495</v>
      </c>
      <c r="Y10" s="358">
        <f>SUM(Y4:Y9)</f>
        <v>3273194.4847190659</v>
      </c>
      <c r="AA10" s="358">
        <f>SUM(AA4:AA9)</f>
        <v>3355024.3468370424</v>
      </c>
      <c r="AC10" s="358">
        <f>SUM(AC4:AC9)</f>
        <v>3438899.9555079676</v>
      </c>
      <c r="AE10" s="358">
        <f>SUM(AE4:AE9)</f>
        <v>3524872.4543956667</v>
      </c>
      <c r="AG10" s="358">
        <f>SUM(AG4:AG9)</f>
        <v>3612994.2657555584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26180</v>
      </c>
      <c r="G14" s="354">
        <f>E14*$C$13</f>
        <v>27096.3</v>
      </c>
      <c r="I14" s="354">
        <f>G14*$C$13</f>
        <v>28044.670499999997</v>
      </c>
      <c r="K14" s="354">
        <f>I14*$C$13</f>
        <v>29026.233967499993</v>
      </c>
      <c r="M14" s="354">
        <f>K14*$C$13</f>
        <v>30042.152156362492</v>
      </c>
      <c r="O14" s="354">
        <f>M14*$C$13</f>
        <v>31093.627481835178</v>
      </c>
      <c r="Q14" s="354">
        <f>O14*$C$13</f>
        <v>32181.904443699408</v>
      </c>
      <c r="S14" s="354">
        <f>Q14*$C$13</f>
        <v>33308.271099228885</v>
      </c>
      <c r="U14" s="354">
        <f>S14*$C$13</f>
        <v>34474.06058770189</v>
      </c>
      <c r="W14" s="354">
        <f>U14*$C$13</f>
        <v>35680.652708271453</v>
      </c>
      <c r="Y14" s="354">
        <f>W14*$C$13</f>
        <v>36929.475553060947</v>
      </c>
      <c r="AA14" s="354">
        <f>Y14*$C$13</f>
        <v>38222.007197418076</v>
      </c>
      <c r="AC14" s="354">
        <f>AA14*$C$13</f>
        <v>39559.777449327703</v>
      </c>
      <c r="AE14" s="354">
        <f>AC14*$C$13</f>
        <v>40944.369660054166</v>
      </c>
      <c r="AG14" s="354">
        <f>AE14*$C$13</f>
        <v>42377.422598156059</v>
      </c>
    </row>
    <row r="15" spans="1:34" s="339" customFormat="1" ht="13.45">
      <c r="A15" s="339" t="s">
        <v>353</v>
      </c>
      <c r="C15" s="368"/>
      <c r="E15" s="357">
        <f>Application!W847</f>
        <v>81800</v>
      </c>
      <c r="F15" s="357"/>
      <c r="G15" s="357">
        <f t="shared" ref="G15:AG20" si="0">E15*$C$13</f>
        <v>84663</v>
      </c>
      <c r="H15" s="357"/>
      <c r="I15" s="357">
        <f t="shared" si="0"/>
        <v>87626.204999999987</v>
      </c>
      <c r="J15" s="357"/>
      <c r="K15" s="357">
        <f t="shared" si="0"/>
        <v>90693.122174999982</v>
      </c>
      <c r="L15" s="357"/>
      <c r="M15" s="357">
        <f t="shared" si="0"/>
        <v>93867.38145112498</v>
      </c>
      <c r="N15" s="357"/>
      <c r="O15" s="357">
        <f t="shared" si="0"/>
        <v>97152.739801914344</v>
      </c>
      <c r="P15" s="357"/>
      <c r="Q15" s="357">
        <f t="shared" si="0"/>
        <v>100553.08569498133</v>
      </c>
      <c r="R15" s="357"/>
      <c r="S15" s="357">
        <f t="shared" si="0"/>
        <v>104072.44369430566</v>
      </c>
      <c r="T15" s="357"/>
      <c r="U15" s="357">
        <f t="shared" si="0"/>
        <v>107714.97922360635</v>
      </c>
      <c r="V15" s="357"/>
      <c r="W15" s="357">
        <f t="shared" si="0"/>
        <v>111485.00349643256</v>
      </c>
      <c r="X15" s="357"/>
      <c r="Y15" s="357">
        <f t="shared" si="0"/>
        <v>115386.9786188077</v>
      </c>
      <c r="Z15" s="357"/>
      <c r="AA15" s="357">
        <f t="shared" si="0"/>
        <v>119425.52287046595</v>
      </c>
      <c r="AB15" s="357"/>
      <c r="AC15" s="357">
        <f t="shared" si="0"/>
        <v>123605.41617093225</v>
      </c>
      <c r="AD15" s="357"/>
      <c r="AE15" s="357">
        <f t="shared" si="0"/>
        <v>127931.60573691488</v>
      </c>
      <c r="AF15" s="357"/>
      <c r="AG15" s="357">
        <f t="shared" si="0"/>
        <v>132409.21193770689</v>
      </c>
    </row>
    <row r="16" spans="1:34" s="339" customFormat="1" ht="13.45">
      <c r="A16" s="339" t="s">
        <v>592</v>
      </c>
      <c r="C16" s="368"/>
      <c r="E16" s="357">
        <f>Application!W853</f>
        <v>236100</v>
      </c>
      <c r="F16" s="357"/>
      <c r="G16" s="357">
        <f t="shared" si="0"/>
        <v>244363.49999999997</v>
      </c>
      <c r="H16" s="357"/>
      <c r="I16" s="357">
        <f t="shared" si="0"/>
        <v>252916.22249999995</v>
      </c>
      <c r="J16" s="357"/>
      <c r="K16" s="357">
        <f t="shared" si="0"/>
        <v>261768.29028749993</v>
      </c>
      <c r="L16" s="357"/>
      <c r="M16" s="357">
        <f t="shared" si="0"/>
        <v>270930.18044756242</v>
      </c>
      <c r="N16" s="357"/>
      <c r="O16" s="357">
        <f t="shared" si="0"/>
        <v>280412.73676322709</v>
      </c>
      <c r="P16" s="357"/>
      <c r="Q16" s="357">
        <f t="shared" si="0"/>
        <v>290227.18254994001</v>
      </c>
      <c r="R16" s="357"/>
      <c r="S16" s="357">
        <f t="shared" si="0"/>
        <v>300385.13393918792</v>
      </c>
      <c r="T16" s="357"/>
      <c r="U16" s="357">
        <f t="shared" si="0"/>
        <v>310898.61362705944</v>
      </c>
      <c r="V16" s="357"/>
      <c r="W16" s="357">
        <f t="shared" si="0"/>
        <v>321780.0651040065</v>
      </c>
      <c r="X16" s="357"/>
      <c r="Y16" s="357">
        <f t="shared" si="0"/>
        <v>333042.36738264671</v>
      </c>
      <c r="Z16" s="357"/>
      <c r="AA16" s="357">
        <f t="shared" si="0"/>
        <v>344698.8502410393</v>
      </c>
      <c r="AB16" s="357"/>
      <c r="AC16" s="357">
        <f t="shared" si="0"/>
        <v>356763.30999947566</v>
      </c>
      <c r="AD16" s="357"/>
      <c r="AE16" s="357">
        <f t="shared" si="0"/>
        <v>369250.02584945731</v>
      </c>
      <c r="AF16" s="357"/>
      <c r="AG16" s="357">
        <f t="shared" si="0"/>
        <v>382173.77675418829</v>
      </c>
    </row>
    <row r="17" spans="1:33" s="339" customFormat="1" ht="13.45">
      <c r="A17" s="339" t="s">
        <v>903</v>
      </c>
      <c r="C17" s="368"/>
      <c r="E17" s="357">
        <f>Application!W860</f>
        <v>291820</v>
      </c>
      <c r="F17" s="357"/>
      <c r="G17" s="357">
        <f t="shared" si="0"/>
        <v>302033.69999999995</v>
      </c>
      <c r="H17" s="357"/>
      <c r="I17" s="357">
        <f t="shared" si="0"/>
        <v>312604.87949999992</v>
      </c>
      <c r="J17" s="357"/>
      <c r="K17" s="357">
        <f t="shared" si="0"/>
        <v>323546.05028249987</v>
      </c>
      <c r="L17" s="357"/>
      <c r="M17" s="357">
        <f t="shared" si="0"/>
        <v>334870.16204238735</v>
      </c>
      <c r="N17" s="357"/>
      <c r="O17" s="357">
        <f t="shared" si="0"/>
        <v>346590.61771387089</v>
      </c>
      <c r="P17" s="357"/>
      <c r="Q17" s="357">
        <f t="shared" si="0"/>
        <v>358721.28933385632</v>
      </c>
      <c r="R17" s="357"/>
      <c r="S17" s="357">
        <f t="shared" si="0"/>
        <v>371276.53446054127</v>
      </c>
      <c r="T17" s="357"/>
      <c r="U17" s="357">
        <f t="shared" si="0"/>
        <v>384271.21316666016</v>
      </c>
      <c r="V17" s="357"/>
      <c r="W17" s="357">
        <f t="shared" si="0"/>
        <v>397720.70562749321</v>
      </c>
      <c r="X17" s="357"/>
      <c r="Y17" s="357">
        <f t="shared" si="0"/>
        <v>411640.93032445543</v>
      </c>
      <c r="Z17" s="357"/>
      <c r="AA17" s="357">
        <f t="shared" si="0"/>
        <v>426048.36288581137</v>
      </c>
      <c r="AB17" s="357"/>
      <c r="AC17" s="357">
        <f t="shared" si="0"/>
        <v>440960.05558681471</v>
      </c>
      <c r="AD17" s="357"/>
      <c r="AE17" s="357">
        <f t="shared" si="0"/>
        <v>456393.65753235319</v>
      </c>
      <c r="AF17" s="357"/>
      <c r="AG17" s="357">
        <f t="shared" si="0"/>
        <v>472367.43554598553</v>
      </c>
    </row>
    <row r="18" spans="1:33" s="339" customFormat="1" ht="13.45">
      <c r="A18" s="339" t="s">
        <v>160</v>
      </c>
      <c r="C18" s="368"/>
      <c r="E18" s="357">
        <f>Application!W861</f>
        <v>121050</v>
      </c>
      <c r="F18" s="357"/>
      <c r="G18" s="357">
        <f t="shared" si="0"/>
        <v>125286.74999999999</v>
      </c>
      <c r="H18" s="357"/>
      <c r="I18" s="357">
        <f t="shared" si="0"/>
        <v>129671.78624999998</v>
      </c>
      <c r="J18" s="357"/>
      <c r="K18" s="357">
        <f t="shared" si="0"/>
        <v>134210.29876874996</v>
      </c>
      <c r="L18" s="357"/>
      <c r="M18" s="357">
        <f t="shared" si="0"/>
        <v>138907.65922565619</v>
      </c>
      <c r="N18" s="357"/>
      <c r="O18" s="357">
        <f t="shared" si="0"/>
        <v>143769.42729855413</v>
      </c>
      <c r="P18" s="357"/>
      <c r="Q18" s="357">
        <f t="shared" si="0"/>
        <v>148801.35725400352</v>
      </c>
      <c r="R18" s="357"/>
      <c r="S18" s="357">
        <f t="shared" si="0"/>
        <v>154009.40475789364</v>
      </c>
      <c r="T18" s="357"/>
      <c r="U18" s="357">
        <f t="shared" si="0"/>
        <v>159399.73392441991</v>
      </c>
      <c r="V18" s="357"/>
      <c r="W18" s="357">
        <f t="shared" si="0"/>
        <v>164978.72461177458</v>
      </c>
      <c r="X18" s="357"/>
      <c r="Y18" s="357">
        <f t="shared" si="0"/>
        <v>170752.97997318668</v>
      </c>
      <c r="Z18" s="357"/>
      <c r="AA18" s="357">
        <f t="shared" si="0"/>
        <v>176729.3342722482</v>
      </c>
      <c r="AB18" s="357"/>
      <c r="AC18" s="357">
        <f t="shared" si="0"/>
        <v>182914.86097177688</v>
      </c>
      <c r="AD18" s="357"/>
      <c r="AE18" s="357">
        <f t="shared" si="0"/>
        <v>189316.88110578907</v>
      </c>
      <c r="AF18" s="357"/>
      <c r="AG18" s="357">
        <f t="shared" si="0"/>
        <v>195942.97194449167</v>
      </c>
    </row>
    <row r="19" spans="1:33" s="339" customFormat="1" ht="13.45">
      <c r="A19" s="339" t="s">
        <v>408</v>
      </c>
      <c r="C19" s="368"/>
      <c r="E19" s="357">
        <f>Application!W870</f>
        <v>456100</v>
      </c>
      <c r="F19" s="357"/>
      <c r="G19" s="357">
        <f t="shared" si="0"/>
        <v>472063.49999999994</v>
      </c>
      <c r="H19" s="357"/>
      <c r="I19" s="357">
        <f t="shared" si="0"/>
        <v>488585.72249999992</v>
      </c>
      <c r="J19" s="357"/>
      <c r="K19" s="357">
        <f t="shared" si="0"/>
        <v>505686.22278749989</v>
      </c>
      <c r="L19" s="357"/>
      <c r="M19" s="357">
        <f t="shared" si="0"/>
        <v>523385.24058506236</v>
      </c>
      <c r="N19" s="357"/>
      <c r="O19" s="357">
        <f t="shared" si="0"/>
        <v>541703.72400553955</v>
      </c>
      <c r="P19" s="357"/>
      <c r="Q19" s="357">
        <f t="shared" si="0"/>
        <v>560663.35434573342</v>
      </c>
      <c r="R19" s="357"/>
      <c r="S19" s="357">
        <f t="shared" si="0"/>
        <v>580286.5717478341</v>
      </c>
      <c r="T19" s="357"/>
      <c r="U19" s="357">
        <f t="shared" si="0"/>
        <v>600596.60175900825</v>
      </c>
      <c r="V19" s="357"/>
      <c r="W19" s="357">
        <f t="shared" si="0"/>
        <v>621617.4828205735</v>
      </c>
      <c r="X19" s="357"/>
      <c r="Y19" s="357">
        <f t="shared" si="0"/>
        <v>643374.09471929353</v>
      </c>
      <c r="Z19" s="357"/>
      <c r="AA19" s="357">
        <f t="shared" si="0"/>
        <v>665892.1880344688</v>
      </c>
      <c r="AB19" s="357"/>
      <c r="AC19" s="357">
        <f t="shared" si="0"/>
        <v>689198.41461567511</v>
      </c>
      <c r="AD19" s="357"/>
      <c r="AE19" s="357">
        <f t="shared" si="0"/>
        <v>713320.35912722372</v>
      </c>
      <c r="AF19" s="357"/>
      <c r="AG19" s="357">
        <f t="shared" si="0"/>
        <v>738286.57169667655</v>
      </c>
    </row>
    <row r="20" spans="1:33" s="339" customFormat="1" ht="13.45">
      <c r="A20" s="361" t="s">
        <v>2607</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1214200</v>
      </c>
      <c r="G21" s="358">
        <f>SUM(G14:G20)</f>
        <v>1256697</v>
      </c>
      <c r="I21" s="358">
        <f>SUM(I14:I20)</f>
        <v>1300681.3949999996</v>
      </c>
      <c r="K21" s="358">
        <f>SUM(K14:K20)</f>
        <v>1346205.2438249995</v>
      </c>
      <c r="M21" s="358">
        <f>SUM(M14:M20)</f>
        <v>1393322.4273588746</v>
      </c>
      <c r="O21" s="358">
        <f>SUM(O14:O20)</f>
        <v>1442088.7123164351</v>
      </c>
      <c r="Q21" s="358">
        <f>SUM(Q14:Q20)</f>
        <v>1492561.8172475102</v>
      </c>
      <c r="S21" s="358">
        <f>SUM(S14:S20)</f>
        <v>1544801.4808511732</v>
      </c>
      <c r="U21" s="358">
        <f>SUM(U14:U20)</f>
        <v>1598869.5326809636</v>
      </c>
      <c r="W21" s="358">
        <f>SUM(W14:W20)</f>
        <v>1654829.9663247976</v>
      </c>
      <c r="Y21" s="358">
        <f>SUM(Y14:Y20)</f>
        <v>1712749.0151461654</v>
      </c>
      <c r="AA21" s="358">
        <f>SUM(AA14:AA20)</f>
        <v>1772695.230676281</v>
      </c>
      <c r="AC21" s="358">
        <f>SUM(AC14:AC20)</f>
        <v>1834739.5637499506</v>
      </c>
      <c r="AE21" s="358">
        <f>SUM(AE14:AE20)</f>
        <v>1898955.4484811989</v>
      </c>
      <c r="AG21" s="358">
        <f>SUM(AG14:AG20)</f>
        <v>1965418.8891780407</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24000</v>
      </c>
      <c r="F26" s="357"/>
      <c r="G26" s="357">
        <f>E26*$C$26</f>
        <v>24839.999999999996</v>
      </c>
      <c r="H26" s="357"/>
      <c r="I26" s="357">
        <f>G26*$C$26</f>
        <v>25709.399999999994</v>
      </c>
      <c r="J26" s="357"/>
      <c r="K26" s="357">
        <f>I26*$C$26</f>
        <v>26609.228999999992</v>
      </c>
      <c r="L26" s="357"/>
      <c r="M26" s="357">
        <f>K26*$C$26</f>
        <v>27540.55201499999</v>
      </c>
      <c r="N26" s="357"/>
      <c r="O26" s="357">
        <f>M26*$C$26</f>
        <v>28504.471335524988</v>
      </c>
      <c r="P26" s="357"/>
      <c r="Q26" s="357">
        <f>O26*$C$26</f>
        <v>29502.127832268361</v>
      </c>
      <c r="R26" s="357"/>
      <c r="S26" s="357">
        <f>Q26*$C$26</f>
        <v>30534.70230639775</v>
      </c>
      <c r="T26" s="357"/>
      <c r="U26" s="357">
        <f>S26*$C$26</f>
        <v>31603.416887121668</v>
      </c>
      <c r="V26" s="357"/>
      <c r="W26" s="357">
        <f>U26*$C$26</f>
        <v>32709.536478170925</v>
      </c>
      <c r="X26" s="357"/>
      <c r="Y26" s="357">
        <f>W26*$C$26</f>
        <v>33854.370254906906</v>
      </c>
      <c r="Z26" s="357"/>
      <c r="AA26" s="357">
        <f>Y26*$C$26</f>
        <v>35039.273213828645</v>
      </c>
      <c r="AB26" s="357"/>
      <c r="AC26" s="357">
        <f>AA26*$C$26</f>
        <v>36265.647776312646</v>
      </c>
      <c r="AD26" s="357"/>
      <c r="AE26" s="357">
        <f>AC26*$C$26</f>
        <v>37534.945448483588</v>
      </c>
      <c r="AF26" s="357"/>
      <c r="AG26" s="357">
        <f>AE26*$C$26</f>
        <v>38848.668539180508</v>
      </c>
    </row>
    <row r="27" spans="1:33" s="339" customFormat="1" ht="13.45">
      <c r="A27" s="339" t="s">
        <v>907</v>
      </c>
      <c r="C27" s="376"/>
      <c r="E27" s="357">
        <f>Application!AC887</f>
        <v>67250</v>
      </c>
      <c r="F27" s="357"/>
      <c r="G27" s="357">
        <f>$E$27</f>
        <v>67250</v>
      </c>
      <c r="H27" s="357"/>
      <c r="I27" s="357">
        <f>$E$27</f>
        <v>67250</v>
      </c>
      <c r="J27" s="357"/>
      <c r="K27" s="357">
        <f>$E$27</f>
        <v>67250</v>
      </c>
      <c r="L27" s="357"/>
      <c r="M27" s="357">
        <f>$E$27</f>
        <v>67250</v>
      </c>
      <c r="N27" s="357"/>
      <c r="O27" s="357">
        <f>$E$27</f>
        <v>67250</v>
      </c>
      <c r="P27" s="357"/>
      <c r="Q27" s="357">
        <f>$E$27</f>
        <v>67250</v>
      </c>
      <c r="R27" s="357"/>
      <c r="S27" s="357">
        <f>$E$27</f>
        <v>67250</v>
      </c>
      <c r="T27" s="357"/>
      <c r="U27" s="357">
        <f>$E$27</f>
        <v>67250</v>
      </c>
      <c r="V27" s="357"/>
      <c r="W27" s="357">
        <f>$E$27</f>
        <v>67250</v>
      </c>
      <c r="X27" s="357"/>
      <c r="Y27" s="357">
        <f>$E$27</f>
        <v>67250</v>
      </c>
      <c r="Z27" s="357"/>
      <c r="AA27" s="357">
        <f>$E$27</f>
        <v>67250</v>
      </c>
      <c r="AB27" s="357"/>
      <c r="AC27" s="357">
        <f>$E$27</f>
        <v>67250</v>
      </c>
      <c r="AD27" s="357"/>
      <c r="AE27" s="357">
        <f>$E$27</f>
        <v>67250</v>
      </c>
      <c r="AF27" s="357"/>
      <c r="AG27" s="357">
        <f>$E$27</f>
        <v>67250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18100</v>
      </c>
      <c r="F29" s="357"/>
      <c r="G29" s="357">
        <f>E29*$C$29</f>
        <v>18462</v>
      </c>
      <c r="H29" s="357"/>
      <c r="I29" s="357">
        <f>G29*$C$29</f>
        <v>18831.240000000002</v>
      </c>
      <c r="J29" s="357"/>
      <c r="K29" s="357">
        <f>I29*$C$29</f>
        <v>19207.864800000003</v>
      </c>
      <c r="L29" s="357"/>
      <c r="M29" s="357">
        <f>K29*$C$29</f>
        <v>19592.022096000004</v>
      </c>
      <c r="N29" s="357"/>
      <c r="O29" s="357">
        <f>M29*$C$29</f>
        <v>19983.862537920006</v>
      </c>
      <c r="P29" s="357"/>
      <c r="Q29" s="357">
        <f>O29*$C$29</f>
        <v>20383.539788678405</v>
      </c>
      <c r="R29" s="357"/>
      <c r="S29" s="357">
        <f>Q29*$C$29</f>
        <v>20791.210584451972</v>
      </c>
      <c r="T29" s="357"/>
      <c r="U29" s="357">
        <f>S29*$C$29</f>
        <v>21207.034796141012</v>
      </c>
      <c r="V29" s="357"/>
      <c r="W29" s="357">
        <f>U29*$C$29</f>
        <v>21631.17549206383</v>
      </c>
      <c r="X29" s="357"/>
      <c r="Y29" s="357">
        <f>W29*$C$29</f>
        <v>22063.799001905107</v>
      </c>
      <c r="Z29" s="357"/>
      <c r="AA29" s="357">
        <f>Y29*$C$29</f>
        <v>22505.074981943209</v>
      </c>
      <c r="AB29" s="357"/>
      <c r="AC29" s="357">
        <f>AA29*$C$29</f>
        <v>22955.176481582075</v>
      </c>
      <c r="AD29" s="357"/>
      <c r="AE29" s="357">
        <f>AC29*$C$29</f>
        <v>23414.280011213716</v>
      </c>
      <c r="AF29" s="357"/>
      <c r="AG29" s="357">
        <f>AE29*$C$29</f>
        <v>23882.565611437989</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2635</v>
      </c>
      <c r="B31" s="361"/>
      <c r="C31" s="492">
        <v>1.0349999999999999</v>
      </c>
      <c r="E31" s="357">
        <f>Application!AC891</f>
        <v>8000</v>
      </c>
      <c r="F31" s="357"/>
      <c r="G31" s="357">
        <f>E31*$C$31</f>
        <v>8280</v>
      </c>
      <c r="H31" s="357"/>
      <c r="I31" s="357">
        <f>G31*$C$31</f>
        <v>8569.7999999999993</v>
      </c>
      <c r="J31" s="357"/>
      <c r="K31" s="357">
        <f>I31*$C$31</f>
        <v>8869.7429999999986</v>
      </c>
      <c r="L31" s="357"/>
      <c r="M31" s="357">
        <f>K31*$C$31</f>
        <v>9180.1840049999973</v>
      </c>
      <c r="N31" s="357"/>
      <c r="O31" s="357">
        <f>M31*$C$31</f>
        <v>9501.4904451749971</v>
      </c>
      <c r="P31" s="357"/>
      <c r="Q31" s="357">
        <f>O31*$C$31</f>
        <v>9834.0426107561216</v>
      </c>
      <c r="R31" s="357"/>
      <c r="S31" s="357">
        <f>Q31*$C$31</f>
        <v>10178.234102132585</v>
      </c>
      <c r="T31" s="357"/>
      <c r="U31" s="357">
        <f>S31*$C$31</f>
        <v>10534.472295707224</v>
      </c>
      <c r="V31" s="357"/>
      <c r="W31" s="357">
        <f>U31*$C$31</f>
        <v>10903.178826056976</v>
      </c>
      <c r="X31" s="357"/>
      <c r="Y31" s="357">
        <f>W31*$C$31</f>
        <v>11284.790084968969</v>
      </c>
      <c r="Z31" s="357"/>
      <c r="AA31" s="357">
        <f>Y31*$C$31</f>
        <v>11679.757737942882</v>
      </c>
      <c r="AB31" s="357"/>
      <c r="AC31" s="357">
        <f>AA31*$C$31</f>
        <v>12088.549258770881</v>
      </c>
      <c r="AD31" s="357"/>
      <c r="AE31" s="357">
        <f>AC31*$C$31</f>
        <v>12511.648482827861</v>
      </c>
      <c r="AF31" s="357"/>
      <c r="AG31" s="357">
        <f>AE31*$C$31</f>
        <v>12949.556179726835</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1331550</v>
      </c>
      <c r="G34" s="358">
        <f>SUM(G21:G32)</f>
        <v>1375529</v>
      </c>
      <c r="I34" s="358">
        <f>SUM(I21:I32)</f>
        <v>1421041.8349999995</v>
      </c>
      <c r="K34" s="358">
        <f>SUM(K21:K32)</f>
        <v>1468142.0806249997</v>
      </c>
      <c r="M34" s="358">
        <f>SUM(M21:M32)</f>
        <v>1516885.1854748745</v>
      </c>
      <c r="O34" s="358">
        <f>SUM(O21:O32)</f>
        <v>1567328.536635055</v>
      </c>
      <c r="Q34" s="358">
        <f>SUM(Q21:Q32)</f>
        <v>1619531.5274792132</v>
      </c>
      <c r="S34" s="358">
        <f>SUM(S21:S32)</f>
        <v>1673555.6278441553</v>
      </c>
      <c r="U34" s="358">
        <f>SUM(U21:U32)</f>
        <v>1729464.4566599338</v>
      </c>
      <c r="W34" s="358">
        <f>SUM(W21:W32)</f>
        <v>1787323.8571210892</v>
      </c>
      <c r="Y34" s="358">
        <f>SUM(Y21:Y32)</f>
        <v>1847201.9744879464</v>
      </c>
      <c r="AA34" s="358">
        <f>SUM(AA21:AA32)</f>
        <v>1909169.3366099959</v>
      </c>
      <c r="AC34" s="358">
        <f>SUM(AC21:AC32)</f>
        <v>1973298.9372666162</v>
      </c>
      <c r="AE34" s="358">
        <f>SUM(AE21:AE32)</f>
        <v>2039666.322423724</v>
      </c>
      <c r="AG34" s="358">
        <f>SUM(AG21:AG32)</f>
        <v>2108349.6795083857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1225464.2999999998</v>
      </c>
      <c r="G36" s="358">
        <f>G10-G34</f>
        <v>1245410.6574999997</v>
      </c>
      <c r="I36" s="358">
        <f>I10-I34</f>
        <v>1265421.3139375001</v>
      </c>
      <c r="K36" s="358">
        <f>K10-K34</f>
        <v>1285482.6470359366</v>
      </c>
      <c r="M36" s="358">
        <f>M10-M34</f>
        <v>1305580.1603775853</v>
      </c>
      <c r="O36" s="358">
        <f>O10-O34</f>
        <v>1325698.442863716</v>
      </c>
      <c r="Q36" s="358">
        <f>Q10-Q34</f>
        <v>1345821.1265070266</v>
      </c>
      <c r="S36" s="358">
        <f>S10-S34</f>
        <v>1365930.8424917399</v>
      </c>
      <c r="U36" s="358">
        <f>U10-U34</f>
        <v>1386009.1754343587</v>
      </c>
      <c r="W36" s="358">
        <f>W10-W34</f>
        <v>1406036.6157755603</v>
      </c>
      <c r="Y36" s="358">
        <f>Y10-Y34</f>
        <v>1425992.5102311196</v>
      </c>
      <c r="AA36" s="358">
        <f>AA10-AA34</f>
        <v>1445855.0102270464</v>
      </c>
      <c r="AC36" s="358">
        <f>AC10-AC34</f>
        <v>1465601.0182413515</v>
      </c>
      <c r="AE36" s="358">
        <f>AE10-AE34</f>
        <v>1485206.1319719427</v>
      </c>
      <c r="AG36" s="358">
        <f>AG10-AG34</f>
        <v>1504644.5862471727</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1025004</v>
      </c>
      <c r="F39" s="357"/>
      <c r="G39" s="357">
        <f>$E$39</f>
        <v>1025004</v>
      </c>
      <c r="H39" s="357"/>
      <c r="I39" s="357">
        <f>$E$39</f>
        <v>1025004</v>
      </c>
      <c r="J39" s="357"/>
      <c r="K39" s="357">
        <f>$E$39</f>
        <v>1025004</v>
      </c>
      <c r="L39" s="357"/>
      <c r="M39" s="357">
        <f>$E$39</f>
        <v>1025004</v>
      </c>
      <c r="N39" s="357"/>
      <c r="O39" s="357">
        <f>$E$39</f>
        <v>1025004</v>
      </c>
      <c r="P39" s="357"/>
      <c r="Q39" s="357">
        <f>$E$39</f>
        <v>1025004</v>
      </c>
      <c r="R39" s="357"/>
      <c r="S39" s="357">
        <f>$E$39</f>
        <v>1025004</v>
      </c>
      <c r="T39" s="357"/>
      <c r="U39" s="357">
        <f>$E$39</f>
        <v>1025004</v>
      </c>
      <c r="V39" s="357"/>
      <c r="W39" s="357">
        <f>$E$39</f>
        <v>1025004</v>
      </c>
      <c r="X39" s="357"/>
      <c r="Y39" s="357">
        <f>$E$39</f>
        <v>1025004</v>
      </c>
      <c r="Z39" s="357"/>
      <c r="AA39" s="357">
        <f>$E$39</f>
        <v>1025004</v>
      </c>
      <c r="AB39" s="357"/>
      <c r="AC39" s="357">
        <f>$E$39</f>
        <v>1025004</v>
      </c>
      <c r="AD39" s="357"/>
      <c r="AE39" s="357">
        <f>$E$39</f>
        <v>1025004</v>
      </c>
      <c r="AF39" s="357"/>
      <c r="AG39" s="357">
        <f>$E$39</f>
        <v>1025004</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1025004</v>
      </c>
      <c r="G42" s="358">
        <f>SUM(G39:G41)</f>
        <v>1025004</v>
      </c>
      <c r="I42" s="358">
        <f>SUM(I39:I41)</f>
        <v>1025004</v>
      </c>
      <c r="K42" s="358">
        <f>SUM(K39:K41)</f>
        <v>1025004</v>
      </c>
      <c r="M42" s="358">
        <f>SUM(M39:M41)</f>
        <v>1025004</v>
      </c>
      <c r="O42" s="358">
        <f>SUM(O39:O41)</f>
        <v>1025004</v>
      </c>
      <c r="Q42" s="358">
        <f>SUM(Q39:Q41)</f>
        <v>1025004</v>
      </c>
      <c r="S42" s="358">
        <f>SUM(S39:S41)</f>
        <v>1025004</v>
      </c>
      <c r="U42" s="358">
        <f>SUM(U39:U41)</f>
        <v>1025004</v>
      </c>
      <c r="W42" s="358">
        <f>SUM(W39:W41)</f>
        <v>1025004</v>
      </c>
      <c r="Y42" s="358">
        <f>SUM(Y39:Y41)</f>
        <v>1025004</v>
      </c>
      <c r="AA42" s="358">
        <f>SUM(AA39:AA41)</f>
        <v>1025004</v>
      </c>
      <c r="AC42" s="358">
        <f>SUM(AC39:AC41)</f>
        <v>1025004</v>
      </c>
      <c r="AE42" s="358">
        <f>SUM(AE39:AE41)</f>
        <v>1025004</v>
      </c>
      <c r="AG42" s="358">
        <f>SUM(AG39:AG41)</f>
        <v>1025004</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200460.29999999981</v>
      </c>
      <c r="G44" s="358">
        <f>G36-G42</f>
        <v>220406.65749999974</v>
      </c>
      <c r="I44" s="358">
        <f>I36-I42</f>
        <v>240417.31393750012</v>
      </c>
      <c r="K44" s="358">
        <f>K36-K42</f>
        <v>260478.64703593659</v>
      </c>
      <c r="M44" s="358">
        <f>M36-M42</f>
        <v>280576.16037758533</v>
      </c>
      <c r="O44" s="358">
        <f>O36-O42</f>
        <v>300694.44286371605</v>
      </c>
      <c r="Q44" s="358">
        <f>Q36-Q42</f>
        <v>320817.12650702661</v>
      </c>
      <c r="S44" s="358">
        <f>S36-S42</f>
        <v>340926.8424917399</v>
      </c>
      <c r="U44" s="358">
        <f>U36-U42</f>
        <v>361005.17543435865</v>
      </c>
      <c r="W44" s="358">
        <f>W36-W42</f>
        <v>381032.61577556026</v>
      </c>
      <c r="Y44" s="358">
        <f>Y36-Y42</f>
        <v>400988.51023111958</v>
      </c>
      <c r="AA44" s="358">
        <f>AA36-AA42</f>
        <v>420851.01022704644</v>
      </c>
      <c r="AC44" s="358">
        <f>AC36-AC42</f>
        <v>440597.01824135147</v>
      </c>
      <c r="AE44" s="358">
        <f>AE36-AE42</f>
        <v>460202.13197194273</v>
      </c>
      <c r="AG44" s="358">
        <f>AG36-AG42</f>
        <v>479640.58624717267</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7.4476425493592208E-2</v>
      </c>
      <c r="G46" s="362">
        <f>G44/(G4+G6+G8)</f>
        <v>7.9889792207091206E-2</v>
      </c>
      <c r="I46" s="362">
        <f>I44/(I4+I6+I8)</f>
        <v>8.50175251169763E-2</v>
      </c>
      <c r="K46" s="362">
        <f>K44/(K4+K6+K8)</f>
        <v>8.9865082993476703E-2</v>
      </c>
      <c r="M46" s="362">
        <f>M44/(M4+M6+M8)</f>
        <v>9.4437776800480669E-2</v>
      </c>
      <c r="O46" s="362">
        <f>O44/(O4+O6+O8)</f>
        <v>9.8740773157263123E-2</v>
      </c>
      <c r="Q46" s="362">
        <f>Q44/(Q4+Q6+Q8)</f>
        <v>0.10277909771438926</v>
      </c>
      <c r="S46" s="362">
        <f>S44/(S4+S6+S8)</f>
        <v>0.10655763844586572</v>
      </c>
      <c r="U46" s="362">
        <f>U44/(U4+U6+U8)</f>
        <v>0.11008114885957118</v>
      </c>
      <c r="W46" s="362">
        <f>W44/(W4+W6+W8)</f>
        <v>0.1133542511279457</v>
      </c>
      <c r="Y46" s="362">
        <f>Y44/(Y4+Y6+Y8)</f>
        <v>0.1163814391408701</v>
      </c>
      <c r="AA46" s="362">
        <f>AA44/(AA4+AA6+AA8)</f>
        <v>0.11916708148261712</v>
      </c>
      <c r="AC46" s="362">
        <f>AC44/(AC4+AC6+AC8)</f>
        <v>0.12171542433471472</v>
      </c>
      <c r="AE46" s="362">
        <f>AE44/(AE4+AE6+AE8)</f>
        <v>0.12403059430651127</v>
      </c>
      <c r="AG46" s="362">
        <f>AG44/(AG4+AG6+AG8)</f>
        <v>0.12611660119519333</v>
      </c>
    </row>
    <row r="47" spans="1:33" s="362" customFormat="1" ht="13.45">
      <c r="A47" s="362" t="s">
        <v>913</v>
      </c>
      <c r="C47" s="355"/>
      <c r="E47" s="362">
        <f>E44/E42</f>
        <v>0.19557026118922444</v>
      </c>
      <c r="G47" s="362">
        <f>G44/G42</f>
        <v>0.2150300462242096</v>
      </c>
      <c r="I47" s="362">
        <f>I44/I42</f>
        <v>0.23455256168512525</v>
      </c>
      <c r="K47" s="362">
        <f>K44/K42</f>
        <v>0.25412451759791826</v>
      </c>
      <c r="M47" s="362">
        <f>M44/M42</f>
        <v>0.27373177117122016</v>
      </c>
      <c r="O47" s="362">
        <f>O44/O42</f>
        <v>0.29335928724543126</v>
      </c>
      <c r="Q47" s="362">
        <f>Q44/Q42</f>
        <v>0.31299109711476891</v>
      </c>
      <c r="S47" s="362">
        <f>S44/S42</f>
        <v>0.33261025565923635</v>
      </c>
      <c r="U47" s="362">
        <f>U44/U42</f>
        <v>0.35219879672114318</v>
      </c>
      <c r="W47" s="362">
        <f>W44/W42</f>
        <v>0.37173768665835477</v>
      </c>
      <c r="Y47" s="362">
        <f>Y44/Y42</f>
        <v>0.39120677600391762</v>
      </c>
      <c r="AA47" s="362">
        <f>AA44/AA42</f>
        <v>0.410584749159073</v>
      </c>
      <c r="AC47" s="362">
        <f>AC44/AC42</f>
        <v>0.42984907204396416</v>
      </c>
      <c r="AE47" s="362">
        <f>AE44/AE42</f>
        <v>0.4489759376275046</v>
      </c>
      <c r="AG47" s="362">
        <f>AG44/AG42</f>
        <v>0.4679402092549616</v>
      </c>
    </row>
    <row r="48" spans="1:33" s="363" customFormat="1" ht="13.45">
      <c r="A48" s="363" t="s">
        <v>911</v>
      </c>
      <c r="C48" s="364"/>
      <c r="E48" s="363">
        <f>E36/E42</f>
        <v>1.1955702611892245</v>
      </c>
      <c r="G48" s="363">
        <f>G36/G42</f>
        <v>1.2150300462242096</v>
      </c>
      <c r="I48" s="363">
        <f>I36/I42</f>
        <v>1.2345525616851252</v>
      </c>
      <c r="K48" s="363">
        <f>K36/K42</f>
        <v>1.2541245175979183</v>
      </c>
      <c r="M48" s="363">
        <f>M36/M42</f>
        <v>1.2737317711712202</v>
      </c>
      <c r="O48" s="363">
        <f>O36/O42</f>
        <v>1.2933592872454314</v>
      </c>
      <c r="Q48" s="363">
        <f>Q36/Q42</f>
        <v>1.3129910971147689</v>
      </c>
      <c r="S48" s="363">
        <f>S36/S42</f>
        <v>1.3326102556592363</v>
      </c>
      <c r="U48" s="363">
        <f>U36/U42</f>
        <v>1.3521987967211433</v>
      </c>
      <c r="W48" s="363">
        <f>W36/W42</f>
        <v>1.3717376866583548</v>
      </c>
      <c r="Y48" s="363">
        <f>Y36/Y42</f>
        <v>1.3912067760039177</v>
      </c>
      <c r="AA48" s="363">
        <f>AA36/AA42</f>
        <v>1.4105847491590731</v>
      </c>
      <c r="AC48" s="363">
        <f>AC36/AC42</f>
        <v>1.4298490720439643</v>
      </c>
      <c r="AE48" s="363">
        <f>AE36/AE42</f>
        <v>1.4489759376275047</v>
      </c>
      <c r="AG48" s="363">
        <f>AG36/AG42</f>
        <v>1.4679402092549616</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2608</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26900</v>
      </c>
      <c r="G52" s="1674">
        <f>E52*$C$52</f>
        <v>26900</v>
      </c>
      <c r="I52" s="1674">
        <f>G52*$C$52</f>
        <v>26900</v>
      </c>
      <c r="K52" s="1674">
        <f>I52*$C$52</f>
        <v>26900</v>
      </c>
      <c r="M52" s="1674">
        <f>K52*$C$52</f>
        <v>26900</v>
      </c>
      <c r="O52" s="1674">
        <f>M52*$C$52</f>
        <v>26900</v>
      </c>
      <c r="Q52" s="1674">
        <f>O52*$C$52</f>
        <v>26900</v>
      </c>
      <c r="S52" s="1674">
        <f>Q52*$C$52</f>
        <v>26900</v>
      </c>
      <c r="U52" s="1674">
        <f>S52*$C$52</f>
        <v>26900</v>
      </c>
      <c r="W52" s="1674">
        <f>U52*$C$52</f>
        <v>26900</v>
      </c>
      <c r="Y52" s="1674">
        <f>W52*$C$52</f>
        <v>26900</v>
      </c>
      <c r="AA52" s="1674">
        <f>Y52*$C$52</f>
        <v>26900</v>
      </c>
      <c r="AC52" s="1674">
        <f>AA52*$C$52</f>
        <v>26900</v>
      </c>
      <c r="AE52" s="1674">
        <f>AC52*$C$52</f>
        <v>26900</v>
      </c>
      <c r="AG52" s="1674">
        <f>AE52*$C$52</f>
        <v>26900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34400</v>
      </c>
      <c r="F57" s="1674"/>
      <c r="G57" s="1674">
        <f>SUM(G52:G56)</f>
        <v>34400</v>
      </c>
      <c r="H57" s="1674"/>
      <c r="I57" s="1674">
        <f>SUM(I52:I56)</f>
        <v>34400</v>
      </c>
      <c r="J57" s="1674"/>
      <c r="K57" s="1674">
        <f>SUM(K52:K56)</f>
        <v>34400</v>
      </c>
      <c r="L57" s="1674"/>
      <c r="M57" s="1674">
        <f>SUM(M52:M56)</f>
        <v>34400</v>
      </c>
      <c r="N57" s="1674"/>
      <c r="O57" s="1674">
        <f>SUM(O52:O56)</f>
        <v>34400</v>
      </c>
      <c r="P57" s="1674"/>
      <c r="Q57" s="1674">
        <f>SUM(Q52:Q56)</f>
        <v>34400</v>
      </c>
      <c r="R57" s="1674"/>
      <c r="S57" s="1674">
        <f>SUM(S52:S56)</f>
        <v>34400</v>
      </c>
      <c r="T57" s="1674"/>
      <c r="U57" s="1674">
        <f>SUM(U52:U56)</f>
        <v>34400</v>
      </c>
      <c r="V57" s="1674"/>
      <c r="W57" s="1674">
        <f>SUM(W52:W56)</f>
        <v>34400</v>
      </c>
      <c r="X57" s="1674"/>
      <c r="Y57" s="1674">
        <f>SUM(Y52:Y56)</f>
        <v>34400</v>
      </c>
      <c r="Z57" s="1674"/>
      <c r="AA57" s="1674">
        <f>SUM(AA52:AA56)</f>
        <v>34400</v>
      </c>
      <c r="AB57" s="1674"/>
      <c r="AC57" s="1674">
        <f>SUM(AC52:AC56)</f>
        <v>34400</v>
      </c>
      <c r="AD57" s="1674"/>
      <c r="AE57" s="1674">
        <f>SUM(AE52:AE56)</f>
        <v>34400</v>
      </c>
      <c r="AF57" s="1674"/>
      <c r="AG57" s="1674">
        <f>SUM(AG52:AG56)</f>
        <v>34400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166060.29999999981</v>
      </c>
      <c r="G59" s="1676">
        <f>G44-G57</f>
        <v>186006.65749999974</v>
      </c>
      <c r="I59" s="1676">
        <f>I44-I57</f>
        <v>206017.31393750012</v>
      </c>
      <c r="K59" s="1676">
        <f>K44-K57</f>
        <v>226078.64703593659</v>
      </c>
      <c r="M59" s="1676">
        <f>M44-M57</f>
        <v>246176.16037758533</v>
      </c>
      <c r="O59" s="1676">
        <f>O44-O57</f>
        <v>266294.44286371605</v>
      </c>
      <c r="Q59" s="1676">
        <f>Q44-Q57</f>
        <v>286417.12650702661</v>
      </c>
      <c r="S59" s="1676">
        <f>S44-S57</f>
        <v>306526.8424917399</v>
      </c>
      <c r="U59" s="1676">
        <f>U44-U57</f>
        <v>326605.17543435865</v>
      </c>
      <c r="W59" s="1676">
        <f>W44-W57</f>
        <v>346632.61577556026</v>
      </c>
      <c r="Y59" s="1676">
        <f>Y44-Y57</f>
        <v>366588.51023111958</v>
      </c>
      <c r="AA59" s="1676">
        <f>AA44-AA57</f>
        <v>386451.01022704644</v>
      </c>
      <c r="AC59" s="1676">
        <f>AC44-AC57</f>
        <v>406197.01824135147</v>
      </c>
      <c r="AE59" s="1676">
        <f>AE44-AE57</f>
        <v>425802.13197194273</v>
      </c>
      <c r="AG59" s="1676">
        <f>AG44-AG57</f>
        <v>445240.58624717267</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0.5</v>
      </c>
      <c r="E61" s="1678">
        <f>E59*$C$61</f>
        <v>83030.149999999907</v>
      </c>
      <c r="G61" s="1684">
        <f>G59*$C$61</f>
        <v>93003.32874999987</v>
      </c>
      <c r="H61" s="1684"/>
      <c r="I61" s="1684">
        <f>I59*$C$61</f>
        <v>103008.65696875006</v>
      </c>
      <c r="J61" s="1684"/>
      <c r="K61" s="1684">
        <f>K59*$C$61</f>
        <v>113039.3235179683</v>
      </c>
      <c r="L61" s="1684"/>
      <c r="M61" s="1684">
        <f>M59*$C$61</f>
        <v>123088.08018879266</v>
      </c>
      <c r="N61" s="1684"/>
      <c r="O61" s="1684">
        <f>O59*$C$61</f>
        <v>133147.22143185802</v>
      </c>
      <c r="P61" s="1684"/>
      <c r="Q61" s="1684">
        <f>Q59*$C$61</f>
        <v>143208.5632535133</v>
      </c>
      <c r="R61" s="1684"/>
      <c r="S61" s="1684">
        <f>S59*$C$61</f>
        <v>153263.42124586995</v>
      </c>
      <c r="T61" s="1684"/>
      <c r="U61" s="1684">
        <f>U59*$C$61</f>
        <v>163302.58771717933</v>
      </c>
      <c r="V61" s="1684"/>
      <c r="W61" s="1684">
        <f>W59*$C$61</f>
        <v>173316.30788778013</v>
      </c>
      <c r="Y61" s="1684">
        <f>Y59*$C$61</f>
        <v>183294.25511555979</v>
      </c>
      <c r="AA61" s="1684">
        <f>AA59*$C$61</f>
        <v>193225.50511352322</v>
      </c>
      <c r="AC61" s="1684">
        <f>AC59*$C$61</f>
        <v>203098.50912067574</v>
      </c>
      <c r="AE61" s="1684">
        <f>AE59*$C$61</f>
        <v>212901.06598597136</v>
      </c>
      <c r="AG61" s="1684">
        <f>AG59*$C$61</f>
        <v>222620.29312358634</v>
      </c>
    </row>
    <row r="62" spans="1:35" s="1684" customFormat="1">
      <c r="A62" s="3360" t="s">
        <v>2608</v>
      </c>
      <c r="B62" s="3360"/>
      <c r="C62" s="3360"/>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2679</v>
      </c>
      <c r="B65" s="1678"/>
      <c r="C65" s="1677"/>
      <c r="E65" s="1678">
        <f>$E59*$C$64</f>
        <v>83030.149999999907</v>
      </c>
      <c r="G65" s="1674">
        <f>G59*$C$64</f>
        <v>93003.32874999987</v>
      </c>
      <c r="I65" s="1674">
        <f>I59*$C$64</f>
        <v>103008.65696875006</v>
      </c>
      <c r="K65" s="1674">
        <f>K59*$C$64</f>
        <v>113039.3235179683</v>
      </c>
      <c r="M65" s="1674">
        <f>M59*$C$64</f>
        <v>123088.08018879266</v>
      </c>
      <c r="O65" s="1674">
        <f>O59*$C$64</f>
        <v>133147.22143185802</v>
      </c>
      <c r="Q65" s="1674">
        <f>Q59*$C$64</f>
        <v>143208.5632535133</v>
      </c>
      <c r="S65" s="1674">
        <f>S59*$C$64</f>
        <v>153263.42124586995</v>
      </c>
      <c r="U65" s="1674">
        <f>U59*$C$64</f>
        <v>163302.58771717933</v>
      </c>
      <c r="W65" s="1674">
        <f>W59*$C$64</f>
        <v>173316.30788778013</v>
      </c>
      <c r="Y65" s="1674">
        <f>Y59*$C$64</f>
        <v>183294.25511555979</v>
      </c>
      <c r="AA65" s="1674">
        <f>AA59*$C$64</f>
        <v>193225.50511352322</v>
      </c>
      <c r="AC65" s="1674">
        <f>AC59*$C$64</f>
        <v>203098.50912067574</v>
      </c>
      <c r="AE65" s="1674">
        <f>AE59*$C$64</f>
        <v>212901.06598597136</v>
      </c>
      <c r="AG65" s="1674">
        <f>AG59*$C$64</f>
        <v>222620.29312358634</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83030.149999999907</v>
      </c>
      <c r="G69" s="1686">
        <f>SUM(G65:G68)</f>
        <v>93003.32874999987</v>
      </c>
      <c r="I69" s="1686">
        <f>SUM(I65:I68)</f>
        <v>103008.65696875006</v>
      </c>
      <c r="K69" s="1686">
        <f>SUM(K65:K68)</f>
        <v>113039.3235179683</v>
      </c>
      <c r="M69" s="1686">
        <f>SUM(M65:M68)</f>
        <v>123088.08018879266</v>
      </c>
      <c r="O69" s="1686">
        <f>SUM(O65:O68)</f>
        <v>133147.22143185802</v>
      </c>
      <c r="Q69" s="1686">
        <f>SUM(Q65:Q68)</f>
        <v>143208.5632535133</v>
      </c>
      <c r="S69" s="1686">
        <f>SUM(S65:S68)</f>
        <v>153263.42124586995</v>
      </c>
      <c r="U69" s="1686">
        <f>SUM(U65:U68)</f>
        <v>163302.58771717933</v>
      </c>
      <c r="W69" s="1686">
        <f>SUM(W65:W68)</f>
        <v>173316.30788778013</v>
      </c>
      <c r="Y69" s="1686">
        <f>SUM(Y65:Y68)</f>
        <v>183294.25511555979</v>
      </c>
      <c r="AA69" s="1686">
        <f>SUM(AA65:AA68)</f>
        <v>193225.50511352322</v>
      </c>
      <c r="AC69" s="1686">
        <f>SUM(AC65:AC68)</f>
        <v>203098.50912067574</v>
      </c>
      <c r="AE69" s="1686">
        <f>SUM(AE65:AE68)</f>
        <v>212901.06598597136</v>
      </c>
      <c r="AG69" s="1686">
        <f>SUM(AG65:AG68)</f>
        <v>222620.29312358634</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8" t="s">
        <v>2217</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1" t="s">
        <v>977</v>
      </c>
      <c r="B1" s="3361"/>
      <c r="C1" s="3361"/>
      <c r="D1" s="3361"/>
      <c r="E1" s="3361"/>
      <c r="F1" s="3361"/>
      <c r="G1" s="3361"/>
      <c r="H1" s="3361"/>
      <c r="I1" s="3361"/>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39</v>
      </c>
      <c r="C4" s="658">
        <f>Application!O728</f>
        <v>365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65</v>
      </c>
      <c r="C5" s="658">
        <f>Application!O729</f>
        <v>801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27</v>
      </c>
      <c r="C6" s="658">
        <f>Application!O730</f>
        <v>1092</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21</v>
      </c>
      <c r="C7" s="658">
        <f>Application!O731</f>
        <v>436</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34</v>
      </c>
      <c r="C8" s="658">
        <f>Application!O732</f>
        <v>959</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12</v>
      </c>
      <c r="C9" s="658">
        <f>Application!O733</f>
        <v>1308</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21</v>
      </c>
      <c r="C10" s="658">
        <f>Application!O734</f>
        <v>501</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34</v>
      </c>
      <c r="C11" s="658">
        <f>Application!O735</f>
        <v>1105</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13</v>
      </c>
      <c r="C12" s="658">
        <f>Application!O736</f>
        <v>1508</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220937</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4500000</v>
      </c>
      <c r="C5" s="421">
        <f>'Sources and Uses Budget'!$C4</f>
        <v>4500000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4500000</v>
      </c>
      <c r="C9" s="425">
        <f>SUM(C5:C8)</f>
        <v>4500000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2659524</v>
      </c>
      <c r="C11" s="421">
        <f>'Sources and Uses Budget'!$C10</f>
        <v>2659524</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2659524</v>
      </c>
      <c r="C12" s="425">
        <f>SUM(C10:C11)</f>
        <v>2659524</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7159524</v>
      </c>
      <c r="C13" s="425">
        <f>SUM(C9+C12)</f>
        <v>7159524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4035000</v>
      </c>
      <c r="C30" s="421">
        <f>'Sources and Uses Budget'!$C29</f>
        <v>4035000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39372974</v>
      </c>
      <c r="C31" s="421">
        <f>'Sources and Uses Budget'!$C30</f>
        <v>39372974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2764050</v>
      </c>
      <c r="C32" s="421">
        <f>'Sources and Uses Budget'!$C31</f>
        <v>2764050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976631</v>
      </c>
      <c r="C33" s="421">
        <f>'Sources and Uses Budget'!$C32</f>
        <v>976631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2929893</v>
      </c>
      <c r="C34" s="421">
        <f>'Sources and Uses Budget'!$C33</f>
        <v>2929893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436100</v>
      </c>
      <c r="C36" s="421">
        <f>'Sources and Uses Budget'!$C35</f>
        <v>436100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50514648</v>
      </c>
      <c r="C39" s="425">
        <f>SUM(C30:C38)</f>
        <v>50514648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600000</v>
      </c>
      <c r="C41" s="421">
        <f>'Sources and Uses Budget'!$C40</f>
        <v>600000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2520000</v>
      </c>
      <c r="C46" s="421">
        <f>'Sources and Uses Budget'!$C45</f>
        <v>2520000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330000</v>
      </c>
      <c r="C47" s="421">
        <f>'Sources and Uses Budget'!$C46</f>
        <v>330000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400000</v>
      </c>
      <c r="C53" s="421">
        <f>'Sources and Uses Budget'!$C52</f>
        <v>400000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3700000</v>
      </c>
      <c r="C55" s="428">
        <f>SUM(C46:C54)</f>
        <v>3700000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95000</v>
      </c>
      <c r="C57" s="421">
        <f>'Sources and Uses Budget'!$C56</f>
        <v>95000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80000</v>
      </c>
      <c r="C62" s="421">
        <f>'Sources and Uses Budget'!$C61</f>
        <v>80000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225000</v>
      </c>
      <c r="C63" s="425">
        <f>SUM(C57:C62)</f>
        <v>225000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62589172</v>
      </c>
      <c r="C64" s="425">
        <f>SUM(C9+C12+C14+C15+C17+C26+C28+C39+C43+C44+C55+C63)</f>
        <v>62589172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589139</v>
      </c>
      <c r="C76" s="421">
        <f>'Sources and Uses Budget'!$C75</f>
        <v>589139</v>
      </c>
      <c r="D76" s="425">
        <f t="shared" si="0"/>
        <v>0</v>
      </c>
      <c r="E76" s="423"/>
      <c r="F76" s="422"/>
      <c r="G76" s="553"/>
    </row>
    <row r="77" spans="1:253" s="547" customFormat="1">
      <c r="A77" s="427" t="s">
        <v>35</v>
      </c>
      <c r="B77" s="421">
        <f>'Sources and Uses Budget'!$C76</f>
        <v>250000</v>
      </c>
      <c r="C77" s="421">
        <f>'Sources and Uses Budget'!$C76</f>
        <v>250000</v>
      </c>
      <c r="D77" s="425">
        <f t="shared" si="0"/>
        <v>0</v>
      </c>
      <c r="E77" s="423"/>
      <c r="F77" s="422"/>
      <c r="G77" s="553"/>
    </row>
    <row r="78" spans="1:253" s="547" customFormat="1">
      <c r="A78" s="426" t="s">
        <v>639</v>
      </c>
      <c r="B78" s="425">
        <f>SUM(B73:B77)</f>
        <v>839139</v>
      </c>
      <c r="C78" s="425">
        <f>SUM(C73:C77)</f>
        <v>839139</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3000000</v>
      </c>
      <c r="C80" s="421">
        <f>'Sources and Uses Budget'!$C79</f>
        <v>3000000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1416</v>
      </c>
      <c r="B82" s="425">
        <f>SUM(B80:B81)</f>
        <v>3500000</v>
      </c>
      <c r="C82" s="425">
        <f>SUM(C80:C81)</f>
        <v>3500000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150612</v>
      </c>
      <c r="C84" s="421">
        <f>'Sources and Uses Budget'!$C83</f>
        <v>150612</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4439908</v>
      </c>
      <c r="C86" s="421">
        <f>'Sources and Uses Budget'!$C85</f>
        <v>4439908</v>
      </c>
      <c r="D86" s="425">
        <f t="shared" si="1"/>
        <v>0</v>
      </c>
      <c r="E86" s="423"/>
      <c r="F86" s="422"/>
      <c r="G86" s="553"/>
    </row>
    <row r="87" spans="1:7" s="547" customFormat="1">
      <c r="A87" s="424" t="s">
        <v>825</v>
      </c>
      <c r="B87" s="421">
        <f>'Sources and Uses Budget'!$C86</f>
        <v>450000</v>
      </c>
      <c r="C87" s="421">
        <f>'Sources and Uses Budget'!$C86</f>
        <v>450000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183517</v>
      </c>
      <c r="C89" s="421">
        <f>'Sources and Uses Budget'!$C88</f>
        <v>183517</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15000</v>
      </c>
      <c r="C92" s="421">
        <f>'Sources and Uses Budget'!$C91</f>
        <v>15000</v>
      </c>
      <c r="D92" s="425">
        <f t="shared" si="1"/>
        <v>0</v>
      </c>
      <c r="E92" s="423"/>
      <c r="F92" s="422"/>
      <c r="G92" s="553"/>
    </row>
    <row r="93" spans="1:7" s="547" customFormat="1">
      <c r="A93" s="860" t="s">
        <v>1418</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5324037</v>
      </c>
      <c r="C97" s="425">
        <f>SUM(C84:C96)</f>
        <v>5324037</v>
      </c>
      <c r="D97" s="425">
        <f t="shared" si="1"/>
        <v>0</v>
      </c>
      <c r="E97" s="423"/>
      <c r="F97" s="422"/>
      <c r="G97" s="553"/>
    </row>
    <row r="98" spans="1:7" s="547" customFormat="1">
      <c r="A98" s="426" t="s">
        <v>831</v>
      </c>
      <c r="B98" s="425">
        <f>SUM(B64+B71+B78+B82+B97)</f>
        <v>72352348</v>
      </c>
      <c r="C98" s="425">
        <f>SUM(C64+C71+C78+C82+C97)</f>
        <v>72352348</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9968112</v>
      </c>
      <c r="C100" s="421">
        <f>'Sources and Uses Budget'!$C99</f>
        <v>9968112</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9968112</v>
      </c>
      <c r="C105" s="425">
        <f>SUM(C100:C104)</f>
        <v>9968112</v>
      </c>
      <c r="D105" s="425">
        <f t="shared" si="1"/>
        <v>0</v>
      </c>
      <c r="E105" s="423"/>
      <c r="F105" s="422"/>
      <c r="G105" s="551"/>
    </row>
    <row r="106" spans="1:7" s="546" customFormat="1">
      <c r="A106" s="426" t="s">
        <v>836</v>
      </c>
      <c r="B106" s="428">
        <f>SUM(B98+B105)</f>
        <v>82320460</v>
      </c>
      <c r="C106" s="428">
        <f>SUM(C98+C105)</f>
        <v>82320460</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2"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315</v>
      </c>
      <c r="D21" s="1928" t="s">
        <v>1239</v>
      </c>
      <c r="E21" s="1928"/>
      <c r="F21" s="1928"/>
    </row>
    <row r="22" spans="1:7" ht="14">
      <c r="A22" s="261"/>
      <c r="B22" s="261"/>
      <c r="D22" s="135"/>
    </row>
    <row r="23" spans="1:7" ht="14">
      <c r="A23" s="261"/>
      <c r="B23" s="679" t="s">
        <v>315</v>
      </c>
      <c r="D23" s="1862" t="s">
        <v>1240</v>
      </c>
      <c r="E23" s="1862"/>
      <c r="F23" s="1862"/>
    </row>
    <row r="24" spans="1:7" ht="14">
      <c r="A24" s="261"/>
      <c r="B24" s="261"/>
      <c r="D24" s="1862"/>
      <c r="E24" s="1862"/>
      <c r="F24" s="1862"/>
    </row>
    <row r="25" spans="1:7"/>
    <row r="26" spans="1:7" ht="14">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
      <c r="A34" s="261"/>
      <c r="B34" s="261"/>
      <c r="D34" s="404"/>
    </row>
    <row r="35" spans="1:7" ht="14.65" customHeight="1">
      <c r="A35" s="261"/>
      <c r="B35" s="679" t="s">
        <v>315</v>
      </c>
      <c r="C35" s="554"/>
      <c r="D35" s="1863" t="s">
        <v>1243</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315</v>
      </c>
      <c r="C39" s="699"/>
      <c r="D39" s="1863" t="s">
        <v>1244</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315</v>
      </c>
      <c r="C45" s="554"/>
      <c r="D45" s="1863" t="s">
        <v>1245</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65" customHeight="1">
      <c r="A50" s="261"/>
      <c r="B50" s="679" t="s">
        <v>315</v>
      </c>
      <c r="D50" s="1863" t="s">
        <v>1246</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315</v>
      </c>
      <c r="C54" s="557"/>
      <c r="D54" s="1863" t="s">
        <v>1247</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315</v>
      </c>
      <c r="D61" s="1863" t="s">
        <v>1249</v>
      </c>
      <c r="E61" s="1863"/>
      <c r="F61" s="1863"/>
    </row>
    <row r="62" spans="1:7">
      <c r="D62" s="1863"/>
      <c r="E62" s="1863"/>
      <c r="F62" s="1863"/>
    </row>
    <row r="63" spans="1:7"/>
    <row r="64" spans="1:7" ht="14">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
      <c r="A68" s="261"/>
      <c r="B68" s="679" t="s">
        <v>315</v>
      </c>
      <c r="D68" s="1862" t="s">
        <v>1251</v>
      </c>
      <c r="E68" s="1862"/>
      <c r="F68" s="1862"/>
    </row>
    <row r="69" spans="1:7">
      <c r="D69" s="1862"/>
      <c r="E69" s="1862"/>
      <c r="F69" s="1862"/>
    </row>
    <row r="70" spans="1:7" ht="14">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
      <c r="A76" s="261"/>
      <c r="B76" s="679" t="s">
        <v>315</v>
      </c>
      <c r="D76" s="1862" t="s">
        <v>1257</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65" customHeight="1">
      <c r="A83" s="707"/>
      <c r="B83" s="712" t="s">
        <v>315</v>
      </c>
      <c r="C83" s="705"/>
      <c r="D83" s="1891" t="s">
        <v>1356</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315</v>
      </c>
      <c r="C97" s="705"/>
      <c r="D97" s="1862" t="s">
        <v>1258</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315</v>
      </c>
      <c r="C106" s="469"/>
      <c r="D106" s="1919" t="s">
        <v>1259</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315</v>
      </c>
      <c r="C114"/>
      <c r="D114" s="1920" t="s">
        <v>1260</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1.95" customHeight="1">
      <c r="D169" s="135"/>
      <c r="E169" s="135"/>
      <c r="F169" s="135"/>
    </row>
    <row r="170" spans="1:7">
      <c r="B170" s="1910" t="s">
        <v>468</v>
      </c>
      <c r="C170" s="1910"/>
      <c r="D170" s="1910"/>
      <c r="E170" s="1910"/>
      <c r="F170" s="1910"/>
    </row>
    <row r="171" spans="1:7" ht="11.95" customHeight="1">
      <c r="A171" s="255"/>
      <c r="B171" s="673"/>
      <c r="C171" s="255"/>
    </row>
    <row r="172" spans="1:7">
      <c r="A172" s="1882" t="s">
        <v>1160</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1.95" customHeight="1">
      <c r="A177" s="264"/>
      <c r="B177" s="264"/>
      <c r="C177" s="265"/>
      <c r="D177" s="57"/>
      <c r="E177" s="49"/>
      <c r="F177" s="57"/>
      <c r="G177" s="57"/>
    </row>
    <row r="178" spans="1:7" ht="14">
      <c r="A178" s="261"/>
      <c r="B178" s="679" t="s">
        <v>315</v>
      </c>
      <c r="C178" s="265"/>
      <c r="D178" s="1900" t="s">
        <v>1267</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315</v>
      </c>
      <c r="C186" s="557"/>
      <c r="D186" s="1862" t="s">
        <v>1266</v>
      </c>
      <c r="E186" s="1862"/>
      <c r="F186" s="1862"/>
      <c r="G186" s="678"/>
    </row>
    <row r="187" spans="1:7" s="677" customFormat="1" ht="14.6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1.95" customHeight="1">
      <c r="D192" s="135"/>
      <c r="E192" s="135"/>
      <c r="F192" s="135"/>
    </row>
    <row r="193" spans="1:6">
      <c r="C193" s="262"/>
      <c r="D193" s="1908" t="s">
        <v>213</v>
      </c>
      <c r="E193" s="1908"/>
      <c r="F193" s="1908"/>
    </row>
    <row r="194" spans="1:6">
      <c r="A194" s="255"/>
      <c r="B194" s="673"/>
      <c r="C194" s="255"/>
      <c r="D194" s="1877" t="s">
        <v>1290</v>
      </c>
      <c r="E194" s="1887"/>
      <c r="F194" s="1887"/>
    </row>
    <row r="195" spans="1:6" ht="11.95" customHeight="1">
      <c r="A195" s="23"/>
      <c r="B195" s="675"/>
      <c r="C195" s="23"/>
    </row>
    <row r="196" spans="1:6" ht="13.2" customHeight="1">
      <c r="A196" s="23"/>
      <c r="C196" s="23"/>
      <c r="D196" s="1885" t="s">
        <v>577</v>
      </c>
      <c r="E196" s="1885"/>
      <c r="F196" s="1885"/>
    </row>
    <row r="197" spans="1:6" ht="14">
      <c r="A197" s="261"/>
      <c r="B197" s="679" t="s">
        <v>315</v>
      </c>
      <c r="D197" s="1862" t="s">
        <v>1284</v>
      </c>
      <c r="E197" s="1862"/>
      <c r="F197" s="1862"/>
    </row>
    <row r="198" spans="1:6" ht="14">
      <c r="A198" s="261"/>
      <c r="B198" s="261"/>
      <c r="D198" s="1862"/>
      <c r="E198" s="1862"/>
      <c r="F198" s="1862"/>
    </row>
    <row r="199" spans="1:6"/>
    <row r="200" spans="1:6" ht="14">
      <c r="A200" s="261"/>
      <c r="B200" s="679" t="s">
        <v>315</v>
      </c>
      <c r="D200" s="1862" t="s">
        <v>1285</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1286</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315</v>
      </c>
      <c r="D210" s="1876" t="s">
        <v>1287</v>
      </c>
      <c r="E210" s="1876"/>
      <c r="F210" s="1876"/>
    </row>
    <row r="211" spans="1:7" ht="14">
      <c r="A211" s="261"/>
      <c r="B211" s="261"/>
      <c r="D211" s="1876"/>
      <c r="E211" s="1876"/>
      <c r="F211" s="1876"/>
    </row>
    <row r="212" spans="1:7" ht="14">
      <c r="A212" s="261"/>
      <c r="B212" s="261"/>
      <c r="D212" s="1910" t="s">
        <v>961</v>
      </c>
      <c r="E212" s="1910"/>
      <c r="F212" s="1910"/>
    </row>
    <row r="213" spans="1:7" ht="14">
      <c r="A213" s="261"/>
      <c r="B213" s="261"/>
      <c r="D213" s="135"/>
      <c r="E213" s="135"/>
      <c r="F213" s="135"/>
    </row>
    <row r="214" spans="1:7" ht="14.65" customHeight="1">
      <c r="A214" s="261"/>
      <c r="B214" s="679" t="s">
        <v>315</v>
      </c>
      <c r="D214" s="1876" t="s">
        <v>1289</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315</v>
      </c>
      <c r="D220" s="1862" t="s">
        <v>1288</v>
      </c>
      <c r="E220" s="1862"/>
      <c r="F220" s="1862"/>
    </row>
    <row r="221" spans="1:7" ht="14">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
      <c r="A228" s="261"/>
      <c r="B228" s="679" t="s">
        <v>315</v>
      </c>
      <c r="D228" s="1886" t="s">
        <v>1292</v>
      </c>
      <c r="E228" s="1886"/>
      <c r="F228" s="1886"/>
    </row>
    <row r="229" spans="1:6" ht="14">
      <c r="A229" s="261"/>
      <c r="B229" s="261"/>
      <c r="D229" s="1886"/>
      <c r="E229" s="1886"/>
      <c r="F229" s="1886"/>
    </row>
    <row r="230" spans="1:6">
      <c r="D230" s="135"/>
      <c r="E230" s="135"/>
      <c r="F230" s="135"/>
    </row>
    <row r="231" spans="1:6" ht="14.6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6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
      <c r="A253" s="261"/>
      <c r="B253" s="679" t="s">
        <v>315</v>
      </c>
      <c r="D253" s="1862" t="s">
        <v>1298</v>
      </c>
      <c r="E253" s="1862"/>
      <c r="F253" s="1862"/>
    </row>
    <row r="254" spans="1:7" ht="14">
      <c r="A254" s="261"/>
      <c r="B254" s="261"/>
      <c r="D254" s="1862"/>
      <c r="E254" s="1862"/>
      <c r="F254" s="1862"/>
    </row>
    <row r="255" spans="1:7">
      <c r="D255" s="135"/>
      <c r="E255" s="135"/>
      <c r="F255" s="135"/>
    </row>
    <row r="256" spans="1:7" ht="14">
      <c r="A256" s="261"/>
      <c r="B256" s="679" t="s">
        <v>315</v>
      </c>
      <c r="D256" s="1876" t="s">
        <v>1299</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315</v>
      </c>
      <c r="D260" s="1862" t="s">
        <v>1300</v>
      </c>
      <c r="E260" s="1862"/>
      <c r="F260" s="1862"/>
    </row>
    <row r="261" spans="1:7" ht="14">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
      <c r="A269" s="403"/>
      <c r="B269" s="403"/>
      <c r="C269" s="273"/>
      <c r="D269" s="497"/>
      <c r="E269" s="498"/>
      <c r="F269" s="498"/>
      <c r="G269" s="130"/>
    </row>
    <row r="270" spans="1:7" s="39" customFormat="1" ht="13.2" customHeight="1">
      <c r="A270" s="273"/>
      <c r="B270" s="679" t="s">
        <v>315</v>
      </c>
      <c r="C270" s="273"/>
      <c r="D270" s="1888" t="s">
        <v>1303</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315</v>
      </c>
      <c r="D279" s="1875" t="s">
        <v>1305</v>
      </c>
      <c r="E279" s="1875"/>
      <c r="F279" s="1875"/>
    </row>
    <row r="280" spans="1:7">
      <c r="E280" s="135"/>
      <c r="F280" s="135"/>
    </row>
    <row r="281" spans="1:7" ht="14">
      <c r="A281" s="261"/>
      <c r="B281" s="679" t="s">
        <v>315</v>
      </c>
      <c r="D281" s="1876" t="s">
        <v>1306</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1057</v>
      </c>
      <c r="E314" s="1894"/>
      <c r="F314" s="1894"/>
      <c r="G314" s="12"/>
    </row>
    <row r="315" spans="1:7" s="719" customFormat="1" ht="13.45" thickTop="1">
      <c r="A315" s="731"/>
      <c r="B315" s="731"/>
      <c r="C315" s="731"/>
      <c r="D315" s="1895" t="s">
        <v>1309</v>
      </c>
      <c r="E315" s="1895"/>
      <c r="F315" s="1895"/>
    </row>
    <row r="316" spans="1:7">
      <c r="A316" s="325"/>
      <c r="B316" s="325"/>
      <c r="C316" s="325"/>
      <c r="D316" s="467"/>
      <c r="E316" s="467"/>
      <c r="F316" s="135"/>
      <c r="G316" s="12"/>
    </row>
    <row r="317" spans="1:7" ht="14">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315</v>
      </c>
      <c r="C367" s="325"/>
      <c r="D367" s="1891" t="s">
        <v>1316</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315</v>
      </c>
      <c r="C373" s="266"/>
      <c r="D373" s="1862" t="s">
        <v>1317</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315</v>
      </c>
      <c r="C416" s="261"/>
      <c r="D416" s="1876" t="s">
        <v>1321</v>
      </c>
      <c r="E416" s="1876"/>
      <c r="F416" s="1876"/>
      <c r="G416" s="12"/>
    </row>
    <row r="417" spans="1:7">
      <c r="D417" s="1876"/>
      <c r="E417" s="1876"/>
      <c r="F417" s="1876"/>
      <c r="G417" s="12"/>
    </row>
    <row r="418" spans="1:7">
      <c r="D418" s="135"/>
      <c r="E418" s="135"/>
      <c r="F418" s="135"/>
      <c r="G418" s="12"/>
    </row>
    <row r="419" spans="1:7" ht="14">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
      <c r="A445" s="403"/>
      <c r="B445" s="403"/>
      <c r="C445" s="273"/>
      <c r="D445" s="1879" t="s">
        <v>1325</v>
      </c>
      <c r="E445" s="1879"/>
      <c r="F445" s="1879"/>
      <c r="G445" s="130"/>
    </row>
    <row r="446" spans="1:7" s="39" customFormat="1" ht="14">
      <c r="A446" s="403"/>
      <c r="B446" s="403"/>
      <c r="C446" s="273"/>
      <c r="D446" s="732"/>
      <c r="E446" s="6"/>
      <c r="F446" s="6"/>
      <c r="G446" s="130"/>
    </row>
    <row r="447" spans="1:7" s="39" customFormat="1" ht="14">
      <c r="A447" s="261"/>
      <c r="B447" s="679" t="s">
        <v>315</v>
      </c>
      <c r="C447" s="273"/>
      <c r="D447" s="1880" t="s">
        <v>1326</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315</v>
      </c>
      <c r="D450" s="1881" t="s">
        <v>1327</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315</v>
      </c>
      <c r="D455" s="1863" t="s">
        <v>1328</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315</v>
      </c>
      <c r="D459" s="1875" t="s">
        <v>1329</v>
      </c>
      <c r="E459" s="1875"/>
      <c r="F459" s="1875"/>
      <c r="G459" s="12"/>
    </row>
    <row r="460" spans="1:7" ht="14">
      <c r="A460" s="261"/>
      <c r="B460" s="261"/>
      <c r="D460" s="730"/>
      <c r="E460" s="6"/>
      <c r="F460" s="6"/>
      <c r="G460" s="12"/>
    </row>
    <row r="461" spans="1:7" ht="14">
      <c r="A461" s="261"/>
      <c r="B461" s="679" t="s">
        <v>315</v>
      </c>
      <c r="D461" s="1862" t="s">
        <v>1330</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
      <c r="A465" s="261"/>
      <c r="B465" s="261"/>
      <c r="D465" s="135"/>
    </row>
    <row r="466" spans="1:7">
      <c r="A466" s="1882" t="s">
        <v>1166</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2"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6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6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6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6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6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2" customHeight="1">
      <c r="A519" s="261"/>
      <c r="B519" s="679" t="s">
        <v>315</v>
      </c>
      <c r="C519" s="266"/>
      <c r="D519" s="1875" t="s">
        <v>947</v>
      </c>
      <c r="E519" s="1875"/>
      <c r="F519" s="1875"/>
      <c r="G519" s="12"/>
    </row>
    <row r="520" spans="1:7" ht="13.2" customHeight="1">
      <c r="A520" s="266"/>
      <c r="B520" s="266"/>
      <c r="C520" s="266"/>
      <c r="D520" s="704"/>
      <c r="E520" s="677"/>
      <c r="F520" s="677"/>
      <c r="G520" s="12"/>
    </row>
    <row r="521" spans="1:7" ht="14">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
      <c r="A546" s="261"/>
      <c r="B546" s="261"/>
      <c r="C546" s="266"/>
      <c r="E546" s="135"/>
      <c r="F546" s="135"/>
      <c r="G546" s="57"/>
    </row>
    <row r="547" spans="1:7" ht="14">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315</v>
      </c>
      <c r="C552" s="266"/>
      <c r="D552" s="1862" t="s">
        <v>1236</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8"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315</v>
      </c>
      <c r="D579" s="1905" t="s">
        <v>948</v>
      </c>
      <c r="E579" s="1905"/>
      <c r="F579" s="1905"/>
    </row>
    <row r="580" spans="1:7" ht="14">
      <c r="A580" s="261"/>
      <c r="B580" s="261"/>
      <c r="D580" s="377"/>
    </row>
    <row r="581" spans="1:7" ht="14">
      <c r="A581" s="261"/>
      <c r="B581" s="679" t="s">
        <v>315</v>
      </c>
      <c r="D581" s="1905" t="s">
        <v>1190</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315</v>
      </c>
      <c r="C628" s="266"/>
      <c r="D628" s="1901" t="s">
        <v>1281</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65" customHeight="1">
      <c r="A640" s="261"/>
      <c r="B640" s="679" t="s">
        <v>315</v>
      </c>
      <c r="C640" s="266"/>
      <c r="D640" s="1860" t="s">
        <v>1334</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315</v>
      </c>
      <c r="C646" s="266"/>
      <c r="D646" s="1921" t="s">
        <v>1184</v>
      </c>
      <c r="E646" s="1921"/>
      <c r="F646" s="1921"/>
      <c r="G646" s="57"/>
    </row>
    <row r="647" spans="1:11" s="682" customFormat="1" ht="14">
      <c r="A647" s="261"/>
      <c r="B647" s="261"/>
      <c r="C647" s="266"/>
      <c r="D647" s="1922" t="s">
        <v>1335</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315</v>
      </c>
      <c r="C669" s="260"/>
      <c r="D669" s="1875" t="s">
        <v>989</v>
      </c>
      <c r="E669" s="1875"/>
      <c r="F669" s="1875"/>
      <c r="G669" s="57"/>
      <c r="H669" s="269"/>
      <c r="I669" s="269"/>
      <c r="J669" s="269"/>
      <c r="K669" s="269"/>
    </row>
    <row r="670" spans="1:11" ht="14">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12" customFormat="1" ht="12.8" hidden="1" customHeight="1"/>
    <row r="834" s="12" customFormat="1" ht="12.8" hidden="1" customHeight="1"/>
    <row r="835" s="12" customFormat="1" ht="12.8" hidden="1" customHeight="1"/>
    <row r="836" s="12" customFormat="1" ht="12.8" hidden="1" customHeight="1"/>
    <row r="837" s="12" customFormat="1" ht="12.8" hidden="1" customHeight="1"/>
    <row r="838" s="12" customFormat="1" ht="12.8" hidden="1" customHeight="1"/>
    <row r="839" s="12" customFormat="1" ht="12.8" hidden="1" customHeight="1"/>
    <row r="840" s="12" customFormat="1" ht="12.8" hidden="1" customHeight="1"/>
    <row r="841" s="12" customFormat="1" ht="12.8" hidden="1" customHeight="1"/>
    <row r="842" s="12" customFormat="1" ht="12.8" hidden="1" customHeight="1"/>
    <row r="843" s="12" customFormat="1" ht="12.8" hidden="1" customHeight="1"/>
    <row r="844" s="12" customFormat="1" ht="12.8" hidden="1" customHeight="1"/>
    <row r="845" s="12" customFormat="1" ht="12.8" hidden="1" customHeight="1"/>
    <row r="846" s="12" customFormat="1" ht="12.8" hidden="1" customHeight="1"/>
    <row r="847" s="12" customFormat="1" ht="12.8" hidden="1" customHeight="1"/>
    <row r="848" s="12" customFormat="1" ht="12.8" hidden="1" customHeight="1"/>
    <row r="849" s="12" customFormat="1" ht="12.8" hidden="1" customHeight="1"/>
    <row r="850" s="12" customFormat="1" ht="12.8" hidden="1" customHeight="1"/>
    <row r="851" s="12" customFormat="1" ht="12.8" hidden="1" customHeight="1"/>
    <row r="852" s="12" customFormat="1" ht="12.8" hidden="1" customHeight="1"/>
    <row r="853" s="12" customFormat="1" ht="12.8" hidden="1" customHeight="1"/>
    <row r="854" s="12" customFormat="1" ht="12.8" hidden="1" customHeight="1"/>
    <row r="855" s="12" customFormat="1" ht="12.8" hidden="1" customHeight="1"/>
    <row r="856" s="12" customFormat="1" ht="12.8" hidden="1" customHeight="1"/>
    <row r="857" s="12" customFormat="1" ht="12.8" hidden="1" customHeight="1"/>
    <row r="858" s="12" customFormat="1" ht="12.8" hidden="1" customHeight="1"/>
    <row r="859" s="12" customFormat="1" ht="12.8" hidden="1" customHeight="1"/>
    <row r="860" s="12" customFormat="1" ht="12.8" hidden="1" customHeight="1"/>
    <row r="861" s="12" customFormat="1" ht="12.8" hidden="1" customHeight="1"/>
    <row r="862" s="12" customFormat="1" ht="12.8" hidden="1" customHeight="1"/>
    <row r="863" s="12" customFormat="1" ht="12.8" hidden="1" customHeight="1"/>
    <row r="864" s="12" customFormat="1" ht="12.8" hidden="1" customHeight="1"/>
    <row r="865" s="12" customFormat="1" ht="12.8" hidden="1" customHeight="1"/>
    <row r="866" s="12" customFormat="1" ht="12.8" hidden="1" customHeight="1"/>
    <row r="867" s="12" customFormat="1" ht="12.8" hidden="1" customHeight="1"/>
    <row r="868" s="12" customFormat="1" ht="12.8" hidden="1" customHeight="1"/>
    <row r="869" s="12" customFormat="1" ht="12.8" hidden="1" customHeight="1"/>
    <row r="870" s="12" customFormat="1" ht="12.8" hidden="1" customHeight="1"/>
    <row r="871" s="12" customFormat="1" ht="12.8" hidden="1" customHeight="1"/>
    <row r="872" s="12" customFormat="1" ht="12.8" hidden="1" customHeight="1"/>
    <row r="873" s="12" customFormat="1" ht="12.8" hidden="1" customHeight="1"/>
    <row r="874" s="12" customFormat="1" ht="12.8" hidden="1" customHeight="1"/>
    <row r="875" s="12" customFormat="1" ht="12.8" hidden="1" customHeight="1"/>
    <row r="876" s="12" customFormat="1" ht="12.8" hidden="1" customHeight="1"/>
    <row r="877" s="12" customFormat="1" ht="12.8" hidden="1" customHeight="1"/>
    <row r="878" s="12" customFormat="1" ht="12.8" hidden="1" customHeight="1"/>
    <row r="879" s="12" customFormat="1" ht="12.8" hidden="1" customHeight="1"/>
    <row r="880" s="12" customFormat="1" ht="12.8" hidden="1" customHeight="1"/>
    <row r="881" s="12" customFormat="1" ht="12.8" hidden="1" customHeight="1"/>
    <row r="882" s="12" customFormat="1" ht="12.8" hidden="1" customHeight="1"/>
    <row r="883" s="12" customFormat="1" ht="12.8" hidden="1" customHeight="1"/>
    <row r="884" s="12" customFormat="1" ht="12.8" hidden="1" customHeight="1"/>
    <row r="885" s="12" customFormat="1" ht="12.8" hidden="1" customHeight="1"/>
    <row r="886" s="12" customFormat="1" ht="12.8" hidden="1" customHeight="1"/>
    <row r="887" s="12" customFormat="1" ht="12.8" hidden="1" customHeight="1"/>
    <row r="888" s="12" customFormat="1" ht="12.8" hidden="1" customHeight="1"/>
    <row r="889" s="12" customFormat="1" ht="12.8" hidden="1" customHeight="1"/>
    <row r="890" s="12" customFormat="1" ht="12.8" hidden="1" customHeight="1"/>
    <row r="891" s="12" customFormat="1" ht="12.8" hidden="1" customHeight="1"/>
    <row r="892" s="12" customFormat="1" ht="12.8" hidden="1" customHeight="1"/>
    <row r="893" s="12" customFormat="1" ht="12.8" hidden="1" customHeight="1"/>
    <row r="894" s="12" customFormat="1" ht="12.8" hidden="1" customHeight="1"/>
    <row r="895" s="12" customFormat="1" ht="12.8" hidden="1" customHeight="1"/>
    <row r="896" s="12" customFormat="1" ht="12.8" hidden="1" customHeight="1"/>
    <row r="897" s="12" customFormat="1" ht="12.8" hidden="1" customHeight="1"/>
    <row r="898" s="12" customFormat="1" ht="12.8" hidden="1" customHeight="1"/>
    <row r="899" s="12" customFormat="1" ht="12.8" hidden="1" customHeight="1"/>
    <row r="900" s="12" customFormat="1" ht="12.8" hidden="1" customHeight="1"/>
    <row r="901" s="12" customFormat="1" ht="12.8" hidden="1" customHeight="1"/>
    <row r="902" s="12" customFormat="1" ht="12.8" hidden="1" customHeight="1"/>
    <row r="903" s="12" customFormat="1" ht="12.8" hidden="1" customHeight="1"/>
    <row r="904" s="12" customFormat="1" ht="12.8" hidden="1" customHeight="1"/>
    <row r="905" s="12" customFormat="1" ht="12.8" hidden="1" customHeight="1"/>
    <row r="906" s="12" customFormat="1" ht="12.8" hidden="1" customHeight="1"/>
    <row r="907" s="12" customFormat="1" ht="12.8" hidden="1" customHeight="1"/>
    <row r="908" s="12" customFormat="1" ht="12.8" hidden="1" customHeight="1"/>
    <row r="909" s="12" customFormat="1" ht="12.8" hidden="1" customHeight="1"/>
    <row r="910" s="12" customFormat="1" ht="12.8" hidden="1" customHeight="1"/>
    <row r="911" s="12" customFormat="1" ht="12.8" hidden="1" customHeight="1"/>
    <row r="912" s="12" customFormat="1" ht="12.8" hidden="1" customHeight="1"/>
    <row r="913" s="12" customFormat="1" ht="12.8" hidden="1" customHeight="1"/>
    <row r="914" s="12" customFormat="1" ht="12.8" hidden="1" customHeight="1"/>
    <row r="915" s="12" customFormat="1" ht="12.8" hidden="1" customHeight="1"/>
    <row r="916" s="12" customFormat="1" ht="12.8" hidden="1" customHeight="1"/>
    <row r="917" s="12" customFormat="1" ht="12.8" hidden="1" customHeight="1"/>
    <row r="918" s="12" customFormat="1" ht="12.8" hidden="1" customHeight="1"/>
    <row r="919" s="12" customFormat="1" ht="12.8" hidden="1" customHeight="1"/>
    <row r="920" s="12" customFormat="1" ht="12.8" hidden="1" customHeight="1"/>
    <row r="921" s="12" customFormat="1" ht="12.8" hidden="1" customHeight="1"/>
    <row r="922" s="12" customFormat="1" ht="12.8" hidden="1" customHeight="1"/>
    <row r="923" s="12" customFormat="1" ht="12.8" hidden="1" customHeight="1"/>
    <row r="924" s="12" customFormat="1" ht="12.8" hidden="1" customHeight="1"/>
    <row r="925" s="12" customFormat="1" ht="12.8" hidden="1" customHeight="1"/>
    <row r="926" s="12" customFormat="1" ht="12.8" hidden="1" customHeight="1"/>
    <row r="927" s="12" customFormat="1" ht="12.8" hidden="1" customHeight="1"/>
    <row r="928" s="12" customFormat="1" ht="12.8" hidden="1" customHeight="1"/>
    <row r="929" s="12" customFormat="1" ht="12.8" hidden="1" customHeight="1"/>
    <row r="930" s="12" customFormat="1" ht="12.8" hidden="1" customHeight="1"/>
    <row r="931" s="12" customFormat="1" ht="12.8" hidden="1" customHeight="1"/>
    <row r="932" s="12" customFormat="1" ht="12.8" hidden="1" customHeight="1"/>
    <row r="933" s="12" customFormat="1" ht="12.8" hidden="1" customHeight="1"/>
    <row r="934" s="12" customFormat="1" ht="12.8" hidden="1" customHeight="1"/>
    <row r="935" s="12" customFormat="1" ht="12.8" hidden="1" customHeight="1"/>
    <row r="936" s="12" customFormat="1" ht="12.8" hidden="1" customHeight="1"/>
    <row r="937" s="12" customFormat="1" ht="12.8" hidden="1" customHeight="1"/>
    <row r="938" s="12" customFormat="1" ht="12.8" hidden="1" customHeight="1"/>
    <row r="939" s="12" customFormat="1" ht="12.8" hidden="1" customHeight="1"/>
    <row r="940" s="12" customFormat="1" ht="12.8" hidden="1" customHeight="1"/>
    <row r="941" s="12" customFormat="1" ht="12.8" hidden="1" customHeight="1"/>
    <row r="942" s="12" customFormat="1" ht="12.8" hidden="1" customHeight="1"/>
    <row r="943" s="12" customFormat="1" ht="12.8" hidden="1" customHeight="1"/>
    <row r="944" s="12" customFormat="1" ht="12.8" hidden="1" customHeight="1"/>
    <row r="945" s="12" customFormat="1" ht="12.8" hidden="1" customHeight="1"/>
    <row r="946" s="12" customFormat="1" ht="12.8" hidden="1" customHeight="1"/>
    <row r="947" s="12" customFormat="1" ht="12.8" hidden="1" customHeight="1"/>
    <row r="948" s="12" customFormat="1" ht="12.8" hidden="1" customHeight="1"/>
    <row r="949" s="12" customFormat="1" ht="12.8" hidden="1" customHeight="1"/>
    <row r="950" s="12" customFormat="1" ht="12.8" hidden="1" customHeight="1"/>
    <row r="951" s="12" customFormat="1" ht="12.8" hidden="1" customHeight="1"/>
    <row r="952" s="12" customFormat="1" ht="12.8" hidden="1" customHeight="1"/>
    <row r="953" s="12" customFormat="1" ht="12.8" hidden="1" customHeight="1"/>
    <row r="954" s="12" customFormat="1" ht="12.8" hidden="1" customHeight="1"/>
    <row r="955" s="12" customFormat="1" ht="12.8" hidden="1" customHeight="1"/>
    <row r="956" s="12" customFormat="1" ht="12.8" hidden="1" customHeight="1"/>
    <row r="957" s="12" customFormat="1" ht="12.8" hidden="1" customHeight="1"/>
    <row r="958" s="12" customFormat="1" ht="12.8" hidden="1" customHeight="1"/>
    <row r="959" s="12" customFormat="1" ht="12.8" hidden="1" customHeight="1"/>
    <row r="960" s="12" customFormat="1" ht="12.8" hidden="1" customHeight="1"/>
    <row r="961" s="12" customFormat="1" ht="12.8" hidden="1" customHeight="1"/>
    <row r="962" s="12" customFormat="1" ht="12.8" hidden="1" customHeight="1"/>
    <row r="963" s="12" customFormat="1" ht="12.8" hidden="1" customHeight="1"/>
    <row r="964" s="12" customFormat="1" ht="12.8" hidden="1" customHeight="1"/>
    <row r="965" s="12" customFormat="1" ht="12.8" hidden="1" customHeight="1"/>
    <row r="966" s="12" customFormat="1" ht="12.8" hidden="1" customHeight="1"/>
    <row r="967" s="12" customFormat="1" ht="12.8" hidden="1" customHeight="1"/>
    <row r="968" s="12" customFormat="1" ht="12.8" hidden="1" customHeight="1"/>
    <row r="969" s="12" customFormat="1" ht="12.8" hidden="1" customHeight="1"/>
    <row r="970" s="12" customFormat="1" ht="12.8" hidden="1" customHeight="1"/>
    <row r="971" s="12" customFormat="1" ht="12.8" hidden="1" customHeight="1"/>
    <row r="972" s="12" customFormat="1" ht="12.8" hidden="1" customHeight="1"/>
    <row r="973" s="12" customFormat="1" ht="12.8" hidden="1" customHeight="1"/>
    <row r="974" s="12" customFormat="1" ht="12.8" hidden="1" customHeight="1"/>
    <row r="975" s="12" customFormat="1" ht="12.8" hidden="1" customHeight="1"/>
    <row r="976" s="12" customFormat="1" ht="12.8" hidden="1" customHeight="1"/>
    <row r="977" s="12" customFormat="1" ht="12.8" hidden="1" customHeight="1"/>
    <row r="978" s="12" customFormat="1" ht="12.8" hidden="1" customHeight="1"/>
    <row r="979" s="12" customFormat="1" ht="12.8" hidden="1" customHeight="1"/>
    <row r="980" s="12" customFormat="1" ht="12.8" hidden="1" customHeight="1"/>
    <row r="981" s="12" customFormat="1" ht="12.8" hidden="1" customHeight="1"/>
    <row r="982" s="12" customFormat="1" ht="12.8" hidden="1" customHeight="1"/>
    <row r="983" s="12" customFormat="1" ht="12.8" hidden="1" customHeight="1"/>
    <row r="984" s="12" customFormat="1" ht="12.8" hidden="1" customHeight="1"/>
    <row r="985" s="12" customFormat="1" ht="12.8" hidden="1" customHeight="1"/>
    <row r="986" s="12" customFormat="1" ht="12.8" hidden="1" customHeight="1"/>
    <row r="987" s="12" customFormat="1" ht="12.8" hidden="1" customHeight="1"/>
    <row r="988" s="12" customFormat="1" ht="12.8" hidden="1" customHeight="1"/>
    <row r="989" s="12" customFormat="1" ht="12.8" hidden="1" customHeight="1"/>
    <row r="990" s="12" customFormat="1" ht="12.8" hidden="1" customHeight="1"/>
    <row r="991" s="12" customFormat="1" ht="12.8" hidden="1" customHeight="1"/>
    <row r="992" s="12" customFormat="1" ht="12.8" hidden="1" customHeight="1"/>
    <row r="993" s="12" customFormat="1" ht="12.8" hidden="1" customHeight="1"/>
    <row r="994" s="12" customFormat="1" ht="12.8" hidden="1" customHeight="1"/>
    <row r="995" s="12" customFormat="1" ht="12.8" hidden="1" customHeight="1"/>
    <row r="996" s="12" customFormat="1" ht="12.8" hidden="1" customHeight="1"/>
    <row r="997" s="12" customFormat="1" ht="12.8" hidden="1" customHeight="1"/>
    <row r="998" s="12" customFormat="1" ht="12.8" hidden="1" customHeight="1"/>
    <row r="999" s="12" customFormat="1" ht="12.8" hidden="1" customHeight="1"/>
    <row r="1000" s="12" customFormat="1" ht="12.8" hidden="1" customHeight="1"/>
    <row r="1001" s="12" customFormat="1" ht="12.8" hidden="1" customHeight="1"/>
    <row r="1002" s="12" customFormat="1" ht="12.8" hidden="1" customHeight="1"/>
    <row r="1003" s="12" customFormat="1" ht="12.8" hidden="1" customHeight="1"/>
    <row r="1004" s="12" customFormat="1" ht="12.8" hidden="1" customHeight="1"/>
    <row r="1005" s="12" customFormat="1" ht="12.8" hidden="1" customHeight="1"/>
    <row r="1006" s="12" customFormat="1" ht="12.8" hidden="1" customHeight="1"/>
    <row r="1007" s="12" customFormat="1" ht="12.8" hidden="1" customHeight="1"/>
    <row r="1008" s="12" customFormat="1" ht="12.8" hidden="1" customHeight="1"/>
    <row r="1009" s="12" customFormat="1" ht="12.8" hidden="1" customHeight="1"/>
    <row r="1010" s="12" customFormat="1" ht="12.8" hidden="1" customHeight="1"/>
    <row r="1011" s="12" customFormat="1" ht="12.8" hidden="1" customHeight="1"/>
    <row r="1012" s="12" customFormat="1" ht="12.8" hidden="1" customHeight="1"/>
    <row r="1013" s="12" customFormat="1" ht="12.8" hidden="1" customHeight="1"/>
    <row r="1014" s="12" customFormat="1" ht="12.8" hidden="1" customHeight="1"/>
    <row r="1015" s="12" customFormat="1" ht="12.8" hidden="1" customHeight="1"/>
    <row r="1016" s="12" customFormat="1" ht="12.8" hidden="1" customHeight="1"/>
    <row r="1017" s="12" customFormat="1" ht="12.8" hidden="1" customHeight="1"/>
    <row r="1018" s="12" customFormat="1" ht="12.8" hidden="1" customHeight="1"/>
    <row r="1019" s="12" customFormat="1" ht="12.8" hidden="1" customHeight="1"/>
    <row r="1020" s="12" customFormat="1" ht="12.8" hidden="1" customHeight="1"/>
    <row r="1021" s="12" customFormat="1" ht="12.8" hidden="1" customHeight="1"/>
    <row r="1022" s="12" customFormat="1" ht="12.8" hidden="1" customHeight="1"/>
    <row r="1023" s="12" customFormat="1" ht="12.8" hidden="1" customHeight="1"/>
    <row r="1024" s="12" customFormat="1" ht="12.8" hidden="1" customHeight="1"/>
    <row r="1025" s="12" customFormat="1" ht="12.8" hidden="1" customHeight="1"/>
    <row r="1026" s="12" customFormat="1" ht="12.8" hidden="1" customHeight="1"/>
    <row r="1027" s="12" customFormat="1" ht="12.8" hidden="1" customHeight="1"/>
    <row r="1028" s="12" customFormat="1" ht="12.8" hidden="1" customHeight="1"/>
    <row r="1029" s="12" customFormat="1" ht="12.8" hidden="1" customHeight="1"/>
    <row r="1030" s="12" customFormat="1" ht="12.8" hidden="1" customHeight="1"/>
    <row r="1031" s="12" customFormat="1" ht="12.8" hidden="1" customHeight="1"/>
    <row r="1032" s="12" customFormat="1" ht="12.8" hidden="1" customHeight="1"/>
    <row r="1033" s="12" customFormat="1" ht="12.8" hidden="1" customHeight="1"/>
    <row r="1034" s="12" customFormat="1" ht="12.8" hidden="1" customHeight="1"/>
    <row r="1035" s="12" customFormat="1" ht="12.8" hidden="1" customHeight="1"/>
    <row r="1036" s="12" customFormat="1" ht="12.8" hidden="1" customHeight="1"/>
    <row r="1037" s="12" customFormat="1" ht="12.8" hidden="1" customHeight="1"/>
    <row r="1038" s="12" customFormat="1" ht="12.8" hidden="1" customHeight="1"/>
    <row r="1039" s="12" customFormat="1" ht="12.8" hidden="1" customHeight="1"/>
    <row r="1040" s="12" customFormat="1" ht="12.8" hidden="1" customHeight="1"/>
    <row r="1041" s="12" customFormat="1" ht="12.8" hidden="1" customHeight="1"/>
    <row r="1042" s="12" customFormat="1" ht="12.8" hidden="1" customHeight="1"/>
    <row r="1043" s="12" customFormat="1" ht="12.8" hidden="1" customHeight="1"/>
    <row r="1044" s="12" customFormat="1" ht="12.8" hidden="1" customHeight="1"/>
    <row r="1045" s="12" customFormat="1" ht="12.8" hidden="1" customHeight="1"/>
    <row r="1046" s="12" customFormat="1" ht="12.8" hidden="1" customHeight="1"/>
    <row r="1047" s="12" customFormat="1" ht="12.8" hidden="1" customHeight="1"/>
    <row r="1048" s="12" customFormat="1" ht="12.8" hidden="1" customHeight="1"/>
    <row r="1049" s="12" customFormat="1" ht="12.8" hidden="1" customHeight="1"/>
    <row r="1050" s="12" customFormat="1" ht="12.8" hidden="1" customHeight="1"/>
    <row r="1051" s="12" customFormat="1" ht="12.8" hidden="1" customHeight="1"/>
    <row r="1052" s="12" customFormat="1" ht="12.8" hidden="1" customHeight="1"/>
    <row r="1053" s="12" customFormat="1" ht="12.8" hidden="1" customHeight="1"/>
    <row r="1054" s="12" customFormat="1" ht="12.8" hidden="1" customHeight="1"/>
    <row r="1055" s="12" customFormat="1" ht="12.8" hidden="1" customHeight="1"/>
    <row r="1056" s="12" customFormat="1" ht="12.8" hidden="1" customHeight="1"/>
    <row r="1057" s="12" customFormat="1" ht="12.8" hidden="1" customHeight="1"/>
    <row r="1058" s="12" customFormat="1" ht="12.8" hidden="1" customHeight="1"/>
    <row r="1059" s="12" customFormat="1" ht="12.8" hidden="1" customHeight="1"/>
    <row r="1060" s="12" customFormat="1" ht="12.8" hidden="1" customHeight="1"/>
    <row r="1061" s="12" customFormat="1" ht="12.8" hidden="1" customHeight="1"/>
    <row r="1062" s="12" customFormat="1" ht="12.8" hidden="1" customHeight="1"/>
    <row r="1063" s="12" customFormat="1" ht="12.8" hidden="1" customHeight="1"/>
    <row r="1064" s="12" customFormat="1" ht="12.8" hidden="1" customHeight="1"/>
    <row r="1065" s="12" customFormat="1" ht="12.8" hidden="1" customHeight="1"/>
    <row r="1066" s="12" customFormat="1" ht="12.8" hidden="1" customHeight="1"/>
    <row r="1067" s="12" customFormat="1" ht="12.8" hidden="1" customHeight="1"/>
    <row r="1068" s="12" customFormat="1" ht="12.8" hidden="1" customHeight="1"/>
    <row r="1069" s="12" customFormat="1" ht="12.8" hidden="1" customHeight="1"/>
    <row r="1070" s="12" customFormat="1" ht="12.8" hidden="1" customHeight="1"/>
    <row r="1071" s="12" customFormat="1" ht="12.8" hidden="1" customHeight="1"/>
    <row r="1072" s="12" customFormat="1" ht="12.8" hidden="1" customHeight="1"/>
    <row r="1073" s="12" customFormat="1" ht="12.8" hidden="1" customHeight="1"/>
    <row r="1074" s="12" customFormat="1" ht="12.8" hidden="1" customHeight="1"/>
    <row r="1075" s="12" customFormat="1" ht="12.8" hidden="1" customHeight="1"/>
    <row r="1076" s="12" customFormat="1" ht="12.8" hidden="1" customHeight="1"/>
    <row r="1077" s="12" customFormat="1" ht="12.8" hidden="1" customHeight="1"/>
    <row r="1078" s="12" customFormat="1" ht="12.8" hidden="1" customHeight="1"/>
    <row r="1079" s="12" customFormat="1" ht="12.8"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8" t="s">
        <v>1091</v>
      </c>
      <c r="B73" s="1868"/>
      <c r="C73" s="1868"/>
      <c r="D73" s="1868"/>
      <c r="E73" s="1868"/>
    </row>
    <row r="74" spans="1:9" ht="12.9">
      <c r="A74" s="1868" t="s">
        <v>1390</v>
      </c>
      <c r="B74" s="1868"/>
      <c r="C74" s="1868"/>
      <c r="D74" s="1868"/>
      <c r="E74" s="1868"/>
    </row>
    <row r="75" spans="1:9" ht="12.9">
      <c r="A75" s="1868" t="s">
        <v>2400</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951" sqref="D951:F965"/>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
      <c r="A15" s="797"/>
      <c r="B15" s="798" t="s">
        <v>2518</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2519</v>
      </c>
      <c r="D19" s="1926" t="s">
        <v>1239</v>
      </c>
      <c r="E19" s="1926"/>
      <c r="F19" s="1926"/>
      <c r="I19" s="1774" t="s">
        <v>2417</v>
      </c>
    </row>
    <row r="20" spans="1:9" ht="14">
      <c r="A20" s="797"/>
      <c r="B20" s="797"/>
      <c r="D20" s="800"/>
    </row>
    <row r="21" spans="1:9" ht="14">
      <c r="A21" s="797"/>
      <c r="B21" s="798" t="s">
        <v>2518</v>
      </c>
      <c r="D21" s="1900" t="s">
        <v>1240</v>
      </c>
      <c r="E21" s="1900"/>
      <c r="F21" s="1900"/>
      <c r="I21" s="1774" t="s">
        <v>2417</v>
      </c>
    </row>
    <row r="22" spans="1:9" ht="14">
      <c r="A22" s="797"/>
      <c r="B22" s="797"/>
      <c r="D22" s="1900"/>
      <c r="E22" s="1900"/>
      <c r="F22" s="1900"/>
    </row>
    <row r="23" spans="1:9"/>
    <row r="24" spans="1:9" ht="14">
      <c r="A24" s="797"/>
      <c r="B24" s="798" t="s">
        <v>2519</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2518</v>
      </c>
      <c r="C30" s="801"/>
      <c r="D30" s="1901" t="s">
        <v>1242</v>
      </c>
      <c r="E30" s="1901"/>
      <c r="F30" s="1901"/>
      <c r="G30" s="802"/>
      <c r="I30" s="1837" t="s">
        <v>2416</v>
      </c>
    </row>
    <row r="31" spans="1:9" s="791" customFormat="1">
      <c r="A31" s="801"/>
      <c r="B31" s="801"/>
      <c r="C31" s="801"/>
      <c r="D31" s="1901"/>
      <c r="E31" s="1901"/>
      <c r="F31" s="1901"/>
      <c r="G31" s="802"/>
      <c r="I31" s="1837"/>
    </row>
    <row r="32" spans="1:9" ht="14">
      <c r="A32" s="797"/>
      <c r="B32" s="797"/>
      <c r="D32" s="803"/>
    </row>
    <row r="33" spans="1:9" ht="14.65" customHeight="1">
      <c r="A33" s="797"/>
      <c r="B33" s="798" t="s">
        <v>2519</v>
      </c>
      <c r="D33" s="1901" t="s">
        <v>1421</v>
      </c>
      <c r="E33" s="1901"/>
      <c r="F33" s="1901"/>
      <c r="I33" s="1837" t="s">
        <v>2488</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2518</v>
      </c>
      <c r="D38" s="1901" t="s">
        <v>1244</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2519</v>
      </c>
      <c r="D44" s="1901" t="s">
        <v>1245</v>
      </c>
      <c r="E44" s="1901"/>
      <c r="F44" s="1901"/>
      <c r="I44" s="1837" t="s">
        <v>2488</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65" customHeight="1">
      <c r="A49" s="797"/>
      <c r="B49" s="798" t="s">
        <v>2518</v>
      </c>
      <c r="D49" s="1901" t="s">
        <v>1246</v>
      </c>
      <c r="E49" s="1901"/>
      <c r="F49" s="1901"/>
      <c r="I49" s="1837" t="s">
        <v>2488</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2519</v>
      </c>
      <c r="C53" s="806"/>
      <c r="D53" s="1901" t="s">
        <v>1247</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2518</v>
      </c>
      <c r="D56" s="1901" t="s">
        <v>1248</v>
      </c>
      <c r="E56" s="1901"/>
      <c r="F56" s="1901"/>
      <c r="I56" s="1774" t="s">
        <v>2418</v>
      </c>
    </row>
    <row r="57" spans="1:9">
      <c r="D57" s="1901"/>
      <c r="E57" s="1901"/>
      <c r="F57" s="1901"/>
    </row>
    <row r="58" spans="1:9">
      <c r="D58" s="1901"/>
      <c r="E58" s="1901"/>
      <c r="F58" s="1901"/>
    </row>
    <row r="59" spans="1:9">
      <c r="D59" s="693"/>
    </row>
    <row r="60" spans="1:9" ht="14">
      <c r="A60" s="797"/>
      <c r="B60" s="798" t="s">
        <v>2518</v>
      </c>
      <c r="D60" s="1901" t="s">
        <v>1249</v>
      </c>
      <c r="E60" s="1901"/>
      <c r="F60" s="1901"/>
      <c r="I60" s="1774" t="s">
        <v>2419</v>
      </c>
    </row>
    <row r="61" spans="1:9">
      <c r="D61" s="1901"/>
      <c r="E61" s="1901"/>
      <c r="F61" s="1901"/>
    </row>
    <row r="62" spans="1:9"/>
    <row r="63" spans="1:9" ht="14">
      <c r="A63" s="797"/>
      <c r="B63" s="798" t="s">
        <v>2519</v>
      </c>
      <c r="D63" s="1901" t="s">
        <v>1250</v>
      </c>
      <c r="E63" s="1901"/>
      <c r="F63" s="1901"/>
    </row>
    <row r="64" spans="1:9">
      <c r="D64" s="1901"/>
      <c r="E64" s="1901"/>
      <c r="F64" s="1901"/>
      <c r="I64" s="1774" t="s">
        <v>2420</v>
      </c>
    </row>
    <row r="65" spans="1:9">
      <c r="D65" s="1901"/>
      <c r="E65" s="1901"/>
      <c r="F65" s="1901"/>
    </row>
    <row r="66" spans="1:9">
      <c r="D66" s="790"/>
    </row>
    <row r="67" spans="1:9" ht="14">
      <c r="A67" s="797"/>
      <c r="B67" s="798" t="s">
        <v>2518</v>
      </c>
      <c r="D67" s="1900" t="s">
        <v>1251</v>
      </c>
      <c r="E67" s="1900"/>
      <c r="F67" s="1900"/>
      <c r="I67" s="1774" t="s">
        <v>2420</v>
      </c>
    </row>
    <row r="68" spans="1:9">
      <c r="D68" s="1900"/>
      <c r="E68" s="1900"/>
      <c r="F68" s="1900"/>
    </row>
    <row r="69" spans="1:9" ht="14">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2519</v>
      </c>
      <c r="D75" s="1900" t="s">
        <v>1470</v>
      </c>
      <c r="E75" s="1900"/>
      <c r="F75" s="1900"/>
      <c r="I75" s="1774" t="s">
        <v>2421</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2519</v>
      </c>
      <c r="D84" s="1900" t="s">
        <v>2241</v>
      </c>
      <c r="E84" s="1900"/>
      <c r="F84" s="1900"/>
      <c r="I84" s="1774" t="s">
        <v>2422</v>
      </c>
    </row>
    <row r="85" spans="1:9" ht="14">
      <c r="A85" s="797"/>
      <c r="B85" s="797"/>
      <c r="D85" s="1900"/>
      <c r="E85" s="1900"/>
      <c r="F85" s="1900"/>
    </row>
    <row r="86" spans="1:9" ht="14">
      <c r="A86" s="797"/>
      <c r="B86" s="797"/>
      <c r="D86" s="1712"/>
      <c r="E86" s="1712"/>
      <c r="F86" s="1712"/>
    </row>
    <row r="87" spans="1:9" ht="14">
      <c r="A87" s="797"/>
      <c r="B87" s="798" t="s">
        <v>2519</v>
      </c>
      <c r="D87" s="1900" t="s">
        <v>2245</v>
      </c>
      <c r="E87" s="1900"/>
      <c r="F87" s="1900"/>
      <c r="I87" s="1774" t="s">
        <v>2423</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2519</v>
      </c>
      <c r="D91" s="1900" t="s">
        <v>2243</v>
      </c>
      <c r="E91" s="1900"/>
      <c r="F91" s="1900"/>
      <c r="I91" s="1774" t="s">
        <v>2468</v>
      </c>
    </row>
    <row r="92" spans="1:9" s="1729" customFormat="1" ht="14">
      <c r="A92" s="1727"/>
      <c r="B92" s="1727"/>
      <c r="C92" s="1728"/>
      <c r="D92" s="1900"/>
      <c r="E92" s="1900"/>
      <c r="F92" s="1900"/>
      <c r="I92" s="1838"/>
    </row>
    <row r="93" spans="1:9" ht="14">
      <c r="A93" s="797"/>
      <c r="B93" s="797"/>
      <c r="D93" s="1718"/>
      <c r="E93" s="1719" t="s">
        <v>2244</v>
      </c>
      <c r="F93" s="1712"/>
    </row>
    <row r="94" spans="1:9" ht="14">
      <c r="A94" s="797"/>
      <c r="B94" s="797"/>
      <c r="D94" s="878"/>
      <c r="E94" s="878"/>
      <c r="F94" s="878"/>
    </row>
    <row r="95" spans="1:9" ht="14">
      <c r="A95" s="797"/>
      <c r="B95" s="798" t="s">
        <v>2518</v>
      </c>
      <c r="D95" s="1900" t="s">
        <v>2242</v>
      </c>
      <c r="E95" s="1900"/>
      <c r="F95" s="1900"/>
      <c r="I95" s="1774" t="s">
        <v>2424</v>
      </c>
    </row>
    <row r="96" spans="1:9" ht="14">
      <c r="A96" s="797"/>
      <c r="B96" s="797"/>
      <c r="D96" s="1900"/>
      <c r="E96" s="1900"/>
      <c r="F96" s="1900"/>
    </row>
    <row r="97" spans="1:9" ht="14">
      <c r="A97" s="797"/>
      <c r="B97" s="797"/>
      <c r="D97" s="1712"/>
      <c r="E97" s="1712"/>
      <c r="F97" s="1712"/>
    </row>
    <row r="98" spans="1:9" ht="14.65" customHeight="1">
      <c r="A98" s="797"/>
      <c r="B98" s="798" t="s">
        <v>2518</v>
      </c>
      <c r="D98" s="1900" t="s">
        <v>1396</v>
      </c>
      <c r="E98" s="1900"/>
      <c r="F98" s="1900"/>
      <c r="G98" s="790"/>
      <c r="I98" s="1774" t="s">
        <v>2425</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2518</v>
      </c>
      <c r="D114" s="1920" t="s">
        <v>1258</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2519</v>
      </c>
      <c r="C123" s="722"/>
      <c r="D123" s="1920" t="s">
        <v>1260</v>
      </c>
      <c r="E123" s="1920"/>
      <c r="F123" s="1920"/>
      <c r="G123" s="722"/>
      <c r="H123" s="722"/>
      <c r="I123" s="622" t="s">
        <v>2426</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2519</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2519</v>
      </c>
      <c r="C132" s="804"/>
      <c r="D132" s="1901" t="s">
        <v>1262</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65" customHeight="1">
      <c r="A165" s="813"/>
      <c r="B165" s="798" t="s">
        <v>2518</v>
      </c>
      <c r="C165" s="814"/>
      <c r="D165" s="1874" t="s">
        <v>1432</v>
      </c>
      <c r="E165" s="1874"/>
      <c r="F165" s="1874"/>
      <c r="G165" s="815"/>
      <c r="I165" s="622" t="s">
        <v>2423</v>
      </c>
    </row>
    <row r="166" spans="1:9" s="722" customFormat="1" ht="14.6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1.95" customHeight="1">
      <c r="D179" s="800"/>
      <c r="E179" s="800"/>
      <c r="F179" s="800"/>
    </row>
    <row r="180" spans="1:9">
      <c r="B180" s="1972" t="s">
        <v>468</v>
      </c>
      <c r="C180" s="1972"/>
      <c r="D180" s="1972"/>
      <c r="E180" s="1972"/>
      <c r="F180" s="1972"/>
    </row>
    <row r="181" spans="1:9" s="1772" customFormat="1">
      <c r="A181" s="788"/>
      <c r="B181" s="1831" t="s">
        <v>2406</v>
      </c>
      <c r="C181" s="1831"/>
      <c r="D181" s="1831"/>
      <c r="E181" s="1831"/>
      <c r="F181" s="1831"/>
      <c r="G181" s="1771"/>
      <c r="I181" s="1774"/>
    </row>
    <row r="182" spans="1:9" ht="11.95" customHeight="1">
      <c r="A182" s="793"/>
      <c r="B182" s="793"/>
      <c r="C182" s="793"/>
    </row>
    <row r="183" spans="1:9">
      <c r="A183" s="1882" t="s">
        <v>1160</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2519</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2518</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2518</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
      <c r="A201" s="797"/>
      <c r="B201" s="798" t="s">
        <v>2518</v>
      </c>
      <c r="C201" s="818"/>
      <c r="D201" s="1900" t="s">
        <v>2256</v>
      </c>
      <c r="E201" s="1900"/>
      <c r="F201" s="1900"/>
      <c r="G201" s="819"/>
      <c r="I201" s="1774" t="s">
        <v>2482</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2518</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
      <c r="A209" s="797"/>
      <c r="B209" s="798" t="s">
        <v>2518</v>
      </c>
      <c r="C209" s="806"/>
      <c r="D209" s="1900" t="s">
        <v>1423</v>
      </c>
      <c r="E209" s="1900"/>
      <c r="F209" s="1900"/>
      <c r="G209" s="693"/>
      <c r="I209" s="642"/>
    </row>
    <row r="210" spans="1:9" s="618" customFormat="1" ht="14.6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1.95" customHeight="1">
      <c r="D215" s="800"/>
      <c r="E215" s="800"/>
      <c r="F215" s="800"/>
    </row>
    <row r="216" spans="1:9">
      <c r="C216" s="807"/>
      <c r="D216" s="1988" t="s">
        <v>213</v>
      </c>
      <c r="E216" s="1988"/>
      <c r="F216" s="1988"/>
    </row>
    <row r="217" spans="1:9">
      <c r="A217" s="793"/>
      <c r="B217" s="793"/>
      <c r="C217" s="793"/>
      <c r="D217" s="1974" t="s">
        <v>1290</v>
      </c>
      <c r="E217" s="1974"/>
      <c r="F217" s="1974"/>
    </row>
    <row r="218" spans="1:9" ht="11.95" customHeight="1">
      <c r="A218" s="816"/>
      <c r="B218" s="816"/>
      <c r="C218" s="816"/>
    </row>
    <row r="219" spans="1:9" ht="13.7" customHeight="1">
      <c r="A219" s="816"/>
      <c r="C219" s="816"/>
      <c r="D219" s="1899" t="s">
        <v>577</v>
      </c>
      <c r="E219" s="1899"/>
      <c r="F219" s="1899"/>
      <c r="I219" s="1774" t="s">
        <v>2431</v>
      </c>
    </row>
    <row r="220" spans="1:9" ht="14">
      <c r="A220" s="797"/>
      <c r="B220" s="798" t="s">
        <v>2519</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2519</v>
      </c>
      <c r="D225" s="1900" t="s">
        <v>2260</v>
      </c>
      <c r="E225" s="1900"/>
      <c r="F225" s="1900"/>
      <c r="I225" s="1774" t="s">
        <v>2432</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1286</v>
      </c>
      <c r="E231" s="1900"/>
      <c r="F231" s="1900"/>
      <c r="I231" s="1774" t="s">
        <v>2431</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2519</v>
      </c>
      <c r="D237" s="1978" t="s">
        <v>2264</v>
      </c>
      <c r="E237" s="1978"/>
      <c r="F237" s="1978"/>
      <c r="I237" s="1774" t="s">
        <v>2470</v>
      </c>
    </row>
    <row r="238" spans="1:9" ht="14">
      <c r="A238" s="797"/>
      <c r="B238" s="797"/>
      <c r="D238" s="1978"/>
      <c r="E238" s="1978"/>
      <c r="F238" s="1978"/>
    </row>
    <row r="239" spans="1:9" ht="14">
      <c r="A239" s="797"/>
      <c r="B239" s="797"/>
      <c r="D239" s="1978"/>
      <c r="E239" s="1978"/>
      <c r="F239" s="1978"/>
    </row>
    <row r="240" spans="1:9" ht="14">
      <c r="A240" s="797"/>
      <c r="B240" s="797"/>
      <c r="D240" s="1972" t="s">
        <v>961</v>
      </c>
      <c r="E240" s="1972"/>
      <c r="F240" s="1972"/>
    </row>
    <row r="241" spans="1:9" ht="14">
      <c r="A241" s="797"/>
      <c r="B241" s="797"/>
      <c r="D241" s="800"/>
      <c r="E241" s="800"/>
      <c r="F241" s="800"/>
    </row>
    <row r="242" spans="1:9" ht="14.65" customHeight="1">
      <c r="A242" s="797"/>
      <c r="B242" s="798" t="s">
        <v>2518</v>
      </c>
      <c r="D242" s="1978" t="s">
        <v>1289</v>
      </c>
      <c r="E242" s="1978"/>
      <c r="F242" s="1978"/>
      <c r="I242" s="1774" t="s">
        <v>2490</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00" t="s">
        <v>1288</v>
      </c>
      <c r="E251" s="1900"/>
      <c r="F251" s="1900"/>
    </row>
    <row r="252" spans="1:9" ht="14">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4" t="s">
        <v>2471</v>
      </c>
    </row>
    <row r="259" spans="1:9" ht="14.65" customHeight="1">
      <c r="A259" s="797"/>
      <c r="B259" s="798" t="s">
        <v>2519</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65" customHeight="1">
      <c r="A263" s="797"/>
      <c r="B263" s="798" t="s">
        <v>2518</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2519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
      <c r="A282" s="797"/>
      <c r="B282" s="798" t="s">
        <v>2518</v>
      </c>
      <c r="D282" s="1900" t="s">
        <v>1298</v>
      </c>
      <c r="E282" s="1900"/>
      <c r="F282" s="1900"/>
      <c r="I282" s="1774" t="s">
        <v>2433</v>
      </c>
    </row>
    <row r="283" spans="1:9" ht="14">
      <c r="A283" s="797"/>
      <c r="B283" s="797"/>
      <c r="D283" s="1900"/>
      <c r="E283" s="1900"/>
      <c r="F283" s="1900"/>
    </row>
    <row r="284" spans="1:9">
      <c r="D284" s="800"/>
      <c r="E284" s="800"/>
      <c r="F284" s="800"/>
    </row>
    <row r="285" spans="1:9" ht="14">
      <c r="A285" s="797"/>
      <c r="B285" s="798" t="s">
        <v>2518</v>
      </c>
      <c r="D285" s="1978" t="s">
        <v>1299</v>
      </c>
      <c r="E285" s="1978"/>
      <c r="F285" s="1978"/>
      <c r="I285" s="1774" t="s">
        <v>2433</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2518</v>
      </c>
      <c r="D289" s="1900" t="s">
        <v>1300</v>
      </c>
      <c r="E289" s="1900"/>
      <c r="F289" s="1900"/>
      <c r="I289" s="1774" t="s">
        <v>2433</v>
      </c>
    </row>
    <row r="290" spans="1:9" ht="14">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798" t="s">
        <v>2518</v>
      </c>
      <c r="D297" s="1902" t="s">
        <v>1302</v>
      </c>
      <c r="E297" s="1902"/>
      <c r="F297" s="1902"/>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96" t="s">
        <v>1427</v>
      </c>
      <c r="E299" s="1996"/>
      <c r="F299" s="1996"/>
      <c r="G299" s="802"/>
      <c r="I299" s="1837" t="s">
        <v>2434</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2518</v>
      </c>
      <c r="D308" s="1902" t="s">
        <v>1305</v>
      </c>
      <c r="E308" s="1902"/>
      <c r="F308" s="1902"/>
      <c r="I308" s="1774" t="s">
        <v>2420</v>
      </c>
    </row>
    <row r="309" spans="1:9">
      <c r="E309" s="800"/>
      <c r="F309" s="800"/>
    </row>
    <row r="310" spans="1:9" ht="14">
      <c r="A310" s="797"/>
      <c r="B310" s="798" t="s">
        <v>2518</v>
      </c>
      <c r="D310" s="1978" t="s">
        <v>1454</v>
      </c>
      <c r="E310" s="1978"/>
      <c r="F310" s="1978"/>
      <c r="I310" s="1774" t="s">
        <v>2435</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2518</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2518</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1057</v>
      </c>
      <c r="E343" s="1979"/>
      <c r="F343" s="1979"/>
      <c r="G343" s="1851"/>
      <c r="H343" s="1851"/>
      <c r="I343" s="1852"/>
    </row>
    <row r="344" spans="1:9" ht="13.4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02" t="s">
        <v>1318</v>
      </c>
      <c r="E347" s="1902"/>
      <c r="F347" s="1902"/>
      <c r="I347" s="2002" t="s">
        <v>2487</v>
      </c>
    </row>
    <row r="348" spans="1:9" ht="12.8"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
      <c r="A352" s="797"/>
      <c r="B352" s="798" t="s">
        <v>2518</v>
      </c>
      <c r="C352" s="814"/>
      <c r="D352" s="1896" t="s">
        <v>1310</v>
      </c>
      <c r="E352" s="1896"/>
      <c r="F352" s="1896"/>
      <c r="G352" s="790"/>
      <c r="I352" s="619"/>
    </row>
    <row r="353" spans="1:9">
      <c r="A353" s="814"/>
      <c r="B353" s="814"/>
      <c r="C353" s="814"/>
      <c r="D353" s="786"/>
      <c r="E353" s="786"/>
      <c r="F353" s="800"/>
      <c r="G353" s="790"/>
    </row>
    <row r="354" spans="1:9">
      <c r="A354" s="814"/>
      <c r="B354" s="798" t="s">
        <v>2518</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2518</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2518</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65" customHeight="1">
      <c r="A415" s="797"/>
      <c r="B415" s="798" t="s">
        <v>2518</v>
      </c>
      <c r="D415" s="1890" t="s">
        <v>2473</v>
      </c>
      <c r="E415" s="1890"/>
      <c r="F415" s="1890"/>
    </row>
    <row r="416" spans="1:7" ht="14.65" customHeight="1">
      <c r="A416" s="797"/>
      <c r="D416" s="1890"/>
      <c r="E416" s="1890"/>
      <c r="F416" s="1890"/>
    </row>
    <row r="417" spans="1:7" ht="14.65" customHeight="1">
      <c r="A417" s="797"/>
      <c r="D417" s="1890"/>
      <c r="E417" s="1890"/>
      <c r="F417" s="1890"/>
    </row>
    <row r="418" spans="1:7" ht="14.65" customHeight="1">
      <c r="A418" s="797"/>
      <c r="D418" s="1890"/>
      <c r="E418" s="1890"/>
      <c r="F418" s="1890"/>
    </row>
    <row r="419" spans="1:7" ht="14.65" customHeight="1">
      <c r="A419" s="797"/>
      <c r="D419" s="1890"/>
      <c r="E419" s="1890"/>
      <c r="F419" s="1890"/>
    </row>
    <row r="420" spans="1:7" ht="14.65" customHeight="1">
      <c r="A420" s="797"/>
      <c r="D420" s="878"/>
      <c r="E420" s="878"/>
      <c r="F420" s="878"/>
    </row>
    <row r="421" spans="1:7" ht="13.7" customHeight="1">
      <c r="A421" s="797"/>
      <c r="B421" s="798" t="s">
        <v>2518</v>
      </c>
      <c r="C421" s="814"/>
      <c r="D421" s="1891" t="s">
        <v>1455</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
      <c r="A427" s="797"/>
      <c r="B427" s="798" t="s">
        <v>2518</v>
      </c>
      <c r="C427" s="829"/>
      <c r="D427" s="1900" t="s">
        <v>1317</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2518</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2518</v>
      </c>
      <c r="C463" s="797"/>
      <c r="D463" s="1978" t="s">
        <v>1399</v>
      </c>
      <c r="E463" s="1978"/>
      <c r="F463" s="1978"/>
      <c r="G463" s="790"/>
    </row>
    <row r="464" spans="1:9">
      <c r="D464" s="1978"/>
      <c r="E464" s="1978"/>
      <c r="F464" s="1978"/>
      <c r="G464" s="790"/>
    </row>
    <row r="465" spans="1:7">
      <c r="D465" s="800"/>
      <c r="E465" s="800"/>
      <c r="F465" s="800"/>
      <c r="G465" s="790"/>
    </row>
    <row r="466" spans="1:7" ht="14">
      <c r="B466" s="798" t="s">
        <v>2518</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2518</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2518</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2518</v>
      </c>
      <c r="C478" s="790"/>
      <c r="D478" s="1978"/>
      <c r="E478" s="1978"/>
      <c r="F478" s="1978"/>
      <c r="G478" s="790"/>
    </row>
    <row r="479" spans="1:7">
      <c r="A479" s="790"/>
      <c r="C479" s="790"/>
      <c r="D479" s="1978"/>
      <c r="E479" s="1978"/>
      <c r="F479" s="1978"/>
      <c r="G479" s="790"/>
    </row>
    <row r="480" spans="1:7">
      <c r="A480" s="790"/>
      <c r="B480" s="798" t="s">
        <v>2518</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2518</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
      <c r="A491" s="805"/>
      <c r="B491" s="805"/>
      <c r="C491" s="801"/>
      <c r="D491" s="1879" t="s">
        <v>1325</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880" t="s">
        <v>1326</v>
      </c>
      <c r="E493" s="1880"/>
      <c r="F493" s="1880"/>
      <c r="G493" s="802"/>
      <c r="I493" s="1837" t="s">
        <v>2437</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2518</v>
      </c>
      <c r="D496" s="1881" t="s">
        <v>1506</v>
      </c>
      <c r="E496" s="1881"/>
      <c r="F496" s="1881"/>
      <c r="I496" s="1774" t="s">
        <v>2438</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2518</v>
      </c>
      <c r="D501" s="1902" t="s">
        <v>1329</v>
      </c>
      <c r="E501" s="1902"/>
      <c r="F501" s="1902"/>
      <c r="G501" s="790"/>
      <c r="I501" s="1774" t="s">
        <v>2439</v>
      </c>
    </row>
    <row r="502" spans="1:9" ht="14">
      <c r="A502" s="797"/>
      <c r="B502" s="797"/>
      <c r="D502" s="785"/>
      <c r="E502" s="672"/>
      <c r="F502" s="672"/>
      <c r="G502" s="790"/>
    </row>
    <row r="503" spans="1:9" ht="14">
      <c r="A503" s="797"/>
      <c r="B503" s="798" t="s">
        <v>2518</v>
      </c>
      <c r="D503" s="1900" t="s">
        <v>1330</v>
      </c>
      <c r="E503" s="1900"/>
      <c r="F503" s="1900"/>
      <c r="G503" s="790"/>
      <c r="I503" s="1774" t="s">
        <v>2439</v>
      </c>
    </row>
    <row r="504" spans="1:9" ht="14">
      <c r="A504" s="797"/>
      <c r="D504" s="1900"/>
      <c r="E504" s="1900"/>
      <c r="F504" s="1900"/>
      <c r="G504" s="790"/>
    </row>
    <row r="505" spans="1:9">
      <c r="A505" s="816"/>
      <c r="B505" s="816"/>
      <c r="D505" s="733"/>
      <c r="E505" s="672"/>
      <c r="F505" s="672"/>
      <c r="G505" s="790"/>
    </row>
    <row r="506" spans="1:9">
      <c r="A506" s="816"/>
      <c r="B506" s="798" t="s">
        <v>2518</v>
      </c>
      <c r="D506" s="1902" t="s">
        <v>1331</v>
      </c>
      <c r="E506" s="1902"/>
      <c r="F506" s="1902"/>
      <c r="G506" s="790"/>
      <c r="I506" s="1774" t="s">
        <v>2494</v>
      </c>
    </row>
    <row r="507" spans="1:9" ht="14">
      <c r="A507" s="797"/>
      <c r="B507" s="797"/>
      <c r="D507" s="800"/>
    </row>
    <row r="508" spans="1:9">
      <c r="A508" s="1882" t="s">
        <v>1166</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2518</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2519</v>
      </c>
      <c r="C533" s="829"/>
      <c r="D533" s="1902" t="s">
        <v>947</v>
      </c>
      <c r="E533" s="1902"/>
      <c r="F533" s="1902"/>
      <c r="G533" s="790"/>
      <c r="I533" s="1774" t="s">
        <v>2492</v>
      </c>
    </row>
    <row r="534" spans="1:9" ht="13.7" customHeight="1">
      <c r="A534" s="829"/>
      <c r="B534" s="829"/>
      <c r="C534" s="829"/>
      <c r="D534" s="785"/>
      <c r="E534" s="618"/>
      <c r="F534" s="618"/>
      <c r="G534" s="790"/>
    </row>
    <row r="535" spans="1:9" ht="14">
      <c r="A535" s="797"/>
      <c r="B535" s="798" t="s">
        <v>2519</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2519</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2519</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2519</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2518</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
      <c r="A551" s="797"/>
      <c r="B551" s="798" t="s">
        <v>2519</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2519</v>
      </c>
      <c r="C554" s="829"/>
      <c r="D554" s="1902" t="s">
        <v>1232</v>
      </c>
      <c r="E554" s="1902"/>
      <c r="F554" s="1902"/>
      <c r="G554" s="819"/>
      <c r="I554" s="1774"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
      <c r="A557" s="797"/>
      <c r="B557" s="797"/>
      <c r="C557" s="829"/>
      <c r="E557" s="800"/>
      <c r="F557" s="800"/>
      <c r="G557" s="819"/>
    </row>
    <row r="558" spans="1:9" ht="14">
      <c r="A558" s="797"/>
      <c r="B558" s="798" t="s">
        <v>2519</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2519</v>
      </c>
      <c r="C563" s="829"/>
      <c r="D563" s="1900" t="s">
        <v>1236</v>
      </c>
      <c r="E563" s="1900"/>
      <c r="F563" s="1900"/>
      <c r="G563" s="819"/>
      <c r="I563" s="1774" t="s">
        <v>2444</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2519</v>
      </c>
      <c r="D573" s="1905" t="s">
        <v>953</v>
      </c>
      <c r="E573" s="1905"/>
      <c r="F573" s="1905"/>
      <c r="G573" s="819"/>
    </row>
    <row r="574" spans="1:9">
      <c r="A574" s="816"/>
      <c r="B574" s="816"/>
      <c r="D574" s="814"/>
    </row>
    <row r="575" spans="1:9">
      <c r="A575" s="816"/>
      <c r="B575" s="798" t="s">
        <v>2519</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2518</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2519</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2518</v>
      </c>
      <c r="D587" s="1905" t="s">
        <v>1189</v>
      </c>
      <c r="E587" s="1905"/>
      <c r="F587" s="1905"/>
      <c r="G587" s="790"/>
      <c r="I587" s="1774" t="s">
        <v>2496</v>
      </c>
    </row>
    <row r="588" spans="1:9">
      <c r="A588" s="816"/>
      <c r="B588" s="816"/>
      <c r="D588" s="1905"/>
      <c r="E588" s="1905"/>
      <c r="F588" s="1905"/>
      <c r="G588" s="790"/>
    </row>
    <row r="589" spans="1:9" ht="14">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ht="14">
      <c r="A595" s="805"/>
      <c r="B595" s="798" t="s">
        <v>2519</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8" customHeight="1">
      <c r="A605" s="816"/>
      <c r="B605" s="798" t="s">
        <v>2519</v>
      </c>
      <c r="D605" s="1898" t="s">
        <v>1275</v>
      </c>
      <c r="E605" s="1898"/>
      <c r="F605" s="1898"/>
      <c r="G605" s="819"/>
      <c r="I605" s="1774" t="s">
        <v>2497</v>
      </c>
    </row>
    <row r="606" spans="1:9">
      <c r="D606" s="1898"/>
      <c r="E606" s="1898"/>
      <c r="F606" s="1898"/>
      <c r="G606" s="819"/>
    </row>
    <row r="607" spans="1:9">
      <c r="D607" s="790"/>
      <c r="G607" s="819"/>
    </row>
    <row r="608" spans="1:9">
      <c r="B608" s="798" t="s">
        <v>2519</v>
      </c>
      <c r="D608" s="1898" t="s">
        <v>1276</v>
      </c>
      <c r="E608" s="1898"/>
      <c r="F608" s="1898"/>
      <c r="G608" s="819"/>
      <c r="I608" s="1774" t="s">
        <v>2448</v>
      </c>
    </row>
    <row r="609" spans="1:9">
      <c r="C609" s="839"/>
      <c r="D609" s="1898"/>
      <c r="E609" s="1898"/>
      <c r="F609" s="1898"/>
      <c r="G609" s="819"/>
    </row>
    <row r="610" spans="1:9">
      <c r="C610" s="839"/>
      <c r="G610" s="819"/>
    </row>
    <row r="611" spans="1:9">
      <c r="B611" s="798" t="s">
        <v>2518</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
      <c r="A618" s="797"/>
      <c r="B618" s="798" t="s">
        <v>2519</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2518</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2518</v>
      </c>
      <c r="C628" s="829"/>
      <c r="D628" s="1901" t="s">
        <v>1437</v>
      </c>
      <c r="E628" s="1901"/>
      <c r="F628" s="1901"/>
      <c r="G628" s="819"/>
      <c r="I628" s="1774" t="s">
        <v>2449</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2518</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8" customHeight="1">
      <c r="B638" s="798" t="s">
        <v>2518</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65" customHeight="1">
      <c r="A642" s="797"/>
      <c r="B642" s="797"/>
      <c r="C642" s="829"/>
      <c r="D642" s="900"/>
      <c r="E642" s="900"/>
      <c r="F642" s="900"/>
      <c r="G642" s="819"/>
    </row>
    <row r="643" spans="1:9" ht="12.8" customHeight="1">
      <c r="A643" s="795"/>
      <c r="B643" s="798" t="s">
        <v>2518</v>
      </c>
      <c r="C643" s="829"/>
      <c r="D643" s="1984" t="s">
        <v>1524</v>
      </c>
      <c r="E643" s="1984"/>
      <c r="F643" s="1984"/>
      <c r="G643" s="819"/>
      <c r="I643" s="1774" t="s">
        <v>2503</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2518</v>
      </c>
      <c r="C649" s="829"/>
      <c r="D649" s="1984" t="s">
        <v>1522</v>
      </c>
      <c r="E649" s="1984"/>
      <c r="F649" s="1984"/>
      <c r="G649" s="819"/>
      <c r="I649" s="1774" t="s">
        <v>2503</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2518</v>
      </c>
      <c r="C654" s="829"/>
      <c r="D654" s="1984" t="s">
        <v>1523</v>
      </c>
      <c r="E654" s="1984"/>
      <c r="F654" s="1984"/>
      <c r="G654" s="819"/>
      <c r="I654" s="1774" t="s">
        <v>2503</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02" t="s">
        <v>949</v>
      </c>
      <c r="E670" s="1902"/>
      <c r="F670" s="1902"/>
      <c r="G670" s="819"/>
      <c r="H670" s="842"/>
      <c r="I670" s="1841" t="s">
        <v>2477</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
      <c r="A679" s="797"/>
      <c r="B679" s="798" t="s">
        <v>2518</v>
      </c>
      <c r="C679" s="795"/>
      <c r="D679" s="1902" t="s">
        <v>989</v>
      </c>
      <c r="E679" s="1902"/>
      <c r="F679" s="1902"/>
      <c r="G679" s="819"/>
      <c r="H679" s="842"/>
      <c r="I679" s="1841"/>
      <c r="J679" s="842"/>
      <c r="K679" s="842"/>
    </row>
    <row r="680" spans="1:11" ht="14">
      <c r="A680" s="797"/>
      <c r="B680" s="797"/>
      <c r="C680" s="795"/>
      <c r="D680" s="1902" t="s">
        <v>960</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2518</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2518</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2518</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2519</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2519</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2518</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2518</v>
      </c>
      <c r="C772" s="1740"/>
      <c r="D772" s="1922" t="s">
        <v>2269</v>
      </c>
      <c r="E772" s="1922"/>
      <c r="F772" s="1922"/>
      <c r="G772" s="1739"/>
      <c r="I772" s="1841" t="s">
        <v>2504</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2518</v>
      </c>
      <c r="C776" s="1740"/>
      <c r="D776" s="1922" t="s">
        <v>2270</v>
      </c>
      <c r="E776" s="1922"/>
      <c r="F776" s="1922"/>
      <c r="G776" s="1739"/>
      <c r="I776" s="1841" t="s">
        <v>2504</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2322</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2518</v>
      </c>
      <c r="C786" s="1740"/>
      <c r="D786" s="1922" t="s">
        <v>2271</v>
      </c>
      <c r="E786" s="1922"/>
      <c r="F786" s="1922"/>
      <c r="G786" s="1739"/>
      <c r="I786" s="1841" t="s">
        <v>2504</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2518</v>
      </c>
      <c r="C793" s="1740"/>
      <c r="D793" s="1922" t="s">
        <v>2272</v>
      </c>
      <c r="E793" s="1922"/>
      <c r="F793" s="1922"/>
      <c r="G793" s="1739"/>
      <c r="I793" s="1841" t="s">
        <v>2504</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2518</v>
      </c>
      <c r="C800" s="1740"/>
      <c r="D800" s="1919" t="s">
        <v>2273</v>
      </c>
      <c r="E800" s="1919"/>
      <c r="F800" s="1919"/>
      <c r="G800" s="1739"/>
      <c r="I800" s="1841" t="s">
        <v>2504</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2274</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8" customHeight="1">
      <c r="A811" s="714"/>
      <c r="B811" s="714"/>
      <c r="C811" s="556"/>
      <c r="D811" s="1703"/>
      <c r="E811" s="1703"/>
      <c r="F811" s="1703"/>
      <c r="G811" s="678"/>
    </row>
    <row r="812" spans="1:9" ht="12.8" customHeight="1">
      <c r="A812" s="1742"/>
      <c r="B812" s="798" t="s">
        <v>2519</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8" customHeight="1">
      <c r="A814" s="1725"/>
      <c r="B814" s="1725"/>
      <c r="C814" s="1740"/>
      <c r="D814" s="1743"/>
      <c r="E814" s="6"/>
      <c r="F814" s="6"/>
      <c r="G814" s="678"/>
    </row>
    <row r="815" spans="1:9" ht="14.25" hidden="1" customHeight="1">
      <c r="A815" s="1725"/>
      <c r="B815" s="798" t="s">
        <v>315</v>
      </c>
      <c r="C815" s="1740"/>
      <c r="D815" s="1969" t="s">
        <v>2278</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2519</v>
      </c>
      <c r="C826" s="1740"/>
      <c r="D826" s="1862" t="s">
        <v>2279</v>
      </c>
      <c r="E826" s="1862"/>
      <c r="F826" s="1862"/>
      <c r="G826" s="678"/>
      <c r="I826" s="1774" t="s">
        <v>2490</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2518</v>
      </c>
      <c r="C830" s="1744"/>
      <c r="D830" s="1967" t="s">
        <v>2280</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2281</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2518</v>
      </c>
      <c r="C839" s="1744"/>
      <c r="D839" s="1863" t="s">
        <v>2282</v>
      </c>
      <c r="E839" s="1863"/>
      <c r="F839" s="1863"/>
      <c r="G839" s="678"/>
      <c r="I839" s="1774" t="s">
        <v>2471</v>
      </c>
    </row>
    <row r="840" spans="1:9" ht="12.8" customHeight="1">
      <c r="A840" s="403"/>
      <c r="B840" s="403"/>
      <c r="C840" s="1744"/>
      <c r="D840" s="1863" t="s">
        <v>2283</v>
      </c>
      <c r="E840" s="1863"/>
      <c r="F840" s="1863"/>
      <c r="G840" s="678"/>
    </row>
    <row r="841" spans="1:9" ht="12.8" customHeight="1">
      <c r="A841" s="403"/>
      <c r="B841" s="403"/>
      <c r="C841" s="1744"/>
      <c r="D841" s="183" t="s">
        <v>2249</v>
      </c>
      <c r="E841" s="1961" t="s">
        <v>2284</v>
      </c>
      <c r="F841" s="1961"/>
      <c r="G841" s="678"/>
    </row>
    <row r="842" spans="1:9" ht="12.8" customHeight="1">
      <c r="A842" s="403"/>
      <c r="B842" s="403"/>
      <c r="C842" s="1744"/>
      <c r="D842" s="1721"/>
      <c r="E842" s="678"/>
      <c r="F842" s="678"/>
      <c r="G842" s="678"/>
    </row>
    <row r="843" spans="1:9" ht="12.8" customHeight="1">
      <c r="A843" s="403"/>
      <c r="B843" s="798" t="s">
        <v>2518</v>
      </c>
      <c r="C843" s="1744"/>
      <c r="D843" s="1863" t="s">
        <v>2285</v>
      </c>
      <c r="E843" s="1863"/>
      <c r="F843" s="1863"/>
      <c r="G843" s="678"/>
      <c r="I843" s="1774" t="s">
        <v>2491</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2324</v>
      </c>
      <c r="E850" s="1885"/>
      <c r="F850" s="1885"/>
      <c r="G850" s="1739"/>
    </row>
    <row r="851" spans="1:9" ht="12.8" customHeight="1">
      <c r="A851" s="1742"/>
      <c r="B851" s="1742"/>
      <c r="C851" s="313"/>
      <c r="D851" s="1968" t="s">
        <v>2287</v>
      </c>
      <c r="E851" s="1968"/>
      <c r="F851" s="1968"/>
      <c r="G851" s="1739"/>
    </row>
    <row r="852" spans="1:9" ht="12.8" customHeight="1">
      <c r="A852" s="1742"/>
      <c r="B852" s="1742"/>
      <c r="C852" s="313"/>
      <c r="D852" s="1750"/>
      <c r="E852" s="1750"/>
      <c r="F852" s="1750"/>
      <c r="G852" s="1739"/>
    </row>
    <row r="853" spans="1:9" ht="12.8" customHeight="1">
      <c r="A853" s="714"/>
      <c r="B853" s="798" t="s">
        <v>2519</v>
      </c>
      <c r="C853" s="556"/>
      <c r="D853" s="1875" t="s">
        <v>2288</v>
      </c>
      <c r="E853" s="1875"/>
      <c r="F853" s="1875"/>
      <c r="G853" s="1739"/>
      <c r="I853" s="1774" t="s">
        <v>2471</v>
      </c>
    </row>
    <row r="854" spans="1:9" ht="12.8" customHeight="1">
      <c r="A854" s="1742"/>
      <c r="B854" s="1742"/>
      <c r="C854" s="556"/>
      <c r="D854" s="5" t="s">
        <v>2249</v>
      </c>
      <c r="E854" s="1963" t="s">
        <v>2284</v>
      </c>
      <c r="F854" s="1963"/>
      <c r="G854" s="1739"/>
    </row>
    <row r="855" spans="1:9" ht="12.8" customHeight="1">
      <c r="A855" s="1742"/>
      <c r="B855" s="1742"/>
      <c r="C855" s="556"/>
      <c r="D855" s="1708"/>
      <c r="E855" s="1738"/>
      <c r="F855" s="1738"/>
      <c r="G855" s="1739"/>
    </row>
    <row r="856" spans="1:9" ht="12.8" customHeight="1">
      <c r="A856" s="714"/>
      <c r="B856" s="798" t="s">
        <v>2519</v>
      </c>
      <c r="C856" s="556"/>
      <c r="D856" s="1862" t="s">
        <v>2289</v>
      </c>
      <c r="E856" s="1886"/>
      <c r="F856" s="1886"/>
      <c r="G856" s="678"/>
      <c r="I856" s="1774" t="s">
        <v>2491</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2518</v>
      </c>
      <c r="C859" s="557"/>
      <c r="D859" s="1964" t="s">
        <v>2290</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2281</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2518</v>
      </c>
      <c r="C868" s="556"/>
      <c r="D868" s="1928" t="s">
        <v>2282</v>
      </c>
      <c r="E868" s="1928"/>
      <c r="F868" s="1928"/>
      <c r="G868" s="1739"/>
      <c r="I868" s="1774" t="s">
        <v>2471</v>
      </c>
    </row>
    <row r="869" spans="1:9" ht="12.8" customHeight="1">
      <c r="A869" s="714"/>
      <c r="B869" s="714"/>
      <c r="C869" s="556"/>
      <c r="D869" s="1928" t="s">
        <v>2283</v>
      </c>
      <c r="E869" s="1928"/>
      <c r="F869" s="1928"/>
      <c r="G869" s="1739"/>
    </row>
    <row r="870" spans="1:9" ht="12.8" customHeight="1">
      <c r="A870" s="714"/>
      <c r="B870" s="714"/>
      <c r="C870" s="556"/>
      <c r="D870" s="5" t="s">
        <v>1501</v>
      </c>
      <c r="E870" s="1965" t="s">
        <v>2284</v>
      </c>
      <c r="F870" s="1965"/>
      <c r="G870" s="1739"/>
    </row>
    <row r="871" spans="1:9" ht="12.8" customHeight="1">
      <c r="A871" s="714"/>
      <c r="B871" s="714"/>
      <c r="C871" s="556"/>
      <c r="D871" s="1708"/>
      <c r="E871" s="1738"/>
      <c r="F871" s="1738"/>
      <c r="G871" s="1739"/>
    </row>
    <row r="872" spans="1:9" ht="12.8" customHeight="1">
      <c r="A872" s="714"/>
      <c r="B872" s="798" t="s">
        <v>2518</v>
      </c>
      <c r="C872" s="556"/>
      <c r="D872" s="1862" t="s">
        <v>2285</v>
      </c>
      <c r="E872" s="1862"/>
      <c r="F872" s="1862"/>
      <c r="G872" s="1739"/>
      <c r="I872" s="1774" t="s">
        <v>2491</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2325</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2331</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21" t="s">
        <v>2326</v>
      </c>
      <c r="E883" s="1921"/>
      <c r="F883" s="1921"/>
      <c r="G883" s="1739"/>
    </row>
    <row r="884" spans="1:9" ht="12.8" customHeight="1">
      <c r="A884" s="1714"/>
      <c r="B884" s="1714"/>
      <c r="C884" s="1746"/>
      <c r="D884" s="1875" t="s">
        <v>2291</v>
      </c>
      <c r="E884" s="1875"/>
      <c r="F884" s="1875"/>
      <c r="G884" s="1739"/>
    </row>
    <row r="885" spans="1:9" ht="12.8" customHeight="1">
      <c r="A885" s="1756"/>
      <c r="B885" s="1756"/>
      <c r="C885" s="1740"/>
      <c r="D885" s="5"/>
      <c r="E885" s="1738"/>
      <c r="F885" s="1738"/>
      <c r="G885" s="1739"/>
    </row>
    <row r="886" spans="1:9" ht="12.8" customHeight="1">
      <c r="A886" s="714"/>
      <c r="B886" s="798" t="s">
        <v>2518</v>
      </c>
      <c r="C886" s="556"/>
      <c r="D886" s="1862" t="s">
        <v>2295</v>
      </c>
      <c r="E886" s="1862"/>
      <c r="F886" s="1862"/>
      <c r="G886" s="678"/>
      <c r="I886" s="1774" t="s">
        <v>2455</v>
      </c>
    </row>
    <row r="887" spans="1:9" ht="12.8" customHeight="1">
      <c r="A887" s="1742"/>
      <c r="B887" s="1742"/>
      <c r="C887" s="556"/>
      <c r="D887" s="1862"/>
      <c r="E887" s="1862"/>
      <c r="F887" s="1862"/>
      <c r="G887" s="678"/>
    </row>
    <row r="888" spans="1:9" s="1772" customFormat="1" ht="12.8" customHeight="1">
      <c r="A888" s="1846"/>
      <c r="B888" s="1846"/>
      <c r="C888" s="1746"/>
      <c r="D888" s="1862" t="s">
        <v>2294</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2518</v>
      </c>
      <c r="C891" s="486"/>
      <c r="D891" s="1961" t="s">
        <v>2292</v>
      </c>
      <c r="E891" s="1961"/>
      <c r="F891" s="1961"/>
      <c r="G891" s="1739"/>
      <c r="I891" s="1774" t="s">
        <v>2454</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62" t="s">
        <v>2296</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2518</v>
      </c>
      <c r="C903" s="1740"/>
      <c r="D903" s="1919" t="s">
        <v>2297</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2518</v>
      </c>
      <c r="C908" s="1740"/>
      <c r="D908" s="1875" t="s">
        <v>2298</v>
      </c>
      <c r="E908" s="1875"/>
      <c r="F908" s="1875"/>
      <c r="G908" s="1739"/>
    </row>
    <row r="909" spans="1:9" ht="12.8" customHeight="1">
      <c r="A909" s="1756"/>
      <c r="B909" s="1756"/>
      <c r="C909" s="1740"/>
      <c r="D909" s="1708"/>
      <c r="E909" s="1738"/>
      <c r="F909" s="1738"/>
      <c r="G909" s="1739"/>
    </row>
    <row r="910" spans="1:9" ht="12.8" customHeight="1">
      <c r="A910" s="1756"/>
      <c r="B910" s="798" t="s">
        <v>2518</v>
      </c>
      <c r="C910" s="1740"/>
      <c r="D910" s="1875" t="s">
        <v>2299</v>
      </c>
      <c r="E910" s="1875"/>
      <c r="F910" s="1875"/>
      <c r="G910" s="1739"/>
    </row>
    <row r="911" spans="1:9" ht="12.8" customHeight="1">
      <c r="A911" s="487"/>
      <c r="B911" s="487"/>
      <c r="C911" s="486"/>
      <c r="D911" s="183"/>
      <c r="E911" s="678"/>
      <c r="F911" s="1739"/>
      <c r="G911" s="1739"/>
    </row>
    <row r="912" spans="1:9" ht="12.8" customHeight="1">
      <c r="A912" s="1752"/>
      <c r="B912" s="798" t="s">
        <v>2518</v>
      </c>
      <c r="C912" s="1753"/>
      <c r="D912" s="1961" t="s">
        <v>2293</v>
      </c>
      <c r="E912" s="1961"/>
      <c r="F912" s="1961"/>
      <c r="G912" s="1754"/>
      <c r="I912" s="1774" t="s">
        <v>2506</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2518</v>
      </c>
      <c r="C922" s="486"/>
      <c r="D922" s="1962" t="s">
        <v>2509</v>
      </c>
      <c r="E922" s="1962"/>
      <c r="F922" s="1962"/>
      <c r="G922" s="1739"/>
      <c r="I922" s="1774" t="s">
        <v>2506</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874" t="s">
        <v>2507</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66" t="s">
        <v>2300</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61" t="s">
        <v>2508</v>
      </c>
      <c r="E942" s="1961"/>
      <c r="F942" s="1961"/>
      <c r="G942" s="1739"/>
      <c r="I942" s="1774" t="s">
        <v>2506</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2301</v>
      </c>
      <c r="E947" s="1885"/>
      <c r="F947" s="1885"/>
      <c r="G947" s="678"/>
    </row>
    <row r="948" spans="1:9" ht="12.8" customHeight="1">
      <c r="A948" s="714"/>
      <c r="B948" s="798" t="s">
        <v>2518</v>
      </c>
      <c r="C948" s="556"/>
      <c r="D948" s="1875" t="s">
        <v>2327</v>
      </c>
      <c r="E948" s="1875"/>
      <c r="F948" s="1875"/>
      <c r="G948" s="678"/>
      <c r="I948" s="1774" t="s">
        <v>2506</v>
      </c>
    </row>
    <row r="949" spans="1:9" ht="12.8" customHeight="1">
      <c r="A949" s="1742"/>
      <c r="B949" s="1742"/>
      <c r="C949" s="556"/>
      <c r="D949" s="6"/>
      <c r="E949" s="6"/>
      <c r="F949" s="6"/>
      <c r="G949" s="678"/>
    </row>
    <row r="950" spans="1:9" ht="12.8" customHeight="1">
      <c r="A950" s="1742"/>
      <c r="B950" s="1742"/>
      <c r="C950" s="556"/>
      <c r="D950" s="1885" t="s">
        <v>2302</v>
      </c>
      <c r="E950" s="1885"/>
      <c r="F950" s="1885"/>
      <c r="G950" s="677"/>
    </row>
    <row r="951" spans="1:9" ht="12.8" customHeight="1">
      <c r="A951" s="714"/>
      <c r="B951" s="798" t="s">
        <v>2519</v>
      </c>
      <c r="C951" s="556"/>
      <c r="D951" s="1862" t="s">
        <v>2303</v>
      </c>
      <c r="E951" s="1862"/>
      <c r="F951" s="1862"/>
      <c r="G951" s="677"/>
      <c r="I951" s="1774" t="s">
        <v>2506</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2304</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2328</v>
      </c>
      <c r="E969" s="1885"/>
      <c r="F969" s="1885"/>
      <c r="G969" s="678"/>
    </row>
    <row r="970" spans="1:9" ht="12.8" customHeight="1">
      <c r="A970" s="1714"/>
      <c r="B970" s="1714"/>
      <c r="C970" s="1746"/>
      <c r="D970" s="1875" t="s">
        <v>2305</v>
      </c>
      <c r="E970" s="1875"/>
      <c r="F970" s="1875"/>
      <c r="G970" s="678"/>
    </row>
    <row r="971" spans="1:9" ht="12.8" customHeight="1">
      <c r="A971" s="1714"/>
      <c r="B971" s="1714"/>
      <c r="C971" s="1746"/>
      <c r="D971" s="6"/>
      <c r="E971" s="6"/>
      <c r="F971" s="1738"/>
      <c r="G971" s="677"/>
    </row>
    <row r="972" spans="1:9" ht="12.8" customHeight="1">
      <c r="A972" s="1742"/>
      <c r="B972" s="798" t="s">
        <v>2519</v>
      </c>
      <c r="C972" s="556"/>
      <c r="D972" s="1871" t="s">
        <v>2306</v>
      </c>
      <c r="E972" s="1871"/>
      <c r="F972" s="1871"/>
      <c r="G972" s="677"/>
      <c r="I972" s="1774" t="s">
        <v>2484</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2518</v>
      </c>
      <c r="C981" s="313"/>
      <c r="D981" s="1863" t="s">
        <v>2307</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2518</v>
      </c>
      <c r="C986" s="313"/>
      <c r="D986" s="1863" t="s">
        <v>2308</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2518</v>
      </c>
      <c r="C989" s="556"/>
      <c r="D989" s="1875" t="s">
        <v>2309</v>
      </c>
      <c r="E989" s="1875"/>
      <c r="F989" s="1875"/>
      <c r="G989" s="677"/>
    </row>
    <row r="990" spans="1:7" ht="12.8" customHeight="1">
      <c r="A990" s="1742"/>
      <c r="B990" s="1742"/>
      <c r="C990" s="556"/>
      <c r="D990" s="6"/>
      <c r="E990" s="6"/>
      <c r="F990" s="6"/>
      <c r="G990" s="677"/>
    </row>
    <row r="991" spans="1:7" ht="12.8" customHeight="1">
      <c r="A991" s="714"/>
      <c r="B991" s="798" t="s">
        <v>2518</v>
      </c>
      <c r="C991" s="556"/>
      <c r="D991" s="1875" t="s">
        <v>2310</v>
      </c>
      <c r="E991" s="1875"/>
      <c r="F991" s="1875"/>
      <c r="G991" s="677"/>
    </row>
    <row r="992" spans="1:7" ht="12.8" customHeight="1">
      <c r="A992" s="1742"/>
      <c r="B992" s="1742"/>
      <c r="C992" s="556"/>
      <c r="D992" s="1708"/>
      <c r="E992" s="6"/>
      <c r="F992" s="6"/>
      <c r="G992" s="677"/>
    </row>
    <row r="993" spans="1:9" ht="12.8" customHeight="1">
      <c r="A993" s="714"/>
      <c r="B993" s="798" t="s">
        <v>2519</v>
      </c>
      <c r="C993" s="556"/>
      <c r="D993" s="1875" t="s">
        <v>2311</v>
      </c>
      <c r="E993" s="1875"/>
      <c r="F993" s="1875"/>
      <c r="G993" s="677"/>
    </row>
    <row r="994" spans="1:9" ht="12.8" customHeight="1">
      <c r="A994" s="1742"/>
      <c r="B994" s="1742"/>
      <c r="C994" s="556"/>
      <c r="D994" s="1708"/>
      <c r="E994" s="6"/>
      <c r="F994" s="6"/>
      <c r="G994" s="677"/>
    </row>
    <row r="995" spans="1:9" ht="12.8" customHeight="1">
      <c r="A995" s="714"/>
      <c r="B995" s="798" t="s">
        <v>2519</v>
      </c>
      <c r="C995" s="556"/>
      <c r="D995" s="1862" t="s">
        <v>2312</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2518</v>
      </c>
      <c r="C998" s="1759"/>
      <c r="D998" s="1929" t="s">
        <v>2313</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2518</v>
      </c>
      <c r="C1001" s="1759"/>
      <c r="D1001" s="1960" t="s">
        <v>2314</v>
      </c>
      <c r="E1001" s="1960"/>
      <c r="F1001" s="1960"/>
      <c r="G1001" s="1760"/>
    </row>
    <row r="1002" spans="1:9" ht="12.8" customHeight="1">
      <c r="A1002" s="1759"/>
      <c r="B1002" s="1759"/>
      <c r="C1002" s="1759"/>
      <c r="D1002" s="1761"/>
      <c r="E1002" s="1762"/>
      <c r="F1002" s="1762"/>
      <c r="G1002" s="1760"/>
    </row>
    <row r="1003" spans="1:9" ht="12.8" customHeight="1">
      <c r="A1003" s="714"/>
      <c r="B1003" s="798" t="s">
        <v>2518</v>
      </c>
      <c r="C1003" s="556"/>
      <c r="D1003" s="1875" t="s">
        <v>2315</v>
      </c>
      <c r="E1003" s="1875"/>
      <c r="F1003" s="1875"/>
      <c r="G1003" s="678"/>
    </row>
    <row r="1004" spans="1:9" ht="12.8" customHeight="1">
      <c r="A1004" s="714"/>
      <c r="B1004" s="714"/>
      <c r="C1004" s="556"/>
      <c r="D1004" s="1708"/>
      <c r="E1004" s="6"/>
      <c r="F1004" s="6"/>
      <c r="G1004" s="678"/>
    </row>
    <row r="1005" spans="1:9" ht="12.8" customHeight="1">
      <c r="A1005" s="714"/>
      <c r="B1005" s="798" t="s">
        <v>2518</v>
      </c>
      <c r="C1005" s="556"/>
      <c r="D1005" s="1862" t="s">
        <v>2316</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2317</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2318</v>
      </c>
      <c r="E1010" s="1921"/>
      <c r="F1010" s="1921"/>
      <c r="G1010" s="678"/>
    </row>
    <row r="1011" spans="1:9" ht="12.8" customHeight="1">
      <c r="A1011" s="1726"/>
      <c r="B1011" s="1726"/>
      <c r="C1011" s="557"/>
      <c r="D1011" s="1959" t="s">
        <v>2319</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2333</v>
      </c>
      <c r="E1013" s="1921"/>
      <c r="F1013" s="1921"/>
      <c r="G1013" s="678"/>
      <c r="I1013" s="1774" t="s">
        <v>2456</v>
      </c>
    </row>
    <row r="1014" spans="1:9" ht="12.8" customHeight="1">
      <c r="A1014" s="1742"/>
      <c r="B1014" s="798" t="s">
        <v>2519</v>
      </c>
      <c r="C1014" s="556"/>
      <c r="D1014" s="1959" t="s">
        <v>1502</v>
      </c>
      <c r="E1014" s="1959"/>
      <c r="F1014" s="1959"/>
      <c r="G1014" s="678"/>
    </row>
    <row r="1015" spans="1:9" s="1772" customFormat="1" ht="12.8" customHeight="1">
      <c r="A1015" s="1742"/>
      <c r="B1015" s="714"/>
      <c r="C1015" s="556"/>
      <c r="D1015" s="1956" t="s">
        <v>2320</v>
      </c>
      <c r="E1015" s="1956"/>
      <c r="F1015" s="1956"/>
      <c r="G1015" s="678"/>
      <c r="I1015" s="1774"/>
    </row>
    <row r="1016" spans="1:9" ht="12.8" customHeight="1">
      <c r="A1016" s="1742"/>
      <c r="B1016" s="1742"/>
      <c r="C1016" s="556"/>
      <c r="D1016" s="1959"/>
      <c r="E1016" s="1959"/>
      <c r="F1016" s="1959"/>
      <c r="G1016" s="678"/>
    </row>
    <row r="1017" spans="1:9" ht="12.8" customHeight="1">
      <c r="A1017" s="1951" t="s">
        <v>2329</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1503</v>
      </c>
      <c r="E1019" s="1935"/>
      <c r="F1019" s="1935"/>
      <c r="G1019" s="686"/>
    </row>
    <row r="1020" spans="1:9" ht="12.8" customHeight="1">
      <c r="A1020" s="254"/>
      <c r="B1020" s="1775" t="s">
        <v>2519</v>
      </c>
      <c r="C1020" s="1776"/>
      <c r="D1020" s="1938" t="s">
        <v>1502</v>
      </c>
      <c r="E1020" s="1938"/>
      <c r="F1020" s="1938"/>
      <c r="G1020" s="686"/>
    </row>
    <row r="1021" spans="1:9" ht="12.8" customHeight="1">
      <c r="A1021" s="254"/>
      <c r="B1021" s="1772"/>
      <c r="C1021" s="1776"/>
      <c r="D1021" s="1938" t="s">
        <v>2330</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1182</v>
      </c>
      <c r="E1023" s="1957"/>
      <c r="F1023" s="1957"/>
      <c r="G1023" s="686"/>
      <c r="I1023" s="1774" t="s">
        <v>2485</v>
      </c>
    </row>
    <row r="1024" spans="1:9" ht="12.8" customHeight="1">
      <c r="A1024" s="503"/>
      <c r="B1024" s="503"/>
      <c r="C1024" s="502"/>
      <c r="D1024" s="1958" t="s">
        <v>1199</v>
      </c>
      <c r="E1024" s="1958"/>
      <c r="F1024" s="1958"/>
      <c r="G1024" s="1763"/>
    </row>
    <row r="1025" spans="1:9" ht="12.8" customHeight="1">
      <c r="A1025" s="714"/>
      <c r="B1025" s="1775" t="s">
        <v>2518</v>
      </c>
      <c r="C1025" s="557"/>
      <c r="D1025" s="1928" t="s">
        <v>1067</v>
      </c>
      <c r="E1025" s="1928"/>
      <c r="F1025" s="1928"/>
      <c r="G1025" s="678"/>
    </row>
    <row r="1026" spans="1:9" ht="12.8"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2518</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2518</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2518</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2518</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25" zoomScaleNormal="12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2.9">
      <c r="A9" s="2448" t="s">
        <v>1988</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05" customHeight="1">
      <c r="A10" s="2103" t="s">
        <v>1989</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05" customHeight="1">
      <c r="A11" s="2448" t="s">
        <v>2009</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2.9">
      <c r="A12" s="2465" t="s">
        <v>2517</v>
      </c>
      <c r="B12" s="2466"/>
      <c r="C12" s="2466"/>
      <c r="D12" s="2466"/>
      <c r="E12" s="2466"/>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6"/>
      <c r="AK12" s="2466"/>
      <c r="AL12" s="2466"/>
      <c r="AM12" s="1516"/>
      <c r="AN12" s="1516"/>
      <c r="AO12" s="1516"/>
      <c r="AP12" s="1516"/>
      <c r="AQ12" s="1516"/>
      <c r="AR12" s="1516"/>
      <c r="AS12" s="1516"/>
      <c r="AT12" s="1516"/>
      <c r="AU12" s="1516"/>
      <c r="AV12" s="1516"/>
      <c r="AW12" s="1516"/>
      <c r="AX12" s="1516"/>
      <c r="AY12" s="1516"/>
    </row>
    <row r="13" spans="1:96" ht="12.9">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455" t="s">
        <v>2520</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8" customHeight="1"/>
    <row r="18" spans="1:96" ht="12.8" customHeight="1">
      <c r="A18" s="134" t="s">
        <v>106</v>
      </c>
      <c r="C18" s="7"/>
      <c r="D18" s="7"/>
      <c r="E18" s="7"/>
      <c r="F18" s="7"/>
      <c r="G18" s="7"/>
      <c r="H18" s="2309" t="s">
        <v>2641</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8" customHeight="1"/>
    <row r="20" spans="1:96" ht="14.25" customHeight="1">
      <c r="A20" s="2458" t="s">
        <v>934</v>
      </c>
      <c r="B20" s="2458"/>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1574"/>
      <c r="AN20" s="1574"/>
      <c r="AO20" s="1574"/>
      <c r="AP20" s="1574"/>
      <c r="AQ20" s="1574"/>
      <c r="AR20" s="1574"/>
      <c r="AS20" s="1574"/>
      <c r="AT20" s="1574"/>
      <c r="AU20" s="1574"/>
      <c r="AV20" s="1574"/>
      <c r="AW20" s="1574"/>
      <c r="AX20" s="1574"/>
      <c r="AY20" s="1574"/>
    </row>
    <row r="21" spans="1:96" ht="12.8" customHeight="1">
      <c r="A21" s="2468" t="s">
        <v>1113</v>
      </c>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67">
        <f>'Basis &amp; Credits'!AB56</f>
        <v>3955170</v>
      </c>
      <c r="N26" s="2467"/>
      <c r="O26" s="2467"/>
      <c r="P26" s="2467"/>
      <c r="Q26" s="2467"/>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7">
        <f>'Basis &amp; Credits'!AB77</f>
        <v>22818289</v>
      </c>
      <c r="N27" s="2027"/>
      <c r="O27" s="2027"/>
      <c r="P27" s="2027"/>
      <c r="Q27" s="2027"/>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2" t="s">
        <v>576</v>
      </c>
      <c r="P33" s="2032"/>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59"/>
      <c r="H122" s="2459"/>
      <c r="I122" s="239" t="s">
        <v>186</v>
      </c>
      <c r="L122" s="2459"/>
      <c r="M122" s="2459"/>
      <c r="N122" s="2459"/>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79"/>
      <c r="D124" s="2479"/>
      <c r="E124" s="2479"/>
      <c r="F124" s="2479"/>
      <c r="G124" s="2479"/>
      <c r="H124" s="2479"/>
      <c r="I124" s="2479"/>
      <c r="J124" s="2479"/>
      <c r="K124" s="247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459"/>
      <c r="Z126" s="2459"/>
      <c r="AA126" s="2459"/>
      <c r="AB126" s="2459"/>
      <c r="AC126" s="2459"/>
      <c r="AD126" s="2459"/>
      <c r="AE126" s="2459"/>
      <c r="AF126" s="2459"/>
      <c r="AG126" s="2459"/>
      <c r="AH126" s="2459"/>
      <c r="AI126" s="2459"/>
      <c r="AJ126" s="2459"/>
      <c r="AK126" s="2459"/>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47" t="s">
        <v>2521</v>
      </c>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t="s">
        <v>2522</v>
      </c>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69"/>
      <c r="G150" s="2469"/>
      <c r="H150" s="2469"/>
      <c r="I150" s="2469"/>
      <c r="J150" s="2469"/>
      <c r="K150" s="2469"/>
      <c r="L150" s="2469"/>
      <c r="M150" s="2469"/>
      <c r="N150" s="2469"/>
      <c r="O150" s="2469"/>
      <c r="P150" s="2469"/>
      <c r="Q150" s="2469"/>
      <c r="R150" s="2469"/>
      <c r="S150" s="2469"/>
      <c r="T150" s="24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309" t="s">
        <v>2642</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8" customHeight="1">
      <c r="D154" s="466" t="s">
        <v>461</v>
      </c>
      <c r="F154" s="32"/>
      <c r="G154" s="32"/>
      <c r="H154" s="32"/>
      <c r="I154" s="32"/>
      <c r="J154" s="32"/>
      <c r="K154" s="32"/>
      <c r="L154" s="32"/>
      <c r="M154" s="32"/>
      <c r="N154" s="32"/>
      <c r="O154" s="2088" t="s">
        <v>2643</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9">
      <c r="D155" s="13" t="s">
        <v>462</v>
      </c>
      <c r="F155" s="13"/>
      <c r="G155" s="13"/>
      <c r="H155" s="13"/>
      <c r="I155" s="13"/>
      <c r="J155" s="13"/>
      <c r="K155" s="13"/>
      <c r="L155" s="13"/>
      <c r="M155" s="13"/>
      <c r="N155" s="13"/>
      <c r="O155" s="2449" t="s">
        <v>2644</v>
      </c>
      <c r="P155" s="2450"/>
      <c r="Q155" s="2450"/>
      <c r="R155" s="2450"/>
      <c r="S155" s="2450"/>
      <c r="T155" s="2450"/>
      <c r="U155" s="2450"/>
      <c r="V155" s="2450"/>
      <c r="W155" s="2450"/>
      <c r="X155" s="2450"/>
      <c r="Y155" s="2450"/>
      <c r="Z155" s="2450"/>
      <c r="AA155" s="2450"/>
      <c r="AB155" s="2450"/>
      <c r="AC155" s="2450"/>
      <c r="AD155" s="2450"/>
      <c r="AE155" s="2450"/>
      <c r="AF155" s="2450"/>
      <c r="AG155" s="2450"/>
      <c r="AH155" s="2450"/>
      <c r="AZ155" s="25"/>
    </row>
    <row r="156" spans="1:96" ht="12.9">
      <c r="D156" s="32" t="s">
        <v>321</v>
      </c>
      <c r="F156" s="32"/>
      <c r="G156" s="32"/>
      <c r="H156" s="32"/>
      <c r="I156" s="32"/>
      <c r="J156" s="32"/>
      <c r="K156" s="32"/>
      <c r="L156" s="32"/>
      <c r="M156" s="32"/>
      <c r="N156" s="32"/>
      <c r="O156" s="2040" t="s">
        <v>2645</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9">
      <c r="D157" s="32" t="s">
        <v>322</v>
      </c>
      <c r="F157" s="32"/>
      <c r="G157" s="32"/>
      <c r="H157" s="32"/>
      <c r="I157" s="32"/>
      <c r="J157" s="32"/>
      <c r="K157" s="32"/>
      <c r="L157" s="32"/>
      <c r="M157" s="32"/>
      <c r="N157" s="32"/>
      <c r="O157" s="2309" t="s">
        <v>2646</v>
      </c>
      <c r="P157" s="2348"/>
      <c r="Q157" s="2348"/>
      <c r="R157" s="2348"/>
      <c r="S157" s="2348"/>
      <c r="T157" s="2348"/>
      <c r="U157" s="2348"/>
      <c r="V157" s="2348"/>
      <c r="W157" s="2348"/>
      <c r="X157" s="2348"/>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451">
        <v>92260</v>
      </c>
      <c r="P158" s="2451"/>
      <c r="Q158" s="2451"/>
      <c r="R158" s="2451"/>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453" t="s">
        <v>2647</v>
      </c>
      <c r="P159" s="2453"/>
      <c r="Q159" s="2453"/>
      <c r="R159" s="2453"/>
      <c r="S159" s="2453"/>
      <c r="T159" s="2453"/>
      <c r="V159" s="146" t="s">
        <v>276</v>
      </c>
      <c r="W159" s="2452"/>
      <c r="X159" s="2452"/>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453" t="s">
        <v>2648</v>
      </c>
      <c r="P160" s="2453"/>
      <c r="Q160" s="2453"/>
      <c r="R160" s="2453"/>
      <c r="S160" s="2453"/>
      <c r="T160" s="2453"/>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352" t="s">
        <v>2649</v>
      </c>
      <c r="P161" s="2352"/>
      <c r="Q161" s="2352"/>
      <c r="R161" s="2352"/>
      <c r="S161" s="2352"/>
      <c r="T161" s="2352"/>
      <c r="U161" s="2352"/>
      <c r="V161" s="2352"/>
      <c r="W161" s="2352"/>
      <c r="X161" s="2352"/>
      <c r="Y161" s="2352"/>
      <c r="Z161" s="2352"/>
      <c r="AA161" s="2352"/>
      <c r="AB161" s="2352"/>
      <c r="AC161" s="2352"/>
      <c r="AD161" s="2352"/>
      <c r="AE161" s="2352"/>
      <c r="AF161" s="2352"/>
      <c r="AG161" s="2352"/>
      <c r="AH161" s="2352"/>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480" t="s">
        <v>1453</v>
      </c>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2480"/>
      <c r="AB164" s="2480"/>
      <c r="AC164" s="2480"/>
      <c r="AD164" s="2480"/>
      <c r="AE164" s="2480"/>
      <c r="AF164" s="2480"/>
      <c r="AG164" s="2480"/>
      <c r="AH164" s="2480"/>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371" t="s">
        <v>570</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470" t="s">
        <v>388</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2" t="s">
        <v>704</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9"/>
      <c r="V176" s="2049"/>
      <c r="W176" s="4" t="s">
        <v>314</v>
      </c>
      <c r="X176" s="2473"/>
      <c r="Y176" s="247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2" t="s">
        <v>704</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0"/>
      <c r="AG178" s="2310"/>
      <c r="AH178" s="4" t="s">
        <v>314</v>
      </c>
      <c r="AI178" s="2429"/>
      <c r="AJ178" s="2429"/>
      <c r="AK178" s="2429"/>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2" t="s">
        <v>704</v>
      </c>
      <c r="Y180" s="2032"/>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22" t="str">
        <f>H18</f>
        <v>Vitalia Apartments</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4"/>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463" t="s">
        <v>2650</v>
      </c>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2463"/>
      <c r="AE187" s="246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2464"/>
      <c r="AE188" s="246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40" t="s">
        <v>2646</v>
      </c>
      <c r="J189" s="2040"/>
      <c r="K189" s="2040"/>
      <c r="L189" s="2040"/>
      <c r="M189" s="2040"/>
      <c r="N189" s="2040"/>
      <c r="O189" s="2040"/>
      <c r="P189" s="2040"/>
      <c r="Q189" s="25" t="s">
        <v>615</v>
      </c>
      <c r="T189" s="2040" t="s">
        <v>70</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4">
        <v>92211</v>
      </c>
      <c r="J190" s="2034"/>
      <c r="K190" s="2034"/>
      <c r="L190" s="2034"/>
      <c r="M190" s="2034"/>
      <c r="N190" s="2034"/>
      <c r="O190" s="25" t="s">
        <v>618</v>
      </c>
      <c r="P190" s="25"/>
      <c r="Q190" s="25"/>
      <c r="R190" s="25"/>
      <c r="S190" s="25"/>
      <c r="T190" s="2461">
        <v>449.22</v>
      </c>
      <c r="U190" s="2461"/>
      <c r="V190" s="2461"/>
      <c r="W190" s="2461"/>
      <c r="X190" s="2461"/>
      <c r="Y190" s="2461"/>
      <c r="Z190" s="2461"/>
      <c r="AA190" s="2461"/>
      <c r="AB190" s="2461"/>
      <c r="AC190" s="2461"/>
      <c r="AD190" s="2461"/>
      <c r="AE190" s="2461"/>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463" t="s">
        <v>2651</v>
      </c>
      <c r="O191" s="2463"/>
      <c r="P191" s="2463"/>
      <c r="Q191" s="2463"/>
      <c r="R191" s="2463"/>
      <c r="S191" s="2463"/>
      <c r="T191" s="2463"/>
      <c r="U191" s="2463"/>
      <c r="V191" s="2463"/>
      <c r="W191" s="2463"/>
      <c r="X191" s="2463"/>
      <c r="Y191" s="2463"/>
      <c r="Z191" s="2463"/>
      <c r="AA191" s="2463"/>
      <c r="AB191" s="2463"/>
      <c r="AC191" s="2463"/>
      <c r="AD191" s="2463"/>
      <c r="AE191" s="246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464"/>
      <c r="O192" s="2464"/>
      <c r="P192" s="2464"/>
      <c r="Q192" s="2464"/>
      <c r="R192" s="2464"/>
      <c r="S192" s="2464"/>
      <c r="T192" s="2464"/>
      <c r="U192" s="2464"/>
      <c r="V192" s="2464"/>
      <c r="W192" s="2464"/>
      <c r="X192" s="2464"/>
      <c r="Y192" s="2464"/>
      <c r="Z192" s="2464"/>
      <c r="AA192" s="2464"/>
      <c r="AB192" s="2464"/>
      <c r="AC192" s="2464"/>
      <c r="AD192" s="2464"/>
      <c r="AE192" s="246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476" t="s">
        <v>2652</v>
      </c>
      <c r="U193" s="2476"/>
      <c r="V193" s="2476"/>
      <c r="W193" s="2476"/>
      <c r="X193" s="2476"/>
      <c r="Y193" s="2476"/>
      <c r="Z193" s="2476"/>
      <c r="AA193" s="2476"/>
      <c r="AB193" s="2476"/>
      <c r="AC193" s="2476"/>
      <c r="AD193" s="2476"/>
      <c r="AE193" s="2476"/>
      <c r="AF193" s="2476"/>
      <c r="AG193" s="2476"/>
      <c r="AH193" s="2476"/>
      <c r="AI193" s="2476"/>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2" t="s">
        <v>576</v>
      </c>
      <c r="U194" s="2032"/>
      <c r="W194" s="25" t="s">
        <v>720</v>
      </c>
      <c r="X194" s="25"/>
      <c r="Y194" s="25"/>
      <c r="Z194" s="25"/>
      <c r="AA194" s="25"/>
      <c r="AB194" s="25"/>
      <c r="AC194" s="25"/>
      <c r="AD194" s="25"/>
      <c r="AE194" s="25"/>
      <c r="AF194" s="25"/>
      <c r="AG194" s="25"/>
      <c r="AH194" s="2032">
        <v>36</v>
      </c>
      <c r="AI194" s="2032"/>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195" t="s">
        <v>704</v>
      </c>
      <c r="U195" s="2195"/>
      <c r="V195" s="12"/>
      <c r="W195" s="25" t="s">
        <v>721</v>
      </c>
      <c r="X195" s="25"/>
      <c r="Y195" s="25"/>
      <c r="Z195" s="25"/>
      <c r="AA195" s="25"/>
      <c r="AB195" s="25"/>
      <c r="AC195" s="25"/>
      <c r="AD195" s="25"/>
      <c r="AE195" s="25"/>
      <c r="AF195" s="25"/>
      <c r="AG195" s="25"/>
      <c r="AH195" s="2032">
        <v>42</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195" t="s">
        <v>704</v>
      </c>
      <c r="U196" s="2195"/>
      <c r="W196" s="25" t="s">
        <v>722</v>
      </c>
      <c r="X196" s="25"/>
      <c r="Y196" s="25"/>
      <c r="Z196" s="25"/>
      <c r="AA196" s="25"/>
      <c r="AB196" s="25"/>
      <c r="AC196" s="25"/>
      <c r="AD196" s="25"/>
      <c r="AE196" s="25"/>
      <c r="AF196" s="25"/>
      <c r="AG196" s="25"/>
      <c r="AH196" s="2032">
        <v>28</v>
      </c>
      <c r="AI196" s="2032"/>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195" t="s">
        <v>624</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2" t="s">
        <v>704</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22" t="s">
        <v>402</v>
      </c>
      <c r="E203" s="2022"/>
      <c r="F203" s="2022"/>
      <c r="G203" s="2022"/>
      <c r="H203" s="2022"/>
      <c r="I203" s="2022"/>
      <c r="J203" s="2022"/>
      <c r="K203" s="2022"/>
      <c r="L203" s="2022"/>
      <c r="M203" s="2022"/>
      <c r="P203" s="2456">
        <f>M26</f>
        <v>3955170</v>
      </c>
      <c r="Q203" s="2457"/>
      <c r="R203" s="2457"/>
      <c r="S203" s="2457"/>
      <c r="T203" s="2457"/>
      <c r="U203" s="2457"/>
      <c r="V203" s="25"/>
      <c r="W203" s="25"/>
      <c r="X203" s="25"/>
      <c r="Y203" s="25"/>
      <c r="Z203" s="2471" t="s">
        <v>2524</v>
      </c>
      <c r="AA203" s="2471"/>
      <c r="AB203" s="2471"/>
      <c r="AC203" s="2471"/>
      <c r="AD203" s="2471"/>
      <c r="AE203" s="2471"/>
      <c r="AF203" s="2471"/>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477" t="s">
        <v>1474</v>
      </c>
      <c r="E204" s="2022"/>
      <c r="F204" s="2022"/>
      <c r="G204" s="2022"/>
      <c r="H204" s="2022"/>
      <c r="I204" s="2022"/>
      <c r="J204" s="2022"/>
      <c r="K204" s="2022"/>
      <c r="L204" s="2022"/>
      <c r="M204" s="2022"/>
      <c r="P204" s="2457">
        <f>M27</f>
        <v>22818289</v>
      </c>
      <c r="Q204" s="2457"/>
      <c r="R204" s="2457"/>
      <c r="S204" s="2457"/>
      <c r="T204" s="2457"/>
      <c r="U204" s="2457"/>
      <c r="V204" s="47"/>
      <c r="W204" s="58" t="s">
        <v>2216</v>
      </c>
      <c r="Z204" s="2471"/>
      <c r="AA204" s="2471"/>
      <c r="AB204" s="2471"/>
      <c r="AC204" s="2471"/>
      <c r="AD204" s="2471"/>
      <c r="AE204" s="2471"/>
      <c r="AF204" s="2471"/>
      <c r="AG204" s="25" t="s">
        <v>1475</v>
      </c>
      <c r="AH204" s="25"/>
      <c r="AI204" s="25"/>
      <c r="AJ204" s="25"/>
      <c r="AK204" s="25"/>
      <c r="AL204" s="25"/>
      <c r="AM204" s="25"/>
      <c r="AN204" s="25"/>
      <c r="AO204" s="25"/>
      <c r="AP204" s="2032" t="s">
        <v>704</v>
      </c>
      <c r="AQ204" s="2032"/>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348" t="s">
        <v>2609</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348" t="s">
        <v>1152</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544" t="s">
        <v>624</v>
      </c>
      <c r="E213" s="2544"/>
      <c r="F213" s="2544"/>
      <c r="G213" s="2544"/>
      <c r="H213" s="2544"/>
      <c r="I213" s="2544"/>
      <c r="J213" s="2544"/>
      <c r="K213" s="2544"/>
      <c r="L213" s="2544"/>
      <c r="M213" s="2544"/>
      <c r="N213" s="2544"/>
      <c r="O213" s="2544"/>
      <c r="P213" s="2544"/>
      <c r="Q213" s="2544"/>
      <c r="R213" s="2544"/>
      <c r="S213" s="2544"/>
      <c r="T213" s="2544"/>
      <c r="U213" s="2544"/>
      <c r="V213" s="2544"/>
      <c r="W213" s="2544"/>
      <c r="X213" s="2544"/>
      <c r="Y213" s="2544"/>
      <c r="Z213" s="2544"/>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348" t="s">
        <v>1178</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371" t="s">
        <v>571</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624</v>
      </c>
      <c r="AJ225" s="2032"/>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576</v>
      </c>
      <c r="AJ226" s="2032"/>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624</v>
      </c>
      <c r="AJ227" s="2032"/>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624</v>
      </c>
      <c r="AJ228" s="2032"/>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462" t="str">
        <f>H16</f>
        <v>Central Valley Coalition for Affordable Housing, a California Nonprofit Public Benefit Corporation</v>
      </c>
      <c r="N231" s="2462"/>
      <c r="O231" s="2462"/>
      <c r="P231" s="2462"/>
      <c r="Q231" s="2462"/>
      <c r="R231" s="2462"/>
      <c r="S231" s="2462"/>
      <c r="T231" s="2462"/>
      <c r="U231" s="2462"/>
      <c r="V231" s="2462"/>
      <c r="W231" s="2462"/>
      <c r="X231" s="2462"/>
      <c r="Y231" s="2462"/>
      <c r="Z231" s="2462"/>
      <c r="AA231" s="2462"/>
      <c r="AB231" s="2462"/>
      <c r="AC231" s="2462"/>
      <c r="AD231" s="2462"/>
      <c r="AE231" s="2462"/>
      <c r="AF231" s="2462"/>
      <c r="AG231" s="2462"/>
      <c r="AH231" s="2462"/>
      <c r="AI231" s="2462"/>
      <c r="AJ231" s="2462"/>
      <c r="AK231" s="2462"/>
      <c r="BA231" s="58"/>
      <c r="BB231" s="384"/>
      <c r="BG231" s="387"/>
      <c r="BQ231" s="61"/>
    </row>
    <row r="232" spans="1:69" ht="12.9">
      <c r="D232" s="57" t="s">
        <v>90</v>
      </c>
      <c r="E232" s="57"/>
      <c r="F232" s="57"/>
      <c r="G232" s="57"/>
      <c r="H232" s="57"/>
      <c r="I232" s="57"/>
      <c r="J232" s="57"/>
      <c r="K232" s="7"/>
      <c r="M232" s="2309" t="s">
        <v>2525</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569</v>
      </c>
      <c r="BG232" s="389">
        <f>IF(AND(AND($M$248="nonprofit",$M$256="nonprofit",$M$264="for profit")),2,0)</f>
        <v>0</v>
      </c>
      <c r="BQ232" s="61"/>
    </row>
    <row r="233" spans="1:69" ht="12.9">
      <c r="D233" s="57" t="s">
        <v>613</v>
      </c>
      <c r="E233" s="57"/>
      <c r="M233" s="2309" t="s">
        <v>58</v>
      </c>
      <c r="N233" s="2348"/>
      <c r="O233" s="2348"/>
      <c r="P233" s="2348"/>
      <c r="Q233" s="2348"/>
      <c r="R233" s="2348"/>
      <c r="S233" s="2348"/>
      <c r="T233" s="2348"/>
      <c r="V233" s="59" t="s">
        <v>91</v>
      </c>
      <c r="W233" s="2088" t="s">
        <v>2526</v>
      </c>
      <c r="X233" s="2033"/>
      <c r="Y233" s="57" t="s">
        <v>616</v>
      </c>
      <c r="AC233" s="2348">
        <v>95348</v>
      </c>
      <c r="AD233" s="2348"/>
      <c r="AE233" s="2348"/>
      <c r="BB233" s="334" t="s">
        <v>569</v>
      </c>
      <c r="BG233" s="389">
        <f>IF(AND(AND($M$248="nonprofit",$M$256="for profit",$M$264="nonprofit")),2,0)</f>
        <v>0</v>
      </c>
    </row>
    <row r="234" spans="1:69" ht="12.9">
      <c r="D234" s="60" t="s">
        <v>92</v>
      </c>
      <c r="E234" s="7"/>
      <c r="F234" s="7"/>
      <c r="G234" s="7"/>
      <c r="H234" s="7"/>
      <c r="I234" s="7"/>
      <c r="J234" s="7"/>
      <c r="K234" s="29"/>
      <c r="M234" s="2309" t="s">
        <v>2521</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321" t="s">
        <v>2527</v>
      </c>
      <c r="N235" s="2064"/>
      <c r="O235" s="2064"/>
      <c r="P235" s="2064"/>
      <c r="Q235" s="2064"/>
      <c r="R235" s="2064"/>
      <c r="S235" s="7" t="s">
        <v>211</v>
      </c>
      <c r="T235" s="7"/>
      <c r="U235" s="2033"/>
      <c r="V235" s="2033"/>
      <c r="W235" s="2033"/>
      <c r="X235" s="7" t="s">
        <v>94</v>
      </c>
      <c r="Z235" s="2321" t="s">
        <v>2528</v>
      </c>
      <c r="AA235" s="2064"/>
      <c r="AB235" s="2064"/>
      <c r="AC235" s="2064"/>
      <c r="AD235" s="2064"/>
      <c r="AE235" s="2064"/>
      <c r="BB235" s="385"/>
      <c r="BG235" s="386"/>
    </row>
    <row r="236" spans="1:69" ht="12.9">
      <c r="D236" s="60" t="s">
        <v>95</v>
      </c>
      <c r="E236" s="7"/>
      <c r="F236" s="7"/>
      <c r="M236" s="2352" t="s">
        <v>2529</v>
      </c>
      <c r="N236" s="2352"/>
      <c r="O236" s="2352"/>
      <c r="P236" s="2352"/>
      <c r="Q236" s="2352"/>
      <c r="R236" s="2352"/>
      <c r="S236" s="2352"/>
      <c r="T236" s="2352"/>
      <c r="U236" s="2352"/>
      <c r="V236" s="2352"/>
      <c r="W236" s="2352"/>
      <c r="X236" s="2352"/>
      <c r="Y236" s="2352"/>
      <c r="Z236" s="2352"/>
      <c r="AA236" s="2352"/>
      <c r="AB236" s="2352"/>
      <c r="AC236" s="2352"/>
      <c r="AD236" s="2352"/>
      <c r="AE236" s="23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4" t="s">
        <v>394</v>
      </c>
      <c r="N237" s="2034"/>
      <c r="O237" s="2034"/>
      <c r="P237" s="2034"/>
      <c r="Q237" s="2034"/>
      <c r="R237" s="2034"/>
      <c r="S237" s="2034"/>
      <c r="T237" s="2034"/>
      <c r="U237" s="387" t="s">
        <v>973</v>
      </c>
      <c r="V237" s="325"/>
      <c r="W237" s="325"/>
      <c r="X237" s="325"/>
      <c r="Y237" s="325"/>
      <c r="Z237" s="325"/>
      <c r="AA237" s="2474" t="s">
        <v>624</v>
      </c>
      <c r="AB237" s="2475"/>
      <c r="AC237" s="2475"/>
      <c r="AD237" s="2475"/>
      <c r="AE237" s="2475"/>
      <c r="AF237" s="2475"/>
      <c r="AG237" s="2475"/>
      <c r="AH237" s="2475"/>
      <c r="AI237" s="2475"/>
      <c r="AJ237" s="2475"/>
      <c r="AK237" s="247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455" t="s">
        <v>2530</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2531</v>
      </c>
      <c r="AG242" s="2445"/>
      <c r="AH242" s="2445"/>
      <c r="AI242" s="2445"/>
      <c r="AJ242" s="2445"/>
      <c r="AK242" s="244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9" t="s">
        <v>2532</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309" t="s">
        <v>2533</v>
      </c>
      <c r="N244" s="2348"/>
      <c r="O244" s="2348"/>
      <c r="P244" s="2348"/>
      <c r="Q244" s="2348"/>
      <c r="R244" s="2348"/>
      <c r="S244" s="2348"/>
      <c r="T244" s="2348"/>
      <c r="V244" s="59" t="s">
        <v>91</v>
      </c>
      <c r="W244" s="2088" t="s">
        <v>2534</v>
      </c>
      <c r="X244" s="2033"/>
      <c r="Y244" s="57" t="s">
        <v>616</v>
      </c>
      <c r="AC244" s="2348">
        <v>83616</v>
      </c>
      <c r="AD244" s="2348"/>
      <c r="AE244" s="2348"/>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309" t="s">
        <v>2535</v>
      </c>
      <c r="N245" s="2348"/>
      <c r="O245" s="2348"/>
      <c r="P245" s="2348"/>
      <c r="Q245" s="2348"/>
      <c r="R245" s="2348"/>
      <c r="S245" s="2348"/>
      <c r="T245" s="2348"/>
      <c r="U245" s="2348"/>
      <c r="V245" s="2348"/>
      <c r="W245" s="2348"/>
      <c r="X245" s="2348"/>
      <c r="Y245" s="2348"/>
      <c r="Z245" s="2348"/>
      <c r="AA245" s="2348"/>
      <c r="AB245" s="2348"/>
      <c r="AC245" s="2348"/>
      <c r="AD245" s="2348"/>
      <c r="AE245" s="2348"/>
      <c r="AH245" s="2454">
        <v>5.0000000000000001E-3</v>
      </c>
      <c r="AI245" s="2454"/>
      <c r="AJ245" s="2454"/>
      <c r="AK245" s="2454"/>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321" t="s">
        <v>2536</v>
      </c>
      <c r="N246" s="2064"/>
      <c r="O246" s="2064"/>
      <c r="P246" s="2064"/>
      <c r="Q246" s="2064"/>
      <c r="R246" s="2064"/>
      <c r="S246" s="7" t="s">
        <v>211</v>
      </c>
      <c r="T246" s="7"/>
      <c r="U246" s="2033">
        <v>3015</v>
      </c>
      <c r="V246" s="2033"/>
      <c r="W246" s="2033"/>
      <c r="X246" s="7" t="s">
        <v>94</v>
      </c>
      <c r="Z246" s="2321" t="s">
        <v>2537</v>
      </c>
      <c r="AA246" s="2064"/>
      <c r="AB246" s="2064"/>
      <c r="AC246" s="2064"/>
      <c r="AD246" s="2064"/>
      <c r="AE246" s="2064"/>
      <c r="BB246" s="7" t="s">
        <v>177</v>
      </c>
      <c r="BG246" s="12">
        <v>3</v>
      </c>
      <c r="BH246" s="12" t="s">
        <v>567</v>
      </c>
      <c r="BN246" s="390"/>
      <c r="BO246" s="39"/>
    </row>
    <row r="247" spans="1:72" ht="12.9">
      <c r="A247" s="29"/>
      <c r="B247" s="7"/>
      <c r="C247" s="7"/>
      <c r="D247" s="60" t="s">
        <v>95</v>
      </c>
      <c r="E247" s="7"/>
      <c r="F247" s="7"/>
      <c r="M247" s="2352" t="s">
        <v>2538</v>
      </c>
      <c r="N247" s="2352"/>
      <c r="O247" s="2352"/>
      <c r="P247" s="2352"/>
      <c r="Q247" s="2352"/>
      <c r="R247" s="2352"/>
      <c r="S247" s="2352"/>
      <c r="T247" s="2352"/>
      <c r="U247" s="2352"/>
      <c r="V247" s="2352"/>
      <c r="W247" s="2352"/>
      <c r="X247" s="2352"/>
      <c r="Y247" s="2352"/>
      <c r="Z247" s="2352"/>
      <c r="AA247" s="2352"/>
      <c r="AB247" s="2352"/>
      <c r="AC247" s="2352"/>
      <c r="AD247" s="2352"/>
      <c r="AE247" s="23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4" t="s">
        <v>567</v>
      </c>
      <c r="N248" s="2034"/>
      <c r="O248" s="2034"/>
      <c r="P248" s="2034"/>
      <c r="Q248" s="2034"/>
      <c r="R248" s="2034"/>
      <c r="S248" s="2034"/>
      <c r="T248" s="2034"/>
      <c r="U248" s="387" t="s">
        <v>973</v>
      </c>
      <c r="V248" s="325"/>
      <c r="W248" s="325"/>
      <c r="X248" s="325"/>
      <c r="Y248" s="325"/>
      <c r="Z248" s="325"/>
      <c r="AA248" s="2474" t="s">
        <v>2539</v>
      </c>
      <c r="AB248" s="2475"/>
      <c r="AC248" s="2475"/>
      <c r="AD248" s="2475"/>
      <c r="AE248" s="2475"/>
      <c r="AF248" s="2475"/>
      <c r="AG248" s="2475"/>
      <c r="AH248" s="2475"/>
      <c r="AI248" s="2475"/>
      <c r="AJ248" s="2475"/>
      <c r="AK248" s="2475"/>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455" t="s">
        <v>2540</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2541</v>
      </c>
      <c r="AG250" s="2445"/>
      <c r="AH250" s="2445"/>
      <c r="AI250" s="2445"/>
      <c r="AJ250" s="2445"/>
      <c r="AK250" s="2445"/>
      <c r="BN250" s="61"/>
    </row>
    <row r="251" spans="1:72" ht="12.9">
      <c r="A251" s="29"/>
      <c r="B251" s="7"/>
      <c r="C251" s="7"/>
      <c r="D251" s="57" t="s">
        <v>90</v>
      </c>
      <c r="E251" s="57"/>
      <c r="F251" s="57"/>
      <c r="G251" s="57"/>
      <c r="H251" s="57"/>
      <c r="I251" s="57"/>
      <c r="J251" s="57"/>
      <c r="K251" s="57"/>
      <c r="L251" s="7"/>
      <c r="M251" s="2309" t="s">
        <v>2525</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309" t="s">
        <v>58</v>
      </c>
      <c r="N252" s="2348"/>
      <c r="O252" s="2348"/>
      <c r="P252" s="2348"/>
      <c r="Q252" s="2348"/>
      <c r="R252" s="2348"/>
      <c r="S252" s="2348"/>
      <c r="T252" s="2348"/>
      <c r="V252" s="59" t="s">
        <v>91</v>
      </c>
      <c r="W252" s="2088" t="s">
        <v>2526</v>
      </c>
      <c r="X252" s="2033"/>
      <c r="Y252" s="57" t="s">
        <v>616</v>
      </c>
      <c r="AC252" s="2348">
        <v>95348</v>
      </c>
      <c r="AD252" s="2348"/>
      <c r="AE252" s="2348"/>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309" t="s">
        <v>2521</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4">
        <v>5.0000000000000001E-3</v>
      </c>
      <c r="AI253" s="2454"/>
      <c r="AJ253" s="2454"/>
      <c r="AK253" s="2454"/>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21" t="s">
        <v>2527</v>
      </c>
      <c r="N254" s="2064"/>
      <c r="O254" s="2064"/>
      <c r="P254" s="2064"/>
      <c r="Q254" s="2064"/>
      <c r="R254" s="2064"/>
      <c r="S254" s="7" t="s">
        <v>211</v>
      </c>
      <c r="T254" s="7"/>
      <c r="U254" s="2033"/>
      <c r="V254" s="2033"/>
      <c r="W254" s="2033"/>
      <c r="X254" s="7" t="s">
        <v>94</v>
      </c>
      <c r="Z254" s="2321" t="s">
        <v>2528</v>
      </c>
      <c r="AA254" s="2064"/>
      <c r="AB254" s="2064"/>
      <c r="AC254" s="2064"/>
      <c r="AD254" s="2064"/>
      <c r="AE254" s="2064"/>
    </row>
    <row r="255" spans="1:72" ht="12.9">
      <c r="A255" s="29"/>
      <c r="B255" s="7"/>
      <c r="C255" s="7"/>
      <c r="D255" s="60" t="s">
        <v>95</v>
      </c>
      <c r="E255" s="7"/>
      <c r="F255" s="7"/>
      <c r="M255" s="2352" t="s">
        <v>2529</v>
      </c>
      <c r="N255" s="2352"/>
      <c r="O255" s="2352"/>
      <c r="P255" s="2352"/>
      <c r="Q255" s="2352"/>
      <c r="R255" s="2352"/>
      <c r="S255" s="2352"/>
      <c r="T255" s="2352"/>
      <c r="U255" s="2352"/>
      <c r="V255" s="2352"/>
      <c r="W255" s="2352"/>
      <c r="X255" s="2352"/>
      <c r="Y255" s="2352"/>
      <c r="Z255" s="2352"/>
      <c r="AA255" s="2352"/>
      <c r="AB255" s="2352"/>
      <c r="AC255" s="2352"/>
      <c r="AD255" s="2352"/>
      <c r="AE255" s="23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4" t="s">
        <v>565</v>
      </c>
      <c r="N256" s="2034"/>
      <c r="O256" s="2034"/>
      <c r="P256" s="2034"/>
      <c r="Q256" s="2034"/>
      <c r="R256" s="2034"/>
      <c r="S256" s="2034"/>
      <c r="T256" s="2034"/>
      <c r="U256" s="387" t="s">
        <v>973</v>
      </c>
      <c r="V256" s="325"/>
      <c r="W256" s="325"/>
      <c r="X256" s="325"/>
      <c r="Y256" s="325"/>
      <c r="Z256" s="325"/>
      <c r="AA256" s="2474" t="s">
        <v>624</v>
      </c>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315</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348"/>
      <c r="N260" s="2348"/>
      <c r="O260" s="2348"/>
      <c r="P260" s="2348"/>
      <c r="Q260" s="2348"/>
      <c r="R260" s="2348"/>
      <c r="S260" s="2348"/>
      <c r="T260" s="2348"/>
      <c r="V260" s="59" t="s">
        <v>91</v>
      </c>
      <c r="W260" s="2033"/>
      <c r="X260" s="2033"/>
      <c r="Y260" s="57" t="s">
        <v>616</v>
      </c>
      <c r="AC260" s="2348"/>
      <c r="AD260" s="2348"/>
      <c r="AE260" s="234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4"/>
      <c r="AI261" s="2454"/>
      <c r="AJ261" s="2454"/>
      <c r="AK261" s="2454"/>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4"/>
      <c r="N262" s="2064"/>
      <c r="O262" s="2064"/>
      <c r="P262" s="2064"/>
      <c r="Q262" s="2064"/>
      <c r="R262" s="2064"/>
      <c r="S262" s="7" t="s">
        <v>211</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52"/>
      <c r="N263" s="2352"/>
      <c r="O263" s="2352"/>
      <c r="P263" s="2352"/>
      <c r="Q263" s="2352"/>
      <c r="R263" s="2352"/>
      <c r="S263" s="2352"/>
      <c r="T263" s="2352"/>
      <c r="U263" s="2352"/>
      <c r="V263" s="2352"/>
      <c r="W263" s="2352"/>
      <c r="X263" s="2352"/>
      <c r="Y263" s="2352"/>
      <c r="Z263" s="2352"/>
      <c r="AA263" s="2478"/>
      <c r="AB263" s="2478"/>
      <c r="AC263" s="2478"/>
      <c r="AD263" s="2478"/>
      <c r="AE263" s="24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4" t="s">
        <v>315</v>
      </c>
      <c r="N264" s="2034"/>
      <c r="O264" s="2034"/>
      <c r="P264" s="2034"/>
      <c r="Q264" s="2034"/>
      <c r="R264" s="2034"/>
      <c r="S264" s="2034"/>
      <c r="T264" s="2034"/>
      <c r="U264" s="387" t="s">
        <v>973</v>
      </c>
      <c r="V264" s="325"/>
      <c r="W264" s="325"/>
      <c r="X264" s="325"/>
      <c r="Y264" s="325"/>
      <c r="Z264" s="325"/>
      <c r="AA264" s="2460"/>
      <c r="AB264" s="2460"/>
      <c r="AC264" s="2460"/>
      <c r="AD264" s="2460"/>
      <c r="AE264" s="2460"/>
      <c r="AF264" s="2460"/>
      <c r="AG264" s="2460"/>
      <c r="AH264" s="2460"/>
      <c r="AI264" s="2460"/>
      <c r="AJ264" s="2460"/>
      <c r="AK264" s="246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446" t="str">
        <f>BO245</f>
        <v>Joint Venture</v>
      </c>
      <c r="U266" s="2446"/>
      <c r="V266" s="2446"/>
      <c r="W266" s="2446"/>
      <c r="X266" s="2446"/>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8" t="s">
        <v>285</v>
      </c>
      <c r="E269" s="2348"/>
      <c r="F269" s="2348"/>
      <c r="G269" s="2348"/>
      <c r="H269" s="2348"/>
      <c r="J269" s="12" t="s">
        <v>284</v>
      </c>
      <c r="X269" s="2334"/>
      <c r="Y269" s="2334"/>
      <c r="Z269" s="2334"/>
      <c r="AA269" s="2334"/>
      <c r="AB269" s="2334"/>
      <c r="AC269" s="2334"/>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455" t="s">
        <v>2542</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9" t="s">
        <v>2532</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309" t="s">
        <v>2533</v>
      </c>
      <c r="M275" s="2348"/>
      <c r="N275" s="2348"/>
      <c r="O275" s="2348"/>
      <c r="P275" s="2348"/>
      <c r="Q275" s="2348"/>
      <c r="R275" s="2348"/>
      <c r="S275" s="2348"/>
      <c r="U275" s="59" t="s">
        <v>91</v>
      </c>
      <c r="V275" s="2088" t="s">
        <v>2534</v>
      </c>
      <c r="W275" s="2033"/>
      <c r="X275" s="57" t="s">
        <v>616</v>
      </c>
      <c r="AB275" s="2348">
        <v>83616</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9" t="s">
        <v>2543</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21" t="s">
        <v>2544</v>
      </c>
      <c r="M277" s="2064"/>
      <c r="N277" s="2064"/>
      <c r="O277" s="2064"/>
      <c r="P277" s="2064"/>
      <c r="Q277" s="2064"/>
      <c r="R277" s="7" t="s">
        <v>211</v>
      </c>
      <c r="S277" s="7"/>
      <c r="T277" s="2033"/>
      <c r="U277" s="2033"/>
      <c r="V277" s="2033"/>
      <c r="W277" s="7" t="s">
        <v>94</v>
      </c>
      <c r="Y277" s="2321" t="s">
        <v>2537</v>
      </c>
      <c r="Z277" s="2064"/>
      <c r="AA277" s="2064"/>
      <c r="AB277" s="2064"/>
      <c r="AC277" s="2064"/>
      <c r="AD277" s="2064"/>
      <c r="BN277" s="61"/>
    </row>
    <row r="278" spans="1:66" ht="12.9">
      <c r="D278" s="60" t="s">
        <v>95</v>
      </c>
      <c r="E278" s="7"/>
      <c r="F278" s="7"/>
      <c r="L278" s="2352" t="s">
        <v>2545</v>
      </c>
      <c r="M278" s="2352"/>
      <c r="N278" s="2352"/>
      <c r="O278" s="2352"/>
      <c r="P278" s="2352"/>
      <c r="Q278" s="2352"/>
      <c r="R278" s="2352"/>
      <c r="S278" s="2352"/>
      <c r="T278" s="2352"/>
      <c r="U278" s="2352"/>
      <c r="V278" s="2352"/>
      <c r="W278" s="2352"/>
      <c r="X278" s="2352"/>
      <c r="Y278" s="2352"/>
      <c r="Z278" s="2352"/>
      <c r="AA278" s="2352"/>
      <c r="AB278" s="2352"/>
      <c r="AC278" s="2352"/>
      <c r="AD278" s="2352"/>
      <c r="AF278" s="7"/>
      <c r="AG278" s="7"/>
      <c r="AH278" s="7"/>
      <c r="AI278" s="7"/>
      <c r="AJ278" s="7"/>
      <c r="BN278" s="61"/>
    </row>
    <row r="279" spans="1:66" ht="12.9">
      <c r="D279" s="58" t="s">
        <v>656</v>
      </c>
      <c r="E279" s="58"/>
      <c r="F279" s="58"/>
      <c r="G279" s="58"/>
      <c r="H279" s="58"/>
      <c r="I279" s="58"/>
      <c r="L279" s="2088" t="s">
        <v>2546</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371" t="s">
        <v>572</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40" t="s">
        <v>2542</v>
      </c>
      <c r="I286" s="2040"/>
      <c r="J286" s="2040"/>
      <c r="K286" s="2040"/>
      <c r="L286" s="2040"/>
      <c r="M286" s="2040"/>
      <c r="N286" s="2040"/>
      <c r="O286" s="2040"/>
      <c r="P286" s="2040"/>
      <c r="Q286" s="2040"/>
      <c r="R286" s="2040"/>
      <c r="T286" s="58" t="s">
        <v>598</v>
      </c>
      <c r="V286" s="58"/>
      <c r="W286" s="58"/>
      <c r="X286" s="58"/>
      <c r="Y286" s="58"/>
      <c r="AA286" s="2040" t="s">
        <v>2610</v>
      </c>
      <c r="AB286" s="2040"/>
      <c r="AC286" s="2040"/>
      <c r="AD286" s="2040"/>
      <c r="AE286" s="2040"/>
      <c r="AF286" s="2040"/>
      <c r="AG286" s="2040"/>
      <c r="AH286" s="2040"/>
      <c r="AI286" s="2040"/>
      <c r="AJ286" s="2040"/>
      <c r="AK286" s="2040"/>
      <c r="BN286" s="61"/>
    </row>
    <row r="287" spans="1:66" ht="12.9">
      <c r="B287" s="58" t="s">
        <v>502</v>
      </c>
      <c r="C287" s="58"/>
      <c r="D287" s="58"/>
      <c r="E287" s="58"/>
      <c r="F287" s="58"/>
      <c r="H287" s="2034" t="s">
        <v>2532</v>
      </c>
      <c r="I287" s="2034"/>
      <c r="J287" s="2034"/>
      <c r="K287" s="2034"/>
      <c r="L287" s="2034"/>
      <c r="M287" s="2034"/>
      <c r="N287" s="2034"/>
      <c r="O287" s="2034"/>
      <c r="P287" s="2034"/>
      <c r="Q287" s="2034"/>
      <c r="R287" s="2034"/>
      <c r="T287" s="58" t="s">
        <v>502</v>
      </c>
      <c r="V287" s="58"/>
      <c r="W287" s="58"/>
      <c r="X287" s="58"/>
      <c r="Y287" s="58"/>
      <c r="AA287" s="2034" t="s">
        <v>2611</v>
      </c>
      <c r="AB287" s="2034"/>
      <c r="AC287" s="2034"/>
      <c r="AD287" s="2034"/>
      <c r="AE287" s="2034"/>
      <c r="AF287" s="2034"/>
      <c r="AG287" s="2034"/>
      <c r="AH287" s="2034"/>
      <c r="AI287" s="2034"/>
      <c r="AJ287" s="2034"/>
      <c r="AK287" s="2034"/>
      <c r="BN287" s="61"/>
    </row>
    <row r="288" spans="1:66" ht="12.9">
      <c r="B288" s="58" t="s">
        <v>503</v>
      </c>
      <c r="C288" s="58"/>
      <c r="D288" s="58"/>
      <c r="E288" s="58"/>
      <c r="F288" s="58"/>
      <c r="H288" s="2034" t="s">
        <v>2547</v>
      </c>
      <c r="I288" s="2034"/>
      <c r="J288" s="2034"/>
      <c r="K288" s="2034"/>
      <c r="L288" s="2034"/>
      <c r="M288" s="2034"/>
      <c r="N288" s="2034"/>
      <c r="O288" s="2034"/>
      <c r="P288" s="2034"/>
      <c r="Q288" s="2034"/>
      <c r="R288" s="2034"/>
      <c r="T288" s="58" t="s">
        <v>79</v>
      </c>
      <c r="V288" s="58"/>
      <c r="W288" s="58"/>
      <c r="X288" s="58"/>
      <c r="Y288" s="58"/>
      <c r="AA288" s="2034" t="s">
        <v>2612</v>
      </c>
      <c r="AB288" s="2034"/>
      <c r="AC288" s="2034"/>
      <c r="AD288" s="2034"/>
      <c r="AE288" s="2034"/>
      <c r="AF288" s="2034"/>
      <c r="AG288" s="2034"/>
      <c r="AH288" s="2034"/>
      <c r="AI288" s="2034"/>
      <c r="AJ288" s="2034"/>
      <c r="AK288" s="2034"/>
      <c r="BN288" s="61"/>
    </row>
    <row r="289" spans="2:66" ht="12.8" customHeight="1">
      <c r="B289" s="58" t="s">
        <v>92</v>
      </c>
      <c r="C289" s="58"/>
      <c r="D289" s="58"/>
      <c r="E289" s="58"/>
      <c r="F289" s="58"/>
      <c r="H289" s="2034" t="s">
        <v>2535</v>
      </c>
      <c r="I289" s="2034"/>
      <c r="J289" s="2034"/>
      <c r="K289" s="2034"/>
      <c r="L289" s="2034"/>
      <c r="M289" s="2034"/>
      <c r="N289" s="2034"/>
      <c r="O289" s="2034"/>
      <c r="P289" s="2034"/>
      <c r="Q289" s="2034"/>
      <c r="R289" s="2034"/>
      <c r="T289" s="58" t="s">
        <v>92</v>
      </c>
      <c r="V289" s="58"/>
      <c r="W289" s="58"/>
      <c r="X289" s="58"/>
      <c r="Y289" s="58"/>
      <c r="AA289" s="2034" t="s">
        <v>2613</v>
      </c>
      <c r="AB289" s="2034"/>
      <c r="AC289" s="2034"/>
      <c r="AD289" s="2034"/>
      <c r="AE289" s="2034"/>
      <c r="AF289" s="2034"/>
      <c r="AG289" s="2034"/>
      <c r="AH289" s="2034"/>
      <c r="AI289" s="2034"/>
      <c r="AJ289" s="2034"/>
      <c r="AK289" s="2034"/>
      <c r="BN289" s="61"/>
    </row>
    <row r="290" spans="2:66" ht="12.8" customHeight="1">
      <c r="B290" s="58" t="s">
        <v>93</v>
      </c>
      <c r="C290" s="58"/>
      <c r="D290" s="58"/>
      <c r="E290" s="58"/>
      <c r="F290" s="58"/>
      <c r="G290" s="58"/>
      <c r="H290" s="2346" t="s">
        <v>2536</v>
      </c>
      <c r="I290" s="2347"/>
      <c r="J290" s="2347"/>
      <c r="K290" s="2347"/>
      <c r="L290" s="2347"/>
      <c r="M290" s="2347"/>
      <c r="N290" s="7" t="s">
        <v>211</v>
      </c>
      <c r="O290" s="7"/>
      <c r="P290" s="2348">
        <v>3015</v>
      </c>
      <c r="Q290" s="2348"/>
      <c r="R290" s="2348"/>
      <c r="S290" s="58"/>
      <c r="T290" s="58" t="s">
        <v>93</v>
      </c>
      <c r="V290" s="58"/>
      <c r="W290" s="58"/>
      <c r="X290" s="58"/>
      <c r="Y290" s="58"/>
      <c r="AA290" s="2346" t="s">
        <v>2614</v>
      </c>
      <c r="AB290" s="2347"/>
      <c r="AC290" s="2347"/>
      <c r="AD290" s="2347"/>
      <c r="AE290" s="2347"/>
      <c r="AF290" s="2347"/>
      <c r="AG290" s="7" t="s">
        <v>211</v>
      </c>
      <c r="AH290" s="7"/>
      <c r="AI290" s="2348"/>
      <c r="AJ290" s="2348"/>
      <c r="AK290" s="2348"/>
      <c r="BN290" s="61"/>
    </row>
    <row r="291" spans="2:66" ht="12.8" customHeight="1">
      <c r="B291" s="58" t="s">
        <v>94</v>
      </c>
      <c r="C291" s="58"/>
      <c r="D291" s="58"/>
      <c r="E291" s="58"/>
      <c r="F291" s="58"/>
      <c r="G291" s="58"/>
      <c r="H291" s="2321" t="s">
        <v>2537</v>
      </c>
      <c r="I291" s="2064"/>
      <c r="J291" s="2064"/>
      <c r="K291" s="2064"/>
      <c r="L291" s="2064"/>
      <c r="M291" s="2064"/>
      <c r="N291" s="60"/>
      <c r="O291" s="60"/>
      <c r="P291" s="62"/>
      <c r="Q291" s="62"/>
      <c r="R291" s="62"/>
      <c r="S291" s="58"/>
      <c r="T291" s="58" t="s">
        <v>94</v>
      </c>
      <c r="V291" s="58"/>
      <c r="W291" s="58"/>
      <c r="X291" s="58"/>
      <c r="Y291" s="58"/>
      <c r="AA291" s="2321" t="s">
        <v>2615</v>
      </c>
      <c r="AB291" s="2064"/>
      <c r="AC291" s="2064"/>
      <c r="AD291" s="2064"/>
      <c r="AE291" s="2064"/>
      <c r="AF291" s="2064"/>
      <c r="AG291" s="60"/>
      <c r="AH291" s="60"/>
      <c r="AI291" s="62"/>
      <c r="AJ291" s="62"/>
      <c r="AK291" s="62"/>
      <c r="BN291" s="61"/>
    </row>
    <row r="292" spans="2:66" ht="12.8" customHeight="1">
      <c r="B292" s="58" t="s">
        <v>80</v>
      </c>
      <c r="C292" s="58"/>
      <c r="D292" s="58"/>
      <c r="E292" s="58"/>
      <c r="F292" s="58"/>
      <c r="G292" s="58"/>
      <c r="H292" s="2034" t="s">
        <v>2538</v>
      </c>
      <c r="I292" s="2034"/>
      <c r="J292" s="2034"/>
      <c r="K292" s="2034"/>
      <c r="L292" s="2034"/>
      <c r="M292" s="2034"/>
      <c r="N292" s="2040"/>
      <c r="O292" s="2040"/>
      <c r="P292" s="2040"/>
      <c r="Q292" s="2040"/>
      <c r="R292" s="2040"/>
      <c r="S292" s="58"/>
      <c r="T292" s="58" t="s">
        <v>80</v>
      </c>
      <c r="V292" s="58"/>
      <c r="W292" s="58"/>
      <c r="X292" s="58"/>
      <c r="Y292" s="58"/>
      <c r="AA292" s="2034" t="s">
        <v>2616</v>
      </c>
      <c r="AB292" s="2034"/>
      <c r="AC292" s="2034"/>
      <c r="AD292" s="2034"/>
      <c r="AE292" s="2034"/>
      <c r="AF292" s="2034"/>
      <c r="AG292" s="2040"/>
      <c r="AH292" s="2040"/>
      <c r="AI292" s="2040"/>
      <c r="AJ292" s="2040"/>
      <c r="AK292" s="2040"/>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40" t="s">
        <v>2549</v>
      </c>
      <c r="I294" s="2040"/>
      <c r="J294" s="2040"/>
      <c r="K294" s="2040"/>
      <c r="L294" s="2040"/>
      <c r="M294" s="2040"/>
      <c r="N294" s="2040"/>
      <c r="O294" s="2040"/>
      <c r="P294" s="2040"/>
      <c r="Q294" s="2040"/>
      <c r="R294" s="2040"/>
      <c r="T294" s="58" t="s">
        <v>373</v>
      </c>
      <c r="V294" s="58"/>
      <c r="W294" s="58"/>
      <c r="X294" s="58"/>
      <c r="Y294" s="58"/>
      <c r="AA294" s="2040" t="s">
        <v>2550</v>
      </c>
      <c r="AB294" s="2040"/>
      <c r="AC294" s="2040"/>
      <c r="AD294" s="2040"/>
      <c r="AE294" s="2040"/>
      <c r="AF294" s="2040"/>
      <c r="AG294" s="2040"/>
      <c r="AH294" s="2040"/>
      <c r="AI294" s="2040"/>
      <c r="AJ294" s="2040"/>
      <c r="AK294" s="2040"/>
      <c r="BN294" s="61"/>
    </row>
    <row r="295" spans="2:66" ht="12.9">
      <c r="B295" s="58" t="s">
        <v>502</v>
      </c>
      <c r="C295" s="58"/>
      <c r="D295" s="58"/>
      <c r="E295" s="58"/>
      <c r="F295" s="58"/>
      <c r="H295" s="2034" t="s">
        <v>2551</v>
      </c>
      <c r="I295" s="2034"/>
      <c r="J295" s="2034"/>
      <c r="K295" s="2034"/>
      <c r="L295" s="2034"/>
      <c r="M295" s="2034"/>
      <c r="N295" s="2034"/>
      <c r="O295" s="2034"/>
      <c r="P295" s="2034"/>
      <c r="Q295" s="2034"/>
      <c r="R295" s="2034"/>
      <c r="T295" s="58" t="s">
        <v>502</v>
      </c>
      <c r="V295" s="58"/>
      <c r="W295" s="58"/>
      <c r="X295" s="58"/>
      <c r="Y295" s="58"/>
      <c r="AA295" s="2034" t="s">
        <v>2532</v>
      </c>
      <c r="AB295" s="2034"/>
      <c r="AC295" s="2034"/>
      <c r="AD295" s="2034"/>
      <c r="AE295" s="2034"/>
      <c r="AF295" s="2034"/>
      <c r="AG295" s="2034"/>
      <c r="AH295" s="2034"/>
      <c r="AI295" s="2034"/>
      <c r="AJ295" s="2034"/>
      <c r="AK295" s="2034"/>
      <c r="BN295" s="61"/>
    </row>
    <row r="296" spans="2:66" ht="12.9">
      <c r="B296" s="58" t="s">
        <v>503</v>
      </c>
      <c r="C296" s="58"/>
      <c r="D296" s="58"/>
      <c r="E296" s="58"/>
      <c r="F296" s="58"/>
      <c r="H296" s="2034" t="s">
        <v>2547</v>
      </c>
      <c r="I296" s="2034"/>
      <c r="J296" s="2034"/>
      <c r="K296" s="2034"/>
      <c r="L296" s="2034"/>
      <c r="M296" s="2034"/>
      <c r="N296" s="2034"/>
      <c r="O296" s="2034"/>
      <c r="P296" s="2034"/>
      <c r="Q296" s="2034"/>
      <c r="R296" s="2034"/>
      <c r="T296" s="58" t="s">
        <v>79</v>
      </c>
      <c r="V296" s="58"/>
      <c r="W296" s="58"/>
      <c r="X296" s="58"/>
      <c r="Y296" s="58"/>
      <c r="AA296" s="2034" t="s">
        <v>2547</v>
      </c>
      <c r="AB296" s="2034"/>
      <c r="AC296" s="2034"/>
      <c r="AD296" s="2034"/>
      <c r="AE296" s="2034"/>
      <c r="AF296" s="2034"/>
      <c r="AG296" s="2034"/>
      <c r="AH296" s="2034"/>
      <c r="AI296" s="2034"/>
      <c r="AJ296" s="2034"/>
      <c r="AK296" s="2034"/>
      <c r="BN296" s="61"/>
    </row>
    <row r="297" spans="2:66" ht="12.9">
      <c r="B297" s="58" t="s">
        <v>92</v>
      </c>
      <c r="C297" s="58"/>
      <c r="D297" s="58"/>
      <c r="E297" s="58"/>
      <c r="F297" s="58"/>
      <c r="H297" s="2034" t="s">
        <v>2552</v>
      </c>
      <c r="I297" s="2034"/>
      <c r="J297" s="2034"/>
      <c r="K297" s="2034"/>
      <c r="L297" s="2034"/>
      <c r="M297" s="2034"/>
      <c r="N297" s="2034"/>
      <c r="O297" s="2034"/>
      <c r="P297" s="2034"/>
      <c r="Q297" s="2034"/>
      <c r="R297" s="2034"/>
      <c r="T297" s="58" t="s">
        <v>92</v>
      </c>
      <c r="V297" s="58"/>
      <c r="W297" s="58"/>
      <c r="X297" s="58"/>
      <c r="Y297" s="58"/>
      <c r="AA297" s="2034" t="s">
        <v>2535</v>
      </c>
      <c r="AB297" s="2034"/>
      <c r="AC297" s="2034"/>
      <c r="AD297" s="2034"/>
      <c r="AE297" s="2034"/>
      <c r="AF297" s="2034"/>
      <c r="AG297" s="2034"/>
      <c r="AH297" s="2034"/>
      <c r="AI297" s="2034"/>
      <c r="AJ297" s="2034"/>
      <c r="AK297" s="2034"/>
      <c r="BN297" s="61"/>
    </row>
    <row r="298" spans="2:66" ht="12.9">
      <c r="B298" s="58" t="s">
        <v>93</v>
      </c>
      <c r="C298" s="58"/>
      <c r="D298" s="58"/>
      <c r="E298" s="58"/>
      <c r="F298" s="58"/>
      <c r="G298" s="58"/>
      <c r="H298" s="2346" t="s">
        <v>2553</v>
      </c>
      <c r="I298" s="2347"/>
      <c r="J298" s="2347"/>
      <c r="K298" s="2347"/>
      <c r="L298" s="2347"/>
      <c r="M298" s="2347"/>
      <c r="N298" s="7" t="s">
        <v>211</v>
      </c>
      <c r="O298" s="7"/>
      <c r="P298" s="2348"/>
      <c r="Q298" s="2348"/>
      <c r="R298" s="2348"/>
      <c r="S298" s="58"/>
      <c r="T298" s="58" t="s">
        <v>93</v>
      </c>
      <c r="V298" s="58"/>
      <c r="W298" s="58"/>
      <c r="X298" s="58"/>
      <c r="Y298" s="58"/>
      <c r="AA298" s="2346" t="s">
        <v>2536</v>
      </c>
      <c r="AB298" s="2347"/>
      <c r="AC298" s="2347"/>
      <c r="AD298" s="2347"/>
      <c r="AE298" s="2347"/>
      <c r="AF298" s="2347"/>
      <c r="AG298" s="7" t="s">
        <v>211</v>
      </c>
      <c r="AH298" s="7"/>
      <c r="AI298" s="2348">
        <v>3015</v>
      </c>
      <c r="AJ298" s="2348"/>
      <c r="AK298" s="2348"/>
      <c r="BN298" s="61"/>
    </row>
    <row r="299" spans="2:66" ht="12.8" customHeight="1">
      <c r="B299" s="58" t="s">
        <v>94</v>
      </c>
      <c r="C299" s="58"/>
      <c r="D299" s="58"/>
      <c r="E299" s="58"/>
      <c r="F299" s="58"/>
      <c r="G299" s="58"/>
      <c r="H299" s="2321" t="s">
        <v>2537</v>
      </c>
      <c r="I299" s="2064"/>
      <c r="J299" s="2064"/>
      <c r="K299" s="2064"/>
      <c r="L299" s="2064"/>
      <c r="M299" s="2064"/>
      <c r="N299" s="60"/>
      <c r="O299" s="60"/>
      <c r="P299" s="62"/>
      <c r="Q299" s="62"/>
      <c r="R299" s="62"/>
      <c r="S299" s="58"/>
      <c r="T299" s="58" t="s">
        <v>94</v>
      </c>
      <c r="V299" s="58"/>
      <c r="W299" s="58"/>
      <c r="X299" s="58"/>
      <c r="Y299" s="58"/>
      <c r="AA299" s="2321" t="s">
        <v>2548</v>
      </c>
      <c r="AB299" s="2064"/>
      <c r="AC299" s="2064"/>
      <c r="AD299" s="2064"/>
      <c r="AE299" s="2064"/>
      <c r="AF299" s="2064"/>
      <c r="AG299" s="60"/>
      <c r="AH299" s="60"/>
      <c r="AI299" s="62"/>
      <c r="AJ299" s="62"/>
      <c r="AK299" s="62"/>
      <c r="BN299" s="61"/>
    </row>
    <row r="300" spans="2:66" ht="12.8" customHeight="1">
      <c r="B300" s="58" t="s">
        <v>80</v>
      </c>
      <c r="C300" s="58"/>
      <c r="D300" s="58"/>
      <c r="E300" s="58"/>
      <c r="F300" s="58"/>
      <c r="G300" s="58"/>
      <c r="H300" s="2034" t="s">
        <v>2554</v>
      </c>
      <c r="I300" s="2034"/>
      <c r="J300" s="2034"/>
      <c r="K300" s="2034"/>
      <c r="L300" s="2034"/>
      <c r="M300" s="2034"/>
      <c r="N300" s="2040"/>
      <c r="O300" s="2040"/>
      <c r="P300" s="2040"/>
      <c r="Q300" s="2040"/>
      <c r="R300" s="2040"/>
      <c r="S300" s="58"/>
      <c r="T300" s="58" t="s">
        <v>80</v>
      </c>
      <c r="V300" s="58"/>
      <c r="W300" s="58"/>
      <c r="X300" s="58"/>
      <c r="Y300" s="58"/>
      <c r="AA300" s="2034" t="s">
        <v>2538</v>
      </c>
      <c r="AB300" s="2034"/>
      <c r="AC300" s="2034"/>
      <c r="AD300" s="2034"/>
      <c r="AE300" s="2034"/>
      <c r="AF300" s="2034"/>
      <c r="AG300" s="2040"/>
      <c r="AH300" s="2040"/>
      <c r="AI300" s="2040"/>
      <c r="AJ300" s="2040"/>
      <c r="AK300" s="2040"/>
      <c r="BN300" s="61"/>
    </row>
    <row r="301" spans="2:66" ht="12.8" customHeight="1">
      <c r="BN301" s="61"/>
    </row>
    <row r="302" spans="2:66" ht="12.8" customHeight="1">
      <c r="B302" s="58" t="s">
        <v>81</v>
      </c>
      <c r="C302" s="58"/>
      <c r="D302" s="58"/>
      <c r="E302" s="58"/>
      <c r="F302" s="58"/>
      <c r="H302" s="2040" t="s">
        <v>2555</v>
      </c>
      <c r="I302" s="2040"/>
      <c r="J302" s="2040"/>
      <c r="K302" s="2040"/>
      <c r="L302" s="2040"/>
      <c r="M302" s="2040"/>
      <c r="N302" s="2040"/>
      <c r="O302" s="2040"/>
      <c r="P302" s="2040"/>
      <c r="Q302" s="2040"/>
      <c r="R302" s="2040"/>
      <c r="T302" s="7" t="s">
        <v>941</v>
      </c>
      <c r="V302" s="58"/>
      <c r="W302" s="58"/>
      <c r="X302" s="58"/>
      <c r="Y302" s="58"/>
      <c r="AA302" s="2040" t="s">
        <v>2617</v>
      </c>
      <c r="AB302" s="2040"/>
      <c r="AC302" s="2040"/>
      <c r="AD302" s="2040"/>
      <c r="AE302" s="2040"/>
      <c r="AF302" s="2040"/>
      <c r="AG302" s="2040"/>
      <c r="AH302" s="2040"/>
      <c r="AI302" s="2040"/>
      <c r="AJ302" s="2040"/>
      <c r="AK302" s="2040"/>
      <c r="BN302" s="61"/>
    </row>
    <row r="303" spans="2:66" ht="12.9">
      <c r="B303" s="58" t="s">
        <v>502</v>
      </c>
      <c r="C303" s="58"/>
      <c r="D303" s="58"/>
      <c r="E303" s="58"/>
      <c r="F303" s="58"/>
      <c r="H303" s="2034" t="s">
        <v>2556</v>
      </c>
      <c r="I303" s="2034"/>
      <c r="J303" s="2034"/>
      <c r="K303" s="2034"/>
      <c r="L303" s="2034"/>
      <c r="M303" s="2034"/>
      <c r="N303" s="2034"/>
      <c r="O303" s="2034"/>
      <c r="P303" s="2034"/>
      <c r="Q303" s="2034"/>
      <c r="R303" s="2034"/>
      <c r="T303" s="58" t="s">
        <v>502</v>
      </c>
      <c r="V303" s="58"/>
      <c r="W303" s="58"/>
      <c r="X303" s="58"/>
      <c r="Y303" s="58"/>
      <c r="AA303" s="2034" t="s">
        <v>2618</v>
      </c>
      <c r="AB303" s="2034"/>
      <c r="AC303" s="2034"/>
      <c r="AD303" s="2034"/>
      <c r="AE303" s="2034"/>
      <c r="AF303" s="2034"/>
      <c r="AG303" s="2034"/>
      <c r="AH303" s="2034"/>
      <c r="AI303" s="2034"/>
      <c r="AJ303" s="2034"/>
      <c r="AK303" s="2034"/>
      <c r="BN303" s="61"/>
    </row>
    <row r="304" spans="2:66" ht="12.9">
      <c r="B304" s="58" t="s">
        <v>503</v>
      </c>
      <c r="C304" s="58"/>
      <c r="D304" s="58"/>
      <c r="E304" s="58"/>
      <c r="F304" s="58"/>
      <c r="H304" s="2034" t="s">
        <v>2557</v>
      </c>
      <c r="I304" s="2034"/>
      <c r="J304" s="2034"/>
      <c r="K304" s="2034"/>
      <c r="L304" s="2034"/>
      <c r="M304" s="2034"/>
      <c r="N304" s="2034"/>
      <c r="O304" s="2034"/>
      <c r="P304" s="2034"/>
      <c r="Q304" s="2034"/>
      <c r="R304" s="2034"/>
      <c r="T304" s="58" t="s">
        <v>79</v>
      </c>
      <c r="V304" s="58"/>
      <c r="W304" s="58"/>
      <c r="X304" s="58"/>
      <c r="Y304" s="58"/>
      <c r="AA304" s="2034" t="s">
        <v>2619</v>
      </c>
      <c r="AB304" s="2034"/>
      <c r="AC304" s="2034"/>
      <c r="AD304" s="2034"/>
      <c r="AE304" s="2034"/>
      <c r="AF304" s="2034"/>
      <c r="AG304" s="2034"/>
      <c r="AH304" s="2034"/>
      <c r="AI304" s="2034"/>
      <c r="AJ304" s="2034"/>
      <c r="AK304" s="2034"/>
      <c r="BN304" s="61"/>
    </row>
    <row r="305" spans="2:66" ht="12.9">
      <c r="B305" s="58" t="s">
        <v>92</v>
      </c>
      <c r="C305" s="58"/>
      <c r="D305" s="58"/>
      <c r="E305" s="58"/>
      <c r="F305" s="58"/>
      <c r="H305" s="2034" t="s">
        <v>2558</v>
      </c>
      <c r="I305" s="2034"/>
      <c r="J305" s="2034"/>
      <c r="K305" s="2034"/>
      <c r="L305" s="2034"/>
      <c r="M305" s="2034"/>
      <c r="N305" s="2034"/>
      <c r="O305" s="2034"/>
      <c r="P305" s="2034"/>
      <c r="Q305" s="2034"/>
      <c r="R305" s="2034"/>
      <c r="T305" s="58" t="s">
        <v>92</v>
      </c>
      <c r="V305" s="58"/>
      <c r="W305" s="58"/>
      <c r="X305" s="58"/>
      <c r="Y305" s="58"/>
      <c r="AA305" s="2034" t="s">
        <v>2620</v>
      </c>
      <c r="AB305" s="2034"/>
      <c r="AC305" s="2034"/>
      <c r="AD305" s="2034"/>
      <c r="AE305" s="2034"/>
      <c r="AF305" s="2034"/>
      <c r="AG305" s="2034"/>
      <c r="AH305" s="2034"/>
      <c r="AI305" s="2034"/>
      <c r="AJ305" s="2034"/>
      <c r="AK305" s="2034"/>
      <c r="BN305" s="61"/>
    </row>
    <row r="306" spans="2:66" ht="12.9">
      <c r="B306" s="58" t="s">
        <v>93</v>
      </c>
      <c r="C306" s="58"/>
      <c r="D306" s="58"/>
      <c r="E306" s="58"/>
      <c r="F306" s="58"/>
      <c r="G306" s="58"/>
      <c r="H306" s="2346" t="s">
        <v>2559</v>
      </c>
      <c r="I306" s="2347"/>
      <c r="J306" s="2347"/>
      <c r="K306" s="2347"/>
      <c r="L306" s="2347"/>
      <c r="M306" s="2347"/>
      <c r="N306" s="7" t="s">
        <v>211</v>
      </c>
      <c r="O306" s="7"/>
      <c r="P306" s="2348"/>
      <c r="Q306" s="2348"/>
      <c r="R306" s="2348"/>
      <c r="S306" s="58"/>
      <c r="T306" s="58" t="s">
        <v>93</v>
      </c>
      <c r="V306" s="58"/>
      <c r="W306" s="58"/>
      <c r="X306" s="58"/>
      <c r="Y306" s="58"/>
      <c r="AA306" s="2346" t="s">
        <v>2621</v>
      </c>
      <c r="AB306" s="2347"/>
      <c r="AC306" s="2347"/>
      <c r="AD306" s="2347"/>
      <c r="AE306" s="2347"/>
      <c r="AF306" s="2347"/>
      <c r="AG306" s="7" t="s">
        <v>211</v>
      </c>
      <c r="AH306" s="7"/>
      <c r="AI306" s="2348"/>
      <c r="AJ306" s="2348"/>
      <c r="AK306" s="2348"/>
      <c r="BN306" s="61"/>
    </row>
    <row r="307" spans="2:66" ht="12.9">
      <c r="B307" s="58" t="s">
        <v>94</v>
      </c>
      <c r="C307" s="58"/>
      <c r="D307" s="58"/>
      <c r="E307" s="58"/>
      <c r="F307" s="58"/>
      <c r="G307" s="58"/>
      <c r="H307" s="2321" t="s">
        <v>2560</v>
      </c>
      <c r="I307" s="2064"/>
      <c r="J307" s="2064"/>
      <c r="K307" s="2064"/>
      <c r="L307" s="2064"/>
      <c r="M307" s="2064"/>
      <c r="N307" s="60"/>
      <c r="O307" s="60"/>
      <c r="P307" s="62"/>
      <c r="Q307" s="62"/>
      <c r="R307" s="62"/>
      <c r="S307" s="58"/>
      <c r="T307" s="58" t="s">
        <v>94</v>
      </c>
      <c r="V307" s="58"/>
      <c r="W307" s="58"/>
      <c r="X307" s="58"/>
      <c r="Y307" s="58"/>
      <c r="AA307" s="2321" t="s">
        <v>2622</v>
      </c>
      <c r="AB307" s="2064"/>
      <c r="AC307" s="2064"/>
      <c r="AD307" s="2064"/>
      <c r="AE307" s="2064"/>
      <c r="AF307" s="2064"/>
      <c r="AG307" s="60"/>
      <c r="AH307" s="60"/>
      <c r="AI307" s="62"/>
      <c r="AJ307" s="62"/>
      <c r="AK307" s="62"/>
      <c r="BN307" s="61"/>
    </row>
    <row r="308" spans="2:66" ht="12.9">
      <c r="B308" s="58" t="s">
        <v>80</v>
      </c>
      <c r="C308" s="58"/>
      <c r="D308" s="58"/>
      <c r="E308" s="58"/>
      <c r="F308" s="58"/>
      <c r="G308" s="58"/>
      <c r="H308" s="2034" t="s">
        <v>2561</v>
      </c>
      <c r="I308" s="2034"/>
      <c r="J308" s="2034"/>
      <c r="K308" s="2034"/>
      <c r="L308" s="2034"/>
      <c r="M308" s="2034"/>
      <c r="N308" s="2040"/>
      <c r="O308" s="2040"/>
      <c r="P308" s="2040"/>
      <c r="Q308" s="2040"/>
      <c r="R308" s="2040"/>
      <c r="S308" s="58"/>
      <c r="T308" s="58" t="s">
        <v>80</v>
      </c>
      <c r="V308" s="58"/>
      <c r="W308" s="58"/>
      <c r="X308" s="58"/>
      <c r="Y308" s="58"/>
      <c r="AA308" s="2034" t="s">
        <v>2623</v>
      </c>
      <c r="AB308" s="2034"/>
      <c r="AC308" s="2034"/>
      <c r="AD308" s="2034"/>
      <c r="AE308" s="2034"/>
      <c r="AF308" s="2034"/>
      <c r="AG308" s="2040"/>
      <c r="AH308" s="2040"/>
      <c r="AI308" s="2040"/>
      <c r="AJ308" s="2040"/>
      <c r="AK308" s="2040"/>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40" t="s">
        <v>2555</v>
      </c>
      <c r="I310" s="2040"/>
      <c r="J310" s="2040"/>
      <c r="K310" s="2040"/>
      <c r="L310" s="2040"/>
      <c r="M310" s="2040"/>
      <c r="N310" s="2040"/>
      <c r="O310" s="2040"/>
      <c r="P310" s="2040"/>
      <c r="Q310" s="2040"/>
      <c r="R310" s="2040"/>
      <c r="S310" s="58"/>
      <c r="T310" s="58" t="s">
        <v>374</v>
      </c>
      <c r="V310" s="58"/>
      <c r="W310" s="58"/>
      <c r="X310" s="58"/>
      <c r="Y310" s="58"/>
      <c r="AA310" s="2040" t="s">
        <v>2562</v>
      </c>
      <c r="AB310" s="2040"/>
      <c r="AC310" s="2040"/>
      <c r="AD310" s="2040"/>
      <c r="AE310" s="2040"/>
      <c r="AF310" s="2040"/>
      <c r="AG310" s="2040"/>
      <c r="AH310" s="2040"/>
      <c r="AI310" s="2040"/>
      <c r="AJ310" s="2040"/>
      <c r="AK310" s="2040"/>
      <c r="BN310" s="61"/>
    </row>
    <row r="311" spans="2:66" ht="12.9">
      <c r="B311" s="58" t="s">
        <v>502</v>
      </c>
      <c r="C311" s="58"/>
      <c r="D311" s="58"/>
      <c r="E311" s="58"/>
      <c r="F311" s="58"/>
      <c r="H311" s="2034" t="s">
        <v>2556</v>
      </c>
      <c r="I311" s="2034"/>
      <c r="J311" s="2034"/>
      <c r="K311" s="2034"/>
      <c r="L311" s="2034"/>
      <c r="M311" s="2034"/>
      <c r="N311" s="2034"/>
      <c r="O311" s="2034"/>
      <c r="P311" s="2034"/>
      <c r="Q311" s="2034"/>
      <c r="R311" s="2034"/>
      <c r="S311" s="58"/>
      <c r="T311" s="58" t="s">
        <v>502</v>
      </c>
      <c r="V311" s="58"/>
      <c r="W311" s="58"/>
      <c r="X311" s="58"/>
      <c r="Y311" s="58"/>
      <c r="AA311" s="2034" t="s">
        <v>2563</v>
      </c>
      <c r="AB311" s="2034"/>
      <c r="AC311" s="2034"/>
      <c r="AD311" s="2034"/>
      <c r="AE311" s="2034"/>
      <c r="AF311" s="2034"/>
      <c r="AG311" s="2034"/>
      <c r="AH311" s="2034"/>
      <c r="AI311" s="2034"/>
      <c r="AJ311" s="2034"/>
      <c r="AK311" s="2034"/>
      <c r="BN311" s="61"/>
    </row>
    <row r="312" spans="2:66" ht="12.8" customHeight="1">
      <c r="B312" s="58" t="s">
        <v>503</v>
      </c>
      <c r="C312" s="58"/>
      <c r="D312" s="58"/>
      <c r="E312" s="58"/>
      <c r="F312" s="58"/>
      <c r="H312" s="2034" t="s">
        <v>2557</v>
      </c>
      <c r="I312" s="2034"/>
      <c r="J312" s="2034"/>
      <c r="K312" s="2034"/>
      <c r="L312" s="2034"/>
      <c r="M312" s="2034"/>
      <c r="N312" s="2034"/>
      <c r="O312" s="2034"/>
      <c r="P312" s="2034"/>
      <c r="Q312" s="2034"/>
      <c r="R312" s="2034"/>
      <c r="S312" s="58"/>
      <c r="T312" s="58" t="s">
        <v>79</v>
      </c>
      <c r="V312" s="58"/>
      <c r="W312" s="58"/>
      <c r="X312" s="58"/>
      <c r="Y312" s="58"/>
      <c r="AA312" s="2034" t="s">
        <v>2565</v>
      </c>
      <c r="AB312" s="2034"/>
      <c r="AC312" s="2034"/>
      <c r="AD312" s="2034"/>
      <c r="AE312" s="2034"/>
      <c r="AF312" s="2034"/>
      <c r="AG312" s="2034"/>
      <c r="AH312" s="2034"/>
      <c r="AI312" s="2034"/>
      <c r="AJ312" s="2034"/>
      <c r="AK312" s="2034"/>
      <c r="BN312" s="61"/>
    </row>
    <row r="313" spans="2:66" ht="12.9">
      <c r="B313" s="58" t="s">
        <v>92</v>
      </c>
      <c r="C313" s="58"/>
      <c r="D313" s="58"/>
      <c r="E313" s="58"/>
      <c r="F313" s="58"/>
      <c r="H313" s="2034" t="s">
        <v>2558</v>
      </c>
      <c r="I313" s="2034"/>
      <c r="J313" s="2034"/>
      <c r="K313" s="2034"/>
      <c r="L313" s="2034"/>
      <c r="M313" s="2034"/>
      <c r="N313" s="2034"/>
      <c r="O313" s="2034"/>
      <c r="P313" s="2034"/>
      <c r="Q313" s="2034"/>
      <c r="R313" s="2034"/>
      <c r="S313" s="58"/>
      <c r="T313" s="58" t="s">
        <v>92</v>
      </c>
      <c r="V313" s="58"/>
      <c r="W313" s="58"/>
      <c r="X313" s="58"/>
      <c r="Y313" s="58"/>
      <c r="AA313" s="2034" t="s">
        <v>2564</v>
      </c>
      <c r="AB313" s="2034"/>
      <c r="AC313" s="2034"/>
      <c r="AD313" s="2034"/>
      <c r="AE313" s="2034"/>
      <c r="AF313" s="2034"/>
      <c r="AG313" s="2034"/>
      <c r="AH313" s="2034"/>
      <c r="AI313" s="2034"/>
      <c r="AJ313" s="2034"/>
      <c r="AK313" s="2034"/>
      <c r="BN313" s="61"/>
    </row>
    <row r="314" spans="2:66" ht="12.9">
      <c r="B314" s="58" t="s">
        <v>93</v>
      </c>
      <c r="C314" s="58"/>
      <c r="D314" s="58"/>
      <c r="E314" s="58"/>
      <c r="F314" s="58"/>
      <c r="G314" s="58"/>
      <c r="H314" s="2346" t="s">
        <v>2559</v>
      </c>
      <c r="I314" s="2347"/>
      <c r="J314" s="2347"/>
      <c r="K314" s="2347"/>
      <c r="L314" s="2347"/>
      <c r="M314" s="2347"/>
      <c r="N314" s="7" t="s">
        <v>211</v>
      </c>
      <c r="O314" s="7"/>
      <c r="P314" s="2348"/>
      <c r="Q314" s="2348"/>
      <c r="R314" s="2348"/>
      <c r="S314" s="58"/>
      <c r="T314" s="58" t="s">
        <v>93</v>
      </c>
      <c r="V314" s="58"/>
      <c r="W314" s="58"/>
      <c r="X314" s="58"/>
      <c r="Y314" s="58"/>
      <c r="AA314" s="2346" t="s">
        <v>2566</v>
      </c>
      <c r="AB314" s="2347"/>
      <c r="AC314" s="2347"/>
      <c r="AD314" s="2347"/>
      <c r="AE314" s="2347"/>
      <c r="AF314" s="2347"/>
      <c r="AG314" s="7" t="s">
        <v>211</v>
      </c>
      <c r="AH314" s="7"/>
      <c r="AI314" s="2348"/>
      <c r="AJ314" s="2348"/>
      <c r="AK314" s="2348"/>
      <c r="BN314" s="61"/>
    </row>
    <row r="315" spans="2:66" ht="12.9">
      <c r="B315" s="58" t="s">
        <v>94</v>
      </c>
      <c r="C315" s="58"/>
      <c r="D315" s="58"/>
      <c r="E315" s="58"/>
      <c r="F315" s="58"/>
      <c r="G315" s="58"/>
      <c r="H315" s="2321" t="s">
        <v>2560</v>
      </c>
      <c r="I315" s="2064"/>
      <c r="J315" s="2064"/>
      <c r="K315" s="2064"/>
      <c r="L315" s="2064"/>
      <c r="M315" s="2064"/>
      <c r="N315" s="60"/>
      <c r="O315" s="60"/>
      <c r="P315" s="62"/>
      <c r="Q315" s="62"/>
      <c r="R315" s="62"/>
      <c r="S315" s="58"/>
      <c r="T315" s="58" t="s">
        <v>94</v>
      </c>
      <c r="V315" s="58"/>
      <c r="W315" s="58"/>
      <c r="X315" s="58"/>
      <c r="Y315" s="58"/>
      <c r="AA315" s="2321" t="s">
        <v>2567</v>
      </c>
      <c r="AB315" s="2064"/>
      <c r="AC315" s="2064"/>
      <c r="AD315" s="2064"/>
      <c r="AE315" s="2064"/>
      <c r="AF315" s="2064"/>
      <c r="AG315" s="60"/>
      <c r="AH315" s="60"/>
      <c r="AI315" s="62"/>
      <c r="AJ315" s="62"/>
      <c r="AK315" s="62"/>
      <c r="BN315" s="61"/>
    </row>
    <row r="316" spans="2:66" ht="12.9">
      <c r="B316" s="58" t="s">
        <v>80</v>
      </c>
      <c r="C316" s="58"/>
      <c r="D316" s="58"/>
      <c r="E316" s="58"/>
      <c r="F316" s="58"/>
      <c r="G316" s="58"/>
      <c r="H316" s="2034" t="s">
        <v>2561</v>
      </c>
      <c r="I316" s="2034"/>
      <c r="J316" s="2034"/>
      <c r="K316" s="2034"/>
      <c r="L316" s="2034"/>
      <c r="M316" s="2034"/>
      <c r="N316" s="2040"/>
      <c r="O316" s="2040"/>
      <c r="P316" s="2040"/>
      <c r="Q316" s="2040"/>
      <c r="R316" s="2040"/>
      <c r="S316" s="58"/>
      <c r="T316" s="58" t="s">
        <v>80</v>
      </c>
      <c r="V316" s="58"/>
      <c r="W316" s="58"/>
      <c r="X316" s="58"/>
      <c r="Y316" s="58"/>
      <c r="AA316" s="2034" t="s">
        <v>2568</v>
      </c>
      <c r="AB316" s="2034"/>
      <c r="AC316" s="2034"/>
      <c r="AD316" s="2034"/>
      <c r="AE316" s="2034"/>
      <c r="AF316" s="2034"/>
      <c r="AG316" s="2040"/>
      <c r="AH316" s="2040"/>
      <c r="AI316" s="2040"/>
      <c r="AJ316" s="2040"/>
      <c r="AK316" s="2040"/>
      <c r="BN316" s="61"/>
    </row>
    <row r="317" spans="2:66" ht="12.9">
      <c r="BN317" s="61"/>
    </row>
    <row r="318" spans="2:66" ht="12.9">
      <c r="B318" s="7" t="s">
        <v>975</v>
      </c>
      <c r="C318" s="58"/>
      <c r="D318" s="58"/>
      <c r="E318" s="58"/>
      <c r="F318" s="58"/>
      <c r="H318" s="2040" t="s">
        <v>2518</v>
      </c>
      <c r="I318" s="2040"/>
      <c r="J318" s="2040"/>
      <c r="K318" s="2040"/>
      <c r="L318" s="2040"/>
      <c r="M318" s="2040"/>
      <c r="N318" s="2040"/>
      <c r="O318" s="2040"/>
      <c r="P318" s="2040"/>
      <c r="Q318" s="2040"/>
      <c r="R318" s="2040"/>
      <c r="T318" s="58" t="s">
        <v>375</v>
      </c>
      <c r="V318" s="58"/>
      <c r="W318" s="58"/>
      <c r="X318" s="58"/>
      <c r="Y318" s="58"/>
      <c r="AA318" s="2040" t="s">
        <v>2569</v>
      </c>
      <c r="AB318" s="2040"/>
      <c r="AC318" s="2040"/>
      <c r="AD318" s="2040"/>
      <c r="AE318" s="2040"/>
      <c r="AF318" s="2040"/>
      <c r="AG318" s="2040"/>
      <c r="AH318" s="2040"/>
      <c r="AI318" s="2040"/>
      <c r="AJ318" s="2040"/>
      <c r="AK318" s="2040"/>
      <c r="BN318" s="61"/>
    </row>
    <row r="319" spans="2:66" ht="12.9">
      <c r="B319" s="58" t="s">
        <v>502</v>
      </c>
      <c r="C319" s="58"/>
      <c r="D319" s="58"/>
      <c r="E319" s="58"/>
      <c r="F319" s="58"/>
      <c r="H319" s="2034"/>
      <c r="I319" s="2034"/>
      <c r="J319" s="2034"/>
      <c r="K319" s="2034"/>
      <c r="L319" s="2034"/>
      <c r="M319" s="2034"/>
      <c r="N319" s="2034"/>
      <c r="O319" s="2034"/>
      <c r="P319" s="2034"/>
      <c r="Q319" s="2034"/>
      <c r="R319" s="2034"/>
      <c r="T319" s="58" t="s">
        <v>502</v>
      </c>
      <c r="V319" s="58"/>
      <c r="W319" s="58"/>
      <c r="X319" s="58"/>
      <c r="Y319" s="58"/>
      <c r="AA319" s="2034" t="s">
        <v>2570</v>
      </c>
      <c r="AB319" s="2034"/>
      <c r="AC319" s="2034"/>
      <c r="AD319" s="2034"/>
      <c r="AE319" s="2034"/>
      <c r="AF319" s="2034"/>
      <c r="AG319" s="2034"/>
      <c r="AH319" s="2034"/>
      <c r="AI319" s="2034"/>
      <c r="AJ319" s="2034"/>
      <c r="AK319" s="2034"/>
      <c r="BN319" s="61"/>
    </row>
    <row r="320" spans="2:66" ht="12.9">
      <c r="B320" s="58" t="s">
        <v>503</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34" t="s">
        <v>2571</v>
      </c>
      <c r="AB320" s="2034"/>
      <c r="AC320" s="2034"/>
      <c r="AD320" s="2034"/>
      <c r="AE320" s="2034"/>
      <c r="AF320" s="2034"/>
      <c r="AG320" s="2034"/>
      <c r="AH320" s="2034"/>
      <c r="AI320" s="2034"/>
      <c r="AJ320" s="2034"/>
      <c r="AK320" s="2034"/>
      <c r="BN320" s="61"/>
    </row>
    <row r="321" spans="1:66" ht="12.8"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34" t="s">
        <v>2572</v>
      </c>
      <c r="AB321" s="2034"/>
      <c r="AC321" s="2034"/>
      <c r="AD321" s="2034"/>
      <c r="AE321" s="2034"/>
      <c r="AF321" s="2034"/>
      <c r="AG321" s="2034"/>
      <c r="AH321" s="2034"/>
      <c r="AI321" s="2034"/>
      <c r="AJ321" s="2034"/>
      <c r="AK321" s="2034"/>
      <c r="AL321" s="39"/>
      <c r="BN321" s="61"/>
    </row>
    <row r="322" spans="1:66" ht="12.9">
      <c r="A322" s="39"/>
      <c r="B322" s="58" t="s">
        <v>93</v>
      </c>
      <c r="C322" s="58"/>
      <c r="D322" s="58"/>
      <c r="E322" s="58"/>
      <c r="F322" s="58"/>
      <c r="G322" s="58"/>
      <c r="H322" s="2347"/>
      <c r="I322" s="2347"/>
      <c r="J322" s="2347"/>
      <c r="K322" s="2347"/>
      <c r="L322" s="2347"/>
      <c r="M322" s="2347"/>
      <c r="N322" s="7" t="s">
        <v>211</v>
      </c>
      <c r="O322" s="7"/>
      <c r="P322" s="2348"/>
      <c r="Q322" s="2348"/>
      <c r="R322" s="2348"/>
      <c r="S322" s="58"/>
      <c r="T322" s="58" t="s">
        <v>93</v>
      </c>
      <c r="V322" s="58"/>
      <c r="W322" s="58"/>
      <c r="X322" s="58"/>
      <c r="Y322" s="58"/>
      <c r="AA322" s="2346" t="s">
        <v>2573</v>
      </c>
      <c r="AB322" s="2347"/>
      <c r="AC322" s="2347"/>
      <c r="AD322" s="2347"/>
      <c r="AE322" s="2347"/>
      <c r="AF322" s="2347"/>
      <c r="AG322" s="7" t="s">
        <v>211</v>
      </c>
      <c r="AH322" s="7"/>
      <c r="AI322" s="2348"/>
      <c r="AJ322" s="2348"/>
      <c r="AK322" s="2348"/>
      <c r="AL322" s="39"/>
      <c r="BN322" s="61"/>
    </row>
    <row r="323" spans="1:66" ht="12.8"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9">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34" t="s">
        <v>2574</v>
      </c>
      <c r="AB324" s="2034"/>
      <c r="AC324" s="2034"/>
      <c r="AD324" s="2034"/>
      <c r="AE324" s="2034"/>
      <c r="AF324" s="2034"/>
      <c r="AG324" s="2040"/>
      <c r="AH324" s="2040"/>
      <c r="AI324" s="2040"/>
      <c r="AJ324" s="2040"/>
      <c r="AK324" s="2040"/>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40" t="s">
        <v>2653</v>
      </c>
      <c r="I326" s="2040"/>
      <c r="J326" s="2040"/>
      <c r="K326" s="2040"/>
      <c r="L326" s="2040"/>
      <c r="M326" s="2040"/>
      <c r="N326" s="2040"/>
      <c r="O326" s="2040"/>
      <c r="P326" s="2040"/>
      <c r="Q326" s="2040"/>
      <c r="R326" s="2040"/>
      <c r="T326" s="58" t="s">
        <v>377</v>
      </c>
      <c r="V326" s="58"/>
      <c r="W326" s="58"/>
      <c r="X326" s="58"/>
      <c r="Y326" s="58"/>
      <c r="AA326" s="2040" t="s">
        <v>2518</v>
      </c>
      <c r="AB326" s="2040"/>
      <c r="AC326" s="2040"/>
      <c r="AD326" s="2040"/>
      <c r="AE326" s="2040"/>
      <c r="AF326" s="2040"/>
      <c r="AG326" s="2040"/>
      <c r="AH326" s="2040"/>
      <c r="AI326" s="2040"/>
      <c r="AJ326" s="2040"/>
      <c r="AK326" s="2040"/>
      <c r="AL326" s="39"/>
    </row>
    <row r="327" spans="1:66" ht="12.9">
      <c r="A327" s="39"/>
      <c r="B327" s="58" t="s">
        <v>502</v>
      </c>
      <c r="C327" s="58"/>
      <c r="D327" s="58"/>
      <c r="E327" s="58"/>
      <c r="F327" s="58"/>
      <c r="H327" s="2034" t="s">
        <v>2654</v>
      </c>
      <c r="I327" s="2034"/>
      <c r="J327" s="2034"/>
      <c r="K327" s="2034"/>
      <c r="L327" s="2034"/>
      <c r="M327" s="2034"/>
      <c r="N327" s="2034"/>
      <c r="O327" s="2034"/>
      <c r="P327" s="2034"/>
      <c r="Q327" s="2034"/>
      <c r="R327" s="2034"/>
      <c r="T327" s="58" t="s">
        <v>502</v>
      </c>
      <c r="V327" s="58"/>
      <c r="W327" s="58"/>
      <c r="X327" s="58"/>
      <c r="Y327" s="58"/>
      <c r="AA327" s="2034"/>
      <c r="AB327" s="2034"/>
      <c r="AC327" s="2034"/>
      <c r="AD327" s="2034"/>
      <c r="AE327" s="2034"/>
      <c r="AF327" s="2034"/>
      <c r="AG327" s="2034"/>
      <c r="AH327" s="2034"/>
      <c r="AI327" s="2034"/>
      <c r="AJ327" s="2034"/>
      <c r="AK327" s="2034"/>
      <c r="AL327" s="39"/>
    </row>
    <row r="328" spans="1:66" ht="12.9">
      <c r="A328" s="39"/>
      <c r="B328" s="58" t="s">
        <v>503</v>
      </c>
      <c r="C328" s="58"/>
      <c r="D328" s="58"/>
      <c r="E328" s="58"/>
      <c r="F328" s="58"/>
      <c r="H328" s="2034" t="s">
        <v>2655</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9">
      <c r="A329" s="39"/>
      <c r="B329" s="58" t="s">
        <v>92</v>
      </c>
      <c r="C329" s="58"/>
      <c r="D329" s="58"/>
      <c r="E329" s="58"/>
      <c r="F329" s="58"/>
      <c r="H329" s="2034" t="s">
        <v>2656</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8" customHeight="1">
      <c r="A330" s="39"/>
      <c r="B330" s="58" t="s">
        <v>93</v>
      </c>
      <c r="C330" s="58"/>
      <c r="D330" s="58"/>
      <c r="E330" s="58"/>
      <c r="F330" s="58"/>
      <c r="G330" s="58"/>
      <c r="H330" s="2346" t="s">
        <v>2657</v>
      </c>
      <c r="I330" s="2347"/>
      <c r="J330" s="2347"/>
      <c r="K330" s="2347"/>
      <c r="L330" s="2347"/>
      <c r="M330" s="2347"/>
      <c r="N330" s="7" t="s">
        <v>211</v>
      </c>
      <c r="O330" s="7"/>
      <c r="P330" s="2348"/>
      <c r="Q330" s="2348"/>
      <c r="R330" s="2348"/>
      <c r="S330" s="58"/>
      <c r="T330" s="58" t="s">
        <v>93</v>
      </c>
      <c r="V330" s="58"/>
      <c r="W330" s="58"/>
      <c r="X330" s="58"/>
      <c r="Y330" s="58"/>
      <c r="AA330" s="2347"/>
      <c r="AB330" s="2347"/>
      <c r="AC330" s="2347"/>
      <c r="AD330" s="2347"/>
      <c r="AE330" s="2347"/>
      <c r="AF330" s="2347"/>
      <c r="AG330" s="7" t="s">
        <v>211</v>
      </c>
      <c r="AH330" s="7"/>
      <c r="AI330" s="2348"/>
      <c r="AJ330" s="2348"/>
      <c r="AK330" s="2348"/>
      <c r="AL330" s="39"/>
    </row>
    <row r="331" spans="1:66" ht="12.9">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9">
      <c r="A332" s="39"/>
      <c r="B332" s="58" t="s">
        <v>80</v>
      </c>
      <c r="C332" s="58"/>
      <c r="D332" s="58"/>
      <c r="E332" s="58"/>
      <c r="F332" s="58"/>
      <c r="G332" s="58"/>
      <c r="H332" s="2034" t="s">
        <v>2658</v>
      </c>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40" t="s">
        <v>2575</v>
      </c>
      <c r="I334" s="2040"/>
      <c r="J334" s="2040"/>
      <c r="K334" s="2040"/>
      <c r="L334" s="2040"/>
      <c r="M334" s="2040"/>
      <c r="N334" s="2040"/>
      <c r="O334" s="2040"/>
      <c r="P334" s="2040"/>
      <c r="Q334" s="2040"/>
      <c r="R334" s="2040"/>
      <c r="T334" s="405" t="s">
        <v>950</v>
      </c>
      <c r="V334" s="58"/>
      <c r="W334" s="58"/>
      <c r="X334" s="58"/>
      <c r="Y334" s="58"/>
      <c r="AA334" s="2040" t="s">
        <v>2624</v>
      </c>
      <c r="AB334" s="2040"/>
      <c r="AC334" s="2040"/>
      <c r="AD334" s="2040"/>
      <c r="AE334" s="2040"/>
      <c r="AF334" s="2040"/>
      <c r="AG334" s="2040"/>
      <c r="AH334" s="2040"/>
      <c r="AI334" s="2040"/>
      <c r="AJ334" s="2040"/>
      <c r="AK334" s="2040"/>
      <c r="AL334" s="39"/>
    </row>
    <row r="335" spans="1:66" ht="12.8" customHeight="1">
      <c r="B335" s="58" t="s">
        <v>502</v>
      </c>
      <c r="C335" s="240"/>
      <c r="D335" s="240"/>
      <c r="E335" s="240"/>
      <c r="F335" s="240"/>
      <c r="G335" s="3"/>
      <c r="H335" s="2034" t="s">
        <v>2576</v>
      </c>
      <c r="I335" s="2034"/>
      <c r="J335" s="2034"/>
      <c r="K335" s="2034"/>
      <c r="L335" s="2034"/>
      <c r="M335" s="2034"/>
      <c r="N335" s="2034"/>
      <c r="O335" s="2034"/>
      <c r="P335" s="2034"/>
      <c r="Q335" s="2034"/>
      <c r="R335" s="2034"/>
      <c r="T335" s="58" t="s">
        <v>502</v>
      </c>
      <c r="V335" s="58"/>
      <c r="W335" s="58"/>
      <c r="X335" s="58"/>
      <c r="Y335" s="58"/>
      <c r="AA335" s="2034" t="s">
        <v>2625</v>
      </c>
      <c r="AB335" s="2034"/>
      <c r="AC335" s="2034"/>
      <c r="AD335" s="2034"/>
      <c r="AE335" s="2034"/>
      <c r="AF335" s="2034"/>
      <c r="AG335" s="2034"/>
      <c r="AH335" s="2034"/>
      <c r="AI335" s="2034"/>
      <c r="AJ335" s="2034"/>
      <c r="AK335" s="2034"/>
      <c r="AL335" s="39"/>
    </row>
    <row r="336" spans="1:66" ht="12.8" customHeight="1">
      <c r="B336" s="58" t="s">
        <v>79</v>
      </c>
      <c r="C336" s="240"/>
      <c r="D336" s="240"/>
      <c r="E336" s="240"/>
      <c r="F336" s="240"/>
      <c r="G336" s="3"/>
      <c r="H336" s="2034" t="s">
        <v>2577</v>
      </c>
      <c r="I336" s="2034"/>
      <c r="J336" s="2034"/>
      <c r="K336" s="2034"/>
      <c r="L336" s="2034"/>
      <c r="M336" s="2034"/>
      <c r="N336" s="2034"/>
      <c r="O336" s="2034"/>
      <c r="P336" s="2034"/>
      <c r="Q336" s="2034"/>
      <c r="R336" s="2034"/>
      <c r="T336" s="58" t="s">
        <v>79</v>
      </c>
      <c r="V336" s="58"/>
      <c r="W336" s="58"/>
      <c r="X336" s="58"/>
      <c r="Y336" s="58"/>
      <c r="AA336" s="2034" t="s">
        <v>2626</v>
      </c>
      <c r="AB336" s="2034"/>
      <c r="AC336" s="2034"/>
      <c r="AD336" s="2034"/>
      <c r="AE336" s="2034"/>
      <c r="AF336" s="2034"/>
      <c r="AG336" s="2034"/>
      <c r="AH336" s="2034"/>
      <c r="AI336" s="2034"/>
      <c r="AJ336" s="2034"/>
      <c r="AK336" s="2034"/>
      <c r="AL336" s="39"/>
    </row>
    <row r="337" spans="1:66" ht="12.8" customHeight="1">
      <c r="A337" s="39"/>
      <c r="B337" s="58" t="s">
        <v>92</v>
      </c>
      <c r="C337" s="240"/>
      <c r="D337" s="240"/>
      <c r="E337" s="240"/>
      <c r="F337" s="240"/>
      <c r="G337" s="240"/>
      <c r="H337" s="2034" t="s">
        <v>2578</v>
      </c>
      <c r="I337" s="2034"/>
      <c r="J337" s="2034"/>
      <c r="K337" s="2034"/>
      <c r="L337" s="2034"/>
      <c r="M337" s="2034"/>
      <c r="N337" s="2034"/>
      <c r="O337" s="2034"/>
      <c r="P337" s="2034"/>
      <c r="Q337" s="2034"/>
      <c r="R337" s="2034"/>
      <c r="T337" s="58" t="s">
        <v>92</v>
      </c>
      <c r="V337" s="58"/>
      <c r="W337" s="58"/>
      <c r="X337" s="58"/>
      <c r="Y337" s="58"/>
      <c r="AA337" s="2034" t="s">
        <v>2627</v>
      </c>
      <c r="AB337" s="2034"/>
      <c r="AC337" s="2034"/>
      <c r="AD337" s="2034"/>
      <c r="AE337" s="2034"/>
      <c r="AF337" s="2034"/>
      <c r="AG337" s="2034"/>
      <c r="AH337" s="2034"/>
      <c r="AI337" s="2034"/>
      <c r="AJ337" s="2034"/>
      <c r="AK337" s="2034"/>
      <c r="AL337" s="39"/>
    </row>
    <row r="338" spans="1:66" ht="12.8" customHeight="1">
      <c r="A338" s="39"/>
      <c r="B338" s="58" t="s">
        <v>93</v>
      </c>
      <c r="C338" s="240"/>
      <c r="D338" s="240"/>
      <c r="E338" s="240"/>
      <c r="F338" s="240"/>
      <c r="G338" s="240"/>
      <c r="H338" s="2346" t="s">
        <v>2579</v>
      </c>
      <c r="I338" s="2347"/>
      <c r="J338" s="2347"/>
      <c r="K338" s="2347"/>
      <c r="L338" s="2347"/>
      <c r="M338" s="2347"/>
      <c r="N338" s="7" t="s">
        <v>211</v>
      </c>
      <c r="O338" s="7"/>
      <c r="P338" s="2348"/>
      <c r="Q338" s="2348"/>
      <c r="R338" s="2348"/>
      <c r="S338" s="58"/>
      <c r="T338" s="58" t="s">
        <v>93</v>
      </c>
      <c r="V338" s="58"/>
      <c r="W338" s="58"/>
      <c r="X338" s="58"/>
      <c r="Y338" s="58"/>
      <c r="AA338" s="2346" t="s">
        <v>2628</v>
      </c>
      <c r="AB338" s="2347"/>
      <c r="AC338" s="2347"/>
      <c r="AD338" s="2347"/>
      <c r="AE338" s="2347"/>
      <c r="AF338" s="2347"/>
      <c r="AG338" s="7" t="s">
        <v>211</v>
      </c>
      <c r="AH338" s="7"/>
      <c r="AI338" s="2348"/>
      <c r="AJ338" s="2348"/>
      <c r="AK338" s="2348"/>
      <c r="AL338" s="39"/>
    </row>
    <row r="339" spans="1:66" ht="12.9">
      <c r="A339" s="39"/>
      <c r="B339" s="58" t="s">
        <v>94</v>
      </c>
      <c r="C339" s="240"/>
      <c r="D339" s="240"/>
      <c r="E339" s="240"/>
      <c r="F339" s="240"/>
      <c r="G339" s="240"/>
      <c r="H339" s="2321" t="s">
        <v>2580</v>
      </c>
      <c r="I339" s="2064"/>
      <c r="J339" s="2064"/>
      <c r="K339" s="2064"/>
      <c r="L339" s="2064"/>
      <c r="M339" s="2064"/>
      <c r="N339" s="60"/>
      <c r="O339" s="60"/>
      <c r="P339" s="62"/>
      <c r="Q339" s="62"/>
      <c r="R339" s="62"/>
      <c r="S339" s="58"/>
      <c r="T339" s="58" t="s">
        <v>94</v>
      </c>
      <c r="V339" s="58"/>
      <c r="W339" s="58"/>
      <c r="X339" s="58"/>
      <c r="Y339" s="58"/>
      <c r="AA339" s="2321" t="s">
        <v>2629</v>
      </c>
      <c r="AB339" s="2064"/>
      <c r="AC339" s="2064"/>
      <c r="AD339" s="2064"/>
      <c r="AE339" s="2064"/>
      <c r="AF339" s="2064"/>
      <c r="AG339" s="60"/>
      <c r="AH339" s="60"/>
      <c r="AI339" s="62"/>
      <c r="AJ339" s="62"/>
      <c r="AK339" s="62"/>
      <c r="AL339" s="39"/>
    </row>
    <row r="340" spans="1:66" ht="12.9">
      <c r="A340" s="39"/>
      <c r="B340" s="58" t="s">
        <v>80</v>
      </c>
      <c r="C340" s="237"/>
      <c r="D340" s="237"/>
      <c r="E340" s="237"/>
      <c r="F340" s="237"/>
      <c r="G340" s="237"/>
      <c r="H340" s="2034" t="s">
        <v>2581</v>
      </c>
      <c r="I340" s="2034"/>
      <c r="J340" s="2034"/>
      <c r="K340" s="2034"/>
      <c r="L340" s="2034"/>
      <c r="M340" s="2034"/>
      <c r="N340" s="2040"/>
      <c r="O340" s="2040"/>
      <c r="P340" s="2040"/>
      <c r="Q340" s="2040"/>
      <c r="R340" s="2040"/>
      <c r="S340" s="58"/>
      <c r="T340" s="58" t="s">
        <v>80</v>
      </c>
      <c r="V340" s="58"/>
      <c r="W340" s="58"/>
      <c r="X340" s="58"/>
      <c r="Y340" s="58"/>
      <c r="AA340" s="2034" t="s">
        <v>2630</v>
      </c>
      <c r="AB340" s="2034"/>
      <c r="AC340" s="2034"/>
      <c r="AD340" s="2034"/>
      <c r="AE340" s="2034"/>
      <c r="AF340" s="2034"/>
      <c r="AG340" s="2040"/>
      <c r="AH340" s="2040"/>
      <c r="AI340" s="2040"/>
      <c r="AJ340" s="2040"/>
      <c r="AK340" s="2040"/>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40" t="s">
        <v>2518</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624</v>
      </c>
    </row>
    <row r="343" spans="1:66" ht="12.9">
      <c r="A343" s="3"/>
      <c r="B343" s="60"/>
      <c r="C343" s="60"/>
      <c r="D343" s="60"/>
      <c r="E343" s="60"/>
      <c r="F343" s="60"/>
      <c r="G343" s="3"/>
      <c r="H343" s="88"/>
      <c r="I343" s="7" t="s">
        <v>502</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704</v>
      </c>
    </row>
    <row r="344" spans="1:66" ht="12.9">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576</v>
      </c>
    </row>
    <row r="345" spans="1:66" ht="12.9">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9">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211</v>
      </c>
      <c r="AB346" s="7"/>
      <c r="AC346" s="2033"/>
      <c r="AD346" s="2033"/>
      <c r="AE346" s="2033"/>
      <c r="AF346" s="465"/>
      <c r="AG346" s="60"/>
      <c r="AH346" s="60"/>
      <c r="AI346" s="406"/>
      <c r="AJ346" s="406"/>
      <c r="AK346" s="406"/>
      <c r="AL346" s="39"/>
    </row>
    <row r="347" spans="1:66" ht="12.8"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9">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573</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2" t="s">
        <v>576</v>
      </c>
      <c r="N354" s="2032"/>
      <c r="P354" s="12" t="s">
        <v>2001</v>
      </c>
      <c r="AJ354" s="2032" t="s">
        <v>704</v>
      </c>
      <c r="AK354" s="2032"/>
    </row>
    <row r="355" spans="1:37" ht="12.8" customHeight="1">
      <c r="D355" s="58" t="s">
        <v>1990</v>
      </c>
      <c r="M355" s="2032" t="s">
        <v>624</v>
      </c>
      <c r="N355" s="2032"/>
      <c r="P355" s="58" t="s">
        <v>2215</v>
      </c>
      <c r="AJ355" s="2042" t="s">
        <v>624</v>
      </c>
      <c r="AK355" s="2042"/>
    </row>
    <row r="356" spans="1:37" ht="12.8" customHeight="1">
      <c r="D356" s="12" t="s">
        <v>743</v>
      </c>
      <c r="M356" s="2032" t="s">
        <v>624</v>
      </c>
      <c r="N356" s="2032"/>
      <c r="P356" s="719" t="s">
        <v>2000</v>
      </c>
      <c r="AJ356" s="2032" t="s">
        <v>624</v>
      </c>
      <c r="AK356" s="2032"/>
    </row>
    <row r="357" spans="1:37" ht="12.8" customHeight="1">
      <c r="D357" s="12" t="s">
        <v>744</v>
      </c>
      <c r="M357" s="2032" t="s">
        <v>624</v>
      </c>
      <c r="N357" s="2032"/>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2" t="s">
        <v>624</v>
      </c>
      <c r="O362" s="2032"/>
      <c r="P362" s="69"/>
      <c r="Q362" s="69"/>
      <c r="R362" s="69"/>
      <c r="S362" s="69"/>
      <c r="T362" s="69"/>
      <c r="U362" s="69"/>
      <c r="V362" s="69"/>
      <c r="W362" s="69"/>
      <c r="X362" s="69"/>
      <c r="Y362" s="70"/>
      <c r="Z362" s="70"/>
      <c r="AC362" s="69"/>
      <c r="AD362" s="69"/>
      <c r="AE362" s="69"/>
    </row>
    <row r="363" spans="1:37" ht="12.8" customHeight="1">
      <c r="E363" s="12" t="s">
        <v>380</v>
      </c>
      <c r="Y363" s="2032" t="s">
        <v>624</v>
      </c>
      <c r="Z363" s="2032"/>
    </row>
    <row r="364" spans="1:37" ht="12.8" customHeight="1">
      <c r="D364" s="7" t="s">
        <v>1056</v>
      </c>
      <c r="Q364" s="2040" t="s">
        <v>624</v>
      </c>
      <c r="R364" s="2040"/>
      <c r="S364" s="2040"/>
      <c r="T364" s="2040"/>
      <c r="U364" s="2040"/>
      <c r="V364" s="2040"/>
      <c r="W364" s="2040"/>
      <c r="X364" s="2040"/>
      <c r="Y364" s="2040"/>
      <c r="Z364" s="2040"/>
      <c r="AA364" s="2040"/>
      <c r="AB364" s="2040"/>
      <c r="AC364" s="2040"/>
      <c r="AD364" s="2040"/>
      <c r="AE364" s="2040"/>
      <c r="AF364" s="2040"/>
      <c r="AG364" s="2040"/>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2" t="s">
        <v>624</v>
      </c>
      <c r="K366" s="2032"/>
      <c r="L366" s="69"/>
      <c r="M366" s="69"/>
      <c r="N366" s="69"/>
      <c r="O366" s="69"/>
      <c r="P366" s="69"/>
      <c r="Q366" s="69"/>
      <c r="R366" s="69"/>
      <c r="S366" s="69"/>
      <c r="T366" s="69"/>
      <c r="U366" s="69"/>
      <c r="V366" s="69"/>
      <c r="W366" s="69"/>
      <c r="X366" s="69"/>
      <c r="Y366" s="69"/>
      <c r="Z366" s="69"/>
      <c r="AC366" s="69"/>
      <c r="AD366" s="69"/>
      <c r="AE366" s="69"/>
    </row>
    <row r="367" spans="1:37" ht="12.8" customHeight="1">
      <c r="E367" s="2351" t="s">
        <v>745</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8"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8" customHeight="1">
      <c r="E369" s="7" t="s">
        <v>477</v>
      </c>
      <c r="F369" s="7"/>
      <c r="G369" s="7"/>
      <c r="H369" s="7"/>
      <c r="I369" s="7"/>
      <c r="J369" s="7"/>
      <c r="K369" s="7"/>
      <c r="L369" s="7"/>
      <c r="N369" s="2345"/>
      <c r="O369" s="2345"/>
      <c r="P369" s="2345"/>
      <c r="Q369" s="2345"/>
      <c r="R369" s="7"/>
      <c r="U369" s="7" t="s">
        <v>478</v>
      </c>
      <c r="V369" s="7"/>
      <c r="W369" s="7"/>
      <c r="X369" s="7"/>
      <c r="Y369" s="7"/>
      <c r="Z369" s="7"/>
      <c r="AA369" s="7"/>
      <c r="AB369" s="7"/>
      <c r="AC369" s="2345"/>
      <c r="AD369" s="2345"/>
      <c r="AE369" s="2345"/>
      <c r="AF369" s="2345"/>
    </row>
    <row r="370" spans="1:36" ht="12.8" customHeight="1">
      <c r="E370" s="7" t="s">
        <v>479</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8"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8" customHeight="1">
      <c r="E372" s="7" t="s">
        <v>2</v>
      </c>
      <c r="F372" s="7"/>
      <c r="G372" s="7"/>
      <c r="H372" s="7"/>
      <c r="I372" s="7"/>
      <c r="J372" s="7"/>
      <c r="K372" s="7"/>
      <c r="L372" s="7"/>
      <c r="N372" s="2552"/>
      <c r="O372" s="2552"/>
      <c r="P372" s="2552"/>
      <c r="Q372" s="2552"/>
      <c r="R372" s="2552"/>
      <c r="S372" s="2552"/>
      <c r="T372" s="2552"/>
      <c r="U372" s="2552"/>
      <c r="V372" s="2552"/>
      <c r="W372" s="2552"/>
      <c r="X372" s="2552"/>
      <c r="Y372" s="2552"/>
      <c r="Z372" s="2552"/>
      <c r="AA372" s="2552"/>
      <c r="AB372" s="2552"/>
      <c r="AC372" s="2552"/>
      <c r="AD372" s="2552"/>
      <c r="AE372" s="2552"/>
      <c r="AF372" s="2552"/>
    </row>
    <row r="373" spans="1:36" ht="12.8" customHeight="1">
      <c r="E373" s="7"/>
      <c r="F373" s="7"/>
      <c r="G373" s="7"/>
      <c r="H373" s="7"/>
      <c r="I373" s="7"/>
      <c r="J373" s="7"/>
      <c r="K373" s="7"/>
      <c r="L373" s="7"/>
      <c r="N373" s="2553"/>
      <c r="O373" s="2553"/>
      <c r="P373" s="2553"/>
      <c r="Q373" s="2553"/>
      <c r="R373" s="2553"/>
      <c r="S373" s="2553"/>
      <c r="T373" s="2553"/>
      <c r="U373" s="2553"/>
      <c r="V373" s="2553"/>
      <c r="W373" s="2553"/>
      <c r="X373" s="2553"/>
      <c r="Y373" s="2553"/>
      <c r="Z373" s="2553"/>
      <c r="AA373" s="2553"/>
      <c r="AB373" s="2553"/>
      <c r="AC373" s="2553"/>
      <c r="AD373" s="2553"/>
      <c r="AE373" s="2553"/>
      <c r="AF373" s="2553"/>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430"/>
      <c r="T376" s="2430"/>
      <c r="U376" s="4" t="s">
        <v>314</v>
      </c>
      <c r="V376" s="2430"/>
      <c r="W376" s="2430"/>
      <c r="Y376" s="25" t="s">
        <v>312</v>
      </c>
      <c r="AA376" s="25"/>
      <c r="AB376" s="25" t="s">
        <v>313</v>
      </c>
      <c r="AD376" s="2430"/>
      <c r="AE376" s="2430"/>
      <c r="AF376" s="4" t="s">
        <v>314</v>
      </c>
      <c r="AG376" s="2430"/>
      <c r="AH376" s="2430"/>
    </row>
    <row r="377" spans="1:36" ht="12.8" customHeight="1">
      <c r="E377" s="7" t="s">
        <v>1087</v>
      </c>
      <c r="F377" s="7"/>
      <c r="G377" s="7"/>
      <c r="H377" s="7"/>
      <c r="I377" s="7"/>
      <c r="J377" s="7"/>
      <c r="K377" s="7"/>
      <c r="L377" s="7"/>
      <c r="N377" s="2430"/>
      <c r="O377" s="2430"/>
      <c r="P377" s="2430"/>
    </row>
    <row r="378" spans="1:36" ht="12.8" customHeight="1">
      <c r="E378" s="382" t="s">
        <v>1088</v>
      </c>
      <c r="F378" s="7"/>
      <c r="G378" s="7"/>
      <c r="H378" s="7"/>
      <c r="I378" s="7"/>
      <c r="J378" s="7"/>
      <c r="K378" s="7"/>
      <c r="L378" s="7"/>
      <c r="AG378" s="2429" t="s">
        <v>624</v>
      </c>
      <c r="AH378" s="2429"/>
    </row>
    <row r="379" spans="1:36" ht="12.8" customHeight="1">
      <c r="E379" s="7"/>
      <c r="F379" s="7"/>
      <c r="G379" s="7" t="s">
        <v>1109</v>
      </c>
      <c r="H379" s="7"/>
      <c r="I379" s="7"/>
      <c r="J379" s="7"/>
      <c r="K379" s="7"/>
      <c r="L379" s="7"/>
      <c r="AG379" s="2429" t="s">
        <v>624</v>
      </c>
      <c r="AH379" s="2429"/>
    </row>
    <row r="380" spans="1:36" ht="12.8" customHeight="1">
      <c r="E380" s="7"/>
      <c r="F380" s="7"/>
      <c r="G380" s="509" t="s">
        <v>1089</v>
      </c>
      <c r="H380" s="7"/>
      <c r="I380" s="7"/>
      <c r="J380" s="7"/>
      <c r="K380" s="7"/>
      <c r="L380" s="7"/>
      <c r="V380" s="2032" t="s">
        <v>624</v>
      </c>
      <c r="W380" s="2032"/>
      <c r="Y380" s="35" t="s">
        <v>1058</v>
      </c>
    </row>
    <row r="381" spans="1:36" ht="12.8" customHeight="1">
      <c r="E381" s="7" t="s">
        <v>1059</v>
      </c>
      <c r="F381" s="7"/>
      <c r="G381" s="7"/>
      <c r="H381" s="7"/>
      <c r="I381" s="7"/>
      <c r="J381" s="7"/>
      <c r="K381" s="7"/>
      <c r="L381" s="7"/>
      <c r="V381" s="2032" t="s">
        <v>624</v>
      </c>
      <c r="W381" s="2032"/>
      <c r="Y381" s="7" t="s">
        <v>1060</v>
      </c>
    </row>
    <row r="382" spans="1:36" ht="12.8" customHeight="1"/>
    <row r="383" spans="1:36" ht="12.8" customHeight="1">
      <c r="A383" s="50" t="s">
        <v>82</v>
      </c>
      <c r="B383" s="50"/>
    </row>
    <row r="384" spans="1:36" ht="12.8" customHeight="1">
      <c r="D384" s="12" t="s">
        <v>448</v>
      </c>
      <c r="J384" s="2040" t="s">
        <v>2659</v>
      </c>
      <c r="K384" s="2040"/>
      <c r="L384" s="2040"/>
      <c r="M384" s="2040"/>
      <c r="N384" s="2040"/>
      <c r="O384" s="2040"/>
      <c r="P384" s="2040"/>
      <c r="Q384" s="2040"/>
      <c r="R384" s="2040"/>
      <c r="S384" s="2040"/>
      <c r="T384" s="2040"/>
      <c r="U384" s="2040"/>
      <c r="V384" s="14" t="s">
        <v>88</v>
      </c>
      <c r="W384" s="14"/>
      <c r="X384" s="14"/>
      <c r="Y384" s="14"/>
      <c r="Z384" s="14"/>
      <c r="AA384" s="14"/>
      <c r="AB384" s="14"/>
      <c r="AC384" s="2040" t="s">
        <v>2643</v>
      </c>
      <c r="AD384" s="2040"/>
      <c r="AE384" s="2040"/>
      <c r="AF384" s="2040"/>
      <c r="AG384" s="2040"/>
      <c r="AH384" s="2040"/>
      <c r="AI384" s="2040"/>
      <c r="AJ384" s="2040"/>
    </row>
    <row r="385" spans="1:96" ht="12.8" customHeight="1">
      <c r="A385" s="719"/>
      <c r="B385" s="719"/>
      <c r="C385" s="719"/>
      <c r="D385" s="58" t="s">
        <v>1379</v>
      </c>
      <c r="E385" s="719"/>
      <c r="F385" s="719"/>
      <c r="G385" s="719"/>
      <c r="H385" s="719"/>
      <c r="I385" s="719"/>
      <c r="J385" s="2034" t="s">
        <v>2660</v>
      </c>
      <c r="K385" s="2034"/>
      <c r="L385" s="2034"/>
      <c r="M385" s="2034"/>
      <c r="N385" s="2034"/>
      <c r="O385" s="2034"/>
      <c r="P385" s="2034"/>
      <c r="Q385" s="2034"/>
      <c r="R385" s="2034"/>
      <c r="S385" s="2034"/>
      <c r="T385" s="2034"/>
      <c r="U385" s="2034"/>
      <c r="V385" s="58" t="s">
        <v>1379</v>
      </c>
      <c r="W385" s="14"/>
      <c r="X385" s="14"/>
      <c r="Y385" s="14"/>
      <c r="Z385" s="14"/>
      <c r="AA385" s="14"/>
      <c r="AB385" s="14"/>
      <c r="AC385" s="2040"/>
      <c r="AD385" s="2040"/>
      <c r="AE385" s="2040"/>
      <c r="AF385" s="2040"/>
      <c r="AG385" s="2040"/>
      <c r="AH385" s="2040"/>
      <c r="AI385" s="2040"/>
      <c r="AJ385" s="2040"/>
      <c r="AK385" s="719"/>
      <c r="AL385" s="719"/>
    </row>
    <row r="386" spans="1:96" ht="12.8" customHeight="1">
      <c r="A386" s="719"/>
      <c r="B386" s="719"/>
      <c r="C386" s="719"/>
      <c r="D386" s="58" t="s">
        <v>462</v>
      </c>
      <c r="E386" s="719"/>
      <c r="F386" s="719"/>
      <c r="G386" s="719"/>
      <c r="H386" s="719"/>
      <c r="I386" s="719"/>
      <c r="J386" s="2034" t="s">
        <v>2661</v>
      </c>
      <c r="K386" s="2034"/>
      <c r="L386" s="2034"/>
      <c r="M386" s="2034"/>
      <c r="N386" s="2034"/>
      <c r="O386" s="2034"/>
      <c r="P386" s="2034"/>
      <c r="Q386" s="2034"/>
      <c r="R386" s="2034"/>
      <c r="S386" s="2034"/>
      <c r="T386" s="2034"/>
      <c r="U386" s="2034"/>
      <c r="V386" s="58" t="s">
        <v>462</v>
      </c>
      <c r="W386" s="14"/>
      <c r="X386" s="14"/>
      <c r="Y386" s="14"/>
      <c r="Z386" s="14"/>
      <c r="AA386" s="14"/>
      <c r="AB386" s="14"/>
      <c r="AC386" s="2040"/>
      <c r="AD386" s="2040"/>
      <c r="AE386" s="2040"/>
      <c r="AF386" s="2040"/>
      <c r="AG386" s="2040"/>
      <c r="AH386" s="2040"/>
      <c r="AI386" s="2040"/>
      <c r="AJ386" s="2040"/>
      <c r="AK386" s="719"/>
      <c r="AL386" s="719"/>
    </row>
    <row r="387" spans="1:96" ht="12.8" customHeight="1">
      <c r="A387" s="719"/>
      <c r="B387" s="719"/>
      <c r="C387" s="719"/>
      <c r="D387" s="479" t="s">
        <v>1375</v>
      </c>
      <c r="E387" s="719"/>
      <c r="F387" s="719"/>
      <c r="G387" s="719"/>
      <c r="H387" s="719"/>
      <c r="I387" s="88"/>
      <c r="J387" s="2195" t="s">
        <v>2645</v>
      </c>
      <c r="K387" s="2195"/>
      <c r="L387" s="2195"/>
      <c r="M387" s="2195"/>
      <c r="N387" s="2195"/>
      <c r="O387" s="2195"/>
      <c r="P387" s="2195"/>
      <c r="Q387" s="2195"/>
      <c r="R387" s="2195"/>
      <c r="S387" s="2195"/>
      <c r="T387" s="2195"/>
      <c r="U387" s="2195"/>
      <c r="V387" s="2040" t="s">
        <v>2662</v>
      </c>
      <c r="W387" s="2040"/>
      <c r="X387" s="2040"/>
      <c r="Y387" s="2040"/>
      <c r="Z387" s="2040"/>
      <c r="AA387" s="2040"/>
      <c r="AB387" s="2040"/>
      <c r="AC387" s="2040"/>
      <c r="AD387" s="2040"/>
      <c r="AE387" s="2040"/>
      <c r="AF387" s="2040"/>
      <c r="AG387" s="2040"/>
      <c r="AH387" s="2040"/>
      <c r="AI387" s="2040"/>
      <c r="AJ387" s="2040"/>
      <c r="AK387" s="719"/>
      <c r="AL387" s="719"/>
    </row>
    <row r="388" spans="1:96" ht="12.8" customHeight="1">
      <c r="D388" s="12" t="s">
        <v>4</v>
      </c>
      <c r="Q388" s="2438">
        <v>44434</v>
      </c>
      <c r="R388" s="2438"/>
      <c r="S388" s="2438"/>
      <c r="T388" s="2438"/>
      <c r="U388" s="2438"/>
      <c r="V388" s="12" t="s">
        <v>317</v>
      </c>
      <c r="AI388" s="2032" t="s">
        <v>704</v>
      </c>
      <c r="AJ388" s="2032"/>
    </row>
    <row r="389" spans="1:96" ht="12.8" customHeight="1">
      <c r="D389" s="12" t="s">
        <v>5</v>
      </c>
      <c r="Q389" s="2189">
        <v>44926</v>
      </c>
      <c r="R389" s="2350"/>
      <c r="S389" s="2350"/>
      <c r="T389" s="2350"/>
      <c r="U389" s="2350"/>
      <c r="W389" s="33" t="s">
        <v>78</v>
      </c>
      <c r="AG389" s="2439" t="s">
        <v>624</v>
      </c>
      <c r="AH389" s="2440"/>
      <c r="AI389" s="2440"/>
      <c r="AJ389" s="2440"/>
    </row>
    <row r="390" spans="1:96" ht="12.8" customHeight="1">
      <c r="D390" s="12" t="s">
        <v>447</v>
      </c>
      <c r="Q390" s="2441">
        <v>4500000</v>
      </c>
      <c r="R390" s="2441"/>
      <c r="S390" s="2441"/>
      <c r="T390" s="2441"/>
      <c r="U390" s="2441"/>
      <c r="V390" s="58" t="s">
        <v>1378</v>
      </c>
      <c r="AG390" s="2551">
        <v>44713</v>
      </c>
      <c r="AH390" s="2551"/>
      <c r="AI390" s="2551"/>
      <c r="AJ390" s="2551"/>
    </row>
    <row r="391" spans="1:96" ht="12.8" customHeight="1">
      <c r="D391" s="12" t="s">
        <v>93</v>
      </c>
      <c r="I391" s="2346" t="s">
        <v>2647</v>
      </c>
      <c r="J391" s="2347"/>
      <c r="K391" s="2347"/>
      <c r="L391" s="2347"/>
      <c r="M391" s="2347"/>
      <c r="N391" s="2347"/>
      <c r="Q391" s="57" t="s">
        <v>211</v>
      </c>
      <c r="S391" s="2437"/>
      <c r="T391" s="2437"/>
      <c r="U391" s="2437"/>
      <c r="V391" s="12" t="s">
        <v>77</v>
      </c>
      <c r="AI391" s="2032" t="s">
        <v>704</v>
      </c>
      <c r="AJ391" s="2032"/>
    </row>
    <row r="392" spans="1:96" ht="12.8" customHeight="1">
      <c r="D392" s="12" t="s">
        <v>318</v>
      </c>
      <c r="Q392" s="2186">
        <v>9.9999999999999995E-7</v>
      </c>
      <c r="R392" s="2186"/>
      <c r="S392" s="2186"/>
      <c r="T392" s="2186"/>
      <c r="U392" s="2186"/>
      <c r="V392" s="12" t="s">
        <v>319</v>
      </c>
      <c r="AG392" s="2440">
        <v>9.9999999999999995E-7</v>
      </c>
      <c r="AH392" s="2440"/>
      <c r="AI392" s="2440"/>
      <c r="AJ392" s="2440"/>
    </row>
    <row r="393" spans="1:96" ht="12.8" customHeight="1">
      <c r="D393" s="12" t="s">
        <v>320</v>
      </c>
      <c r="Q393" s="2498">
        <v>9.9999999999999995E-8</v>
      </c>
      <c r="R393" s="2498"/>
      <c r="S393" s="2498"/>
      <c r="T393" s="2498"/>
      <c r="U393" s="2498"/>
      <c r="V393" s="719" t="s">
        <v>1355</v>
      </c>
      <c r="AG393" s="2440"/>
      <c r="AH393" s="2440"/>
      <c r="AI393" s="2440"/>
      <c r="AJ393" s="2440"/>
    </row>
    <row r="394" spans="1:96" ht="12.9">
      <c r="D394" s="719" t="s">
        <v>1354</v>
      </c>
      <c r="V394" s="719"/>
      <c r="AG394" s="2440"/>
      <c r="AH394" s="2440"/>
      <c r="AI394" s="2440"/>
      <c r="AJ394" s="2440"/>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2" t="s">
        <v>704</v>
      </c>
      <c r="AJ396" s="2032"/>
      <c r="AM396" s="39"/>
      <c r="AN396" s="39"/>
      <c r="AO396" s="39"/>
      <c r="AP396" s="39"/>
      <c r="AQ396" s="39"/>
      <c r="AR396" s="39"/>
      <c r="AS396" s="39"/>
      <c r="AT396" s="39"/>
      <c r="AU396" s="39"/>
      <c r="AV396" s="39"/>
      <c r="AW396" s="39"/>
      <c r="AX396" s="39"/>
      <c r="AY396" s="39"/>
      <c r="CR396" s="25"/>
    </row>
    <row r="397" spans="1:96" s="719" customFormat="1" ht="12.9">
      <c r="D397" s="58" t="s">
        <v>2021</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9">
      <c r="D398" s="58" t="s">
        <v>2020</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530" t="s">
        <v>704</v>
      </c>
      <c r="T400" s="2530"/>
      <c r="U400" s="2530"/>
      <c r="V400" s="479" t="s">
        <v>2014</v>
      </c>
      <c r="W400" s="719"/>
      <c r="X400" s="719"/>
      <c r="Y400" s="719"/>
      <c r="Z400" s="719"/>
      <c r="AA400" s="719"/>
      <c r="AB400" s="39"/>
      <c r="AC400" s="39"/>
      <c r="AD400" s="39"/>
      <c r="AE400" s="39"/>
      <c r="AF400" s="39"/>
      <c r="AG400" s="2490"/>
      <c r="AH400" s="2490"/>
      <c r="AI400" s="2490"/>
      <c r="AJ400" s="2490"/>
      <c r="AK400" s="39"/>
      <c r="AL400" s="719"/>
    </row>
    <row r="401" spans="1:96" s="719" customFormat="1" ht="12.9">
      <c r="D401" s="58" t="s">
        <v>2010</v>
      </c>
      <c r="S401" s="2530" t="s">
        <v>624</v>
      </c>
      <c r="T401" s="2530"/>
      <c r="U401" s="2530"/>
      <c r="V401" s="479" t="s">
        <v>2016</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9" customFormat="1" ht="12.9">
      <c r="D402" s="58" t="s">
        <v>2012</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9">
      <c r="D403" s="58" t="s">
        <v>2015</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526"/>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9">
      <c r="D405" s="2525" t="s">
        <v>2017</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9">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309" t="s">
        <v>2663</v>
      </c>
      <c r="J409" s="2309"/>
      <c r="K409" s="2309"/>
      <c r="L409" s="2309"/>
      <c r="M409" s="2309"/>
      <c r="N409" s="2309"/>
      <c r="O409" s="2309"/>
      <c r="P409" s="2309"/>
      <c r="Q409" s="2309"/>
      <c r="R409" s="2309"/>
      <c r="S409" s="2309"/>
      <c r="T409" s="2309"/>
      <c r="U409" s="2309"/>
      <c r="V409" s="2309"/>
      <c r="W409" s="2309"/>
      <c r="X409" s="2309"/>
      <c r="Y409" s="2309"/>
      <c r="Z409" s="2309"/>
      <c r="AA409" s="2309"/>
      <c r="AB409" s="2309"/>
      <c r="AC409" s="2309"/>
      <c r="AD409" s="2309"/>
      <c r="AE409" s="2309"/>
    </row>
    <row r="410" spans="1:96" ht="12.8" customHeight="1">
      <c r="C410" s="25"/>
      <c r="D410" s="25"/>
      <c r="E410" s="12" t="s">
        <v>111</v>
      </c>
      <c r="F410" s="25"/>
      <c r="G410" s="25"/>
      <c r="H410" s="25"/>
      <c r="I410" s="25"/>
      <c r="J410" s="25"/>
      <c r="K410" s="25"/>
      <c r="L410" s="25"/>
      <c r="M410" s="25"/>
      <c r="N410" s="25"/>
      <c r="O410" s="25"/>
      <c r="P410" s="719"/>
      <c r="Q410" s="719"/>
      <c r="R410" s="2032" t="s">
        <v>624</v>
      </c>
      <c r="S410" s="2032"/>
      <c r="T410" s="12" t="s">
        <v>602</v>
      </c>
      <c r="U410" s="719"/>
      <c r="V410" s="719"/>
      <c r="W410" s="719"/>
      <c r="X410" s="719"/>
      <c r="Y410" s="719"/>
      <c r="Z410" s="719"/>
      <c r="AA410" s="719"/>
      <c r="AB410" s="719"/>
      <c r="AC410" s="719"/>
      <c r="AD410" s="2345"/>
      <c r="AE410" s="2345"/>
      <c r="AF410" s="719"/>
    </row>
    <row r="411" spans="1:96" ht="12.9">
      <c r="C411" s="25"/>
      <c r="E411" s="12" t="s">
        <v>112</v>
      </c>
      <c r="F411" s="719"/>
      <c r="G411" s="719"/>
      <c r="H411" s="719"/>
      <c r="I411" s="719"/>
      <c r="J411" s="719"/>
      <c r="K411" s="719"/>
      <c r="L411" s="719"/>
      <c r="M411" s="719"/>
      <c r="N411" s="25"/>
      <c r="O411" s="25"/>
      <c r="P411" s="719"/>
      <c r="Q411" s="719"/>
      <c r="R411" s="2032" t="s">
        <v>576</v>
      </c>
      <c r="S411" s="2032"/>
      <c r="T411" s="12" t="s">
        <v>602</v>
      </c>
      <c r="U411" s="719"/>
      <c r="V411" s="719"/>
      <c r="W411" s="719"/>
      <c r="X411" s="719"/>
      <c r="Y411" s="719"/>
      <c r="Z411" s="719"/>
      <c r="AA411" s="719"/>
      <c r="AB411" s="719"/>
      <c r="AC411" s="719"/>
      <c r="AD411" s="2494" t="s">
        <v>2664</v>
      </c>
      <c r="AE411" s="2345"/>
      <c r="AF411" s="719"/>
    </row>
    <row r="412" spans="1:96" ht="12.8" customHeight="1">
      <c r="C412" s="25"/>
      <c r="E412" s="12" t="s">
        <v>113</v>
      </c>
      <c r="F412" s="719"/>
      <c r="G412" s="719"/>
      <c r="H412" s="719"/>
      <c r="I412" s="719"/>
      <c r="J412" s="719"/>
      <c r="K412" s="719"/>
      <c r="L412" s="719"/>
      <c r="M412" s="719"/>
      <c r="N412" s="25"/>
      <c r="O412" s="25"/>
      <c r="P412" s="719"/>
      <c r="Q412" s="719"/>
      <c r="R412" s="719"/>
      <c r="S412" s="2032" t="s">
        <v>624</v>
      </c>
      <c r="T412" s="2032"/>
      <c r="U412" s="719"/>
      <c r="V412" s="719"/>
      <c r="W412" s="719"/>
      <c r="X412" s="719"/>
      <c r="Y412" s="719"/>
      <c r="Z412" s="719"/>
      <c r="AA412" s="719"/>
      <c r="AB412" s="719"/>
      <c r="AC412" s="719"/>
      <c r="AD412" s="719"/>
      <c r="AE412" s="719"/>
      <c r="AF412" s="719"/>
    </row>
    <row r="413" spans="1:96" ht="12.8" customHeight="1">
      <c r="E413" s="12" t="s">
        <v>174</v>
      </c>
      <c r="F413" s="719"/>
      <c r="G413" s="719"/>
      <c r="H413" s="2496" t="s">
        <v>2665</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19"/>
    </row>
    <row r="414" spans="1:96" ht="12.8" customHeight="1">
      <c r="E414" s="25"/>
      <c r="F414" s="719"/>
      <c r="G414" s="719"/>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19"/>
    </row>
    <row r="415" spans="1:96" ht="12.8" customHeight="1"/>
    <row r="416" spans="1:96" ht="12.8" customHeight="1">
      <c r="A416" s="50" t="s">
        <v>623</v>
      </c>
      <c r="B416" s="50"/>
      <c r="C416" s="50"/>
      <c r="D416" s="50" t="s">
        <v>119</v>
      </c>
      <c r="AF416" s="50" t="s">
        <v>1034</v>
      </c>
    </row>
    <row r="417" spans="1:96" ht="12.8" customHeight="1">
      <c r="E417" s="2430"/>
      <c r="F417" s="2430"/>
      <c r="G417" s="2430"/>
      <c r="H417" s="23" t="s">
        <v>120</v>
      </c>
      <c r="I417" s="2430"/>
      <c r="J417" s="2430"/>
      <c r="K417" s="2430"/>
      <c r="L417" s="12" t="s">
        <v>121</v>
      </c>
      <c r="N417" s="141" t="s">
        <v>608</v>
      </c>
      <c r="P417" s="2436">
        <v>11.94</v>
      </c>
      <c r="Q417" s="2436"/>
      <c r="R417" s="2436"/>
      <c r="S417" s="12" t="s">
        <v>122</v>
      </c>
      <c r="W417" s="2554">
        <f>IF(E417&gt;0,(E417*I417),(P417*43560))</f>
        <v>520106.39999999997</v>
      </c>
      <c r="X417" s="2554"/>
      <c r="Y417" s="2554"/>
      <c r="Z417" s="12" t="s">
        <v>123</v>
      </c>
      <c r="AF417" s="2421">
        <f>IF(P417&gt;0,(AG436/P417),(AG436/(W417/43560)))</f>
        <v>22.529313232830823</v>
      </c>
      <c r="AG417" s="2421"/>
      <c r="AH417" s="2421"/>
      <c r="AM417" s="239"/>
    </row>
    <row r="418" spans="1:96" ht="12.9">
      <c r="E418" s="12" t="s">
        <v>54</v>
      </c>
    </row>
    <row r="419" spans="1:96" ht="12.8"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8" customHeight="1">
      <c r="E420" s="254" t="s">
        <v>2232</v>
      </c>
      <c r="F420" s="1807"/>
      <c r="G420" s="1807"/>
      <c r="H420" s="1807"/>
      <c r="I420" s="2349">
        <v>11.94</v>
      </c>
      <c r="J420" s="2349"/>
      <c r="K420" s="2349"/>
      <c r="L420" s="1807"/>
      <c r="M420" s="254"/>
      <c r="N420" s="1807"/>
      <c r="O420" s="1807"/>
      <c r="P420" s="2320">
        <f>(CS637+CS645+CS661)/I420</f>
        <v>39.782244556113902</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2">
        <v>14</v>
      </c>
      <c r="Q423" s="2032"/>
      <c r="S423" s="12" t="s">
        <v>194</v>
      </c>
      <c r="AE423" s="2032">
        <v>13</v>
      </c>
      <c r="AF423" s="2032"/>
    </row>
    <row r="424" spans="1:96" ht="12.9">
      <c r="E424" s="12" t="s">
        <v>195</v>
      </c>
      <c r="P424" s="2032">
        <v>1</v>
      </c>
      <c r="Q424" s="2032"/>
      <c r="S424" s="12" t="s">
        <v>136</v>
      </c>
      <c r="AE424" s="2032" t="s">
        <v>624</v>
      </c>
      <c r="AF424" s="2032"/>
    </row>
    <row r="425" spans="1:96" ht="12.9">
      <c r="F425" s="67" t="s">
        <v>137</v>
      </c>
    </row>
    <row r="426" spans="1:96" ht="12.9">
      <c r="F426" s="2463"/>
      <c r="G426" s="2463"/>
      <c r="H426" s="2463"/>
      <c r="I426" s="2463"/>
      <c r="J426" s="2463"/>
      <c r="K426" s="2463"/>
      <c r="L426" s="2463"/>
      <c r="M426" s="2463"/>
      <c r="N426" s="2463"/>
      <c r="O426" s="2463"/>
      <c r="P426" s="2463"/>
      <c r="Q426" s="2463"/>
      <c r="R426" s="2463"/>
      <c r="S426" s="2463"/>
      <c r="T426" s="2463"/>
      <c r="U426" s="2463"/>
      <c r="V426" s="2463"/>
      <c r="W426" s="2463"/>
      <c r="X426" s="2463"/>
      <c r="Y426" s="2463"/>
      <c r="Z426" s="2463"/>
      <c r="AA426" s="2463"/>
      <c r="AB426" s="2463"/>
      <c r="AC426" s="2463"/>
      <c r="AD426" s="2463"/>
      <c r="AE426" s="2463"/>
      <c r="AF426" s="2463"/>
      <c r="AG426" s="2463"/>
      <c r="AH426" s="2463"/>
    </row>
    <row r="427" spans="1:96" ht="12.8" customHeight="1">
      <c r="F427" s="2464"/>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2464"/>
      <c r="AG427" s="2464"/>
      <c r="AH427" s="2464"/>
    </row>
    <row r="428" spans="1:96" ht="12.8" customHeight="1">
      <c r="E428" s="12" t="s">
        <v>641</v>
      </c>
      <c r="N428" s="39"/>
      <c r="O428" s="39"/>
      <c r="P428" s="235"/>
      <c r="Q428" s="2032" t="s">
        <v>576</v>
      </c>
      <c r="R428" s="2032"/>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2" t="s">
        <v>624</v>
      </c>
      <c r="AG429" s="2550"/>
    </row>
    <row r="430" spans="1:96" ht="12.8" customHeight="1">
      <c r="S430" s="25"/>
      <c r="T430" s="25"/>
    </row>
    <row r="431" spans="1:96" ht="12.8" customHeight="1">
      <c r="A431" s="50"/>
      <c r="B431" s="50"/>
      <c r="C431" s="50"/>
      <c r="E431" s="7" t="s">
        <v>316</v>
      </c>
      <c r="Z431" s="2032" t="s">
        <v>704</v>
      </c>
      <c r="AA431" s="2032"/>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2" t="s">
        <v>624</v>
      </c>
      <c r="AA433" s="2032"/>
    </row>
    <row r="434" spans="1:110" ht="12.8" customHeight="1"/>
    <row r="435" spans="1:110" ht="12.8" customHeight="1">
      <c r="A435" s="50" t="s">
        <v>498</v>
      </c>
      <c r="B435" s="50"/>
      <c r="C435" s="50"/>
      <c r="D435" s="50" t="s">
        <v>820</v>
      </c>
      <c r="AF435" s="80"/>
    </row>
    <row r="436" spans="1:110" ht="12.8"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543"/>
      <c r="AG436" s="2491">
        <v>269</v>
      </c>
      <c r="AH436" s="2491"/>
      <c r="AI436" s="2491"/>
      <c r="AJ436" s="2491"/>
    </row>
    <row r="437" spans="1:110" ht="12.8" customHeight="1">
      <c r="D437" s="2487" t="s">
        <v>1434</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58"/>
      <c r="AH437" s="2283"/>
      <c r="AI437" s="2283"/>
      <c r="AJ437" s="2283"/>
    </row>
    <row r="438" spans="1:110" ht="12.8" customHeight="1">
      <c r="D438" s="2487" t="s">
        <v>1142</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491">
        <v>266</v>
      </c>
      <c r="AH438" s="2491"/>
      <c r="AI438" s="2491"/>
      <c r="AJ438" s="2491"/>
    </row>
    <row r="439" spans="1:110" ht="12.8" customHeight="1">
      <c r="D439" s="2487" t="s">
        <v>1143</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491">
        <v>266</v>
      </c>
      <c r="AH439" s="2491"/>
      <c r="AI439" s="2491"/>
      <c r="AJ439" s="2491"/>
    </row>
    <row r="440" spans="1:110" ht="12.8" customHeight="1">
      <c r="D440" s="2487" t="s">
        <v>1145</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492">
        <f>IF(ISERROR(AG439/AG438),"",AG439/AG438)</f>
        <v>1</v>
      </c>
      <c r="AH440" s="2492"/>
      <c r="AI440" s="2492"/>
      <c r="AJ440" s="2492"/>
    </row>
    <row r="441" spans="1:110" ht="12.8" customHeight="1">
      <c r="D441" s="2487" t="s">
        <v>1144</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22">
        <v>196484</v>
      </c>
      <c r="AH441" s="2422"/>
      <c r="AI441" s="2422"/>
      <c r="AJ441" s="2422"/>
    </row>
    <row r="442" spans="1:110" ht="12.8" customHeight="1">
      <c r="D442" s="2487" t="s">
        <v>1146</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422">
        <v>196484</v>
      </c>
      <c r="AH442" s="2422"/>
      <c r="AI442" s="2422"/>
      <c r="AJ442" s="2422"/>
    </row>
    <row r="443" spans="1:110" ht="12.8" customHeight="1">
      <c r="D443" s="2487" t="s">
        <v>1147</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492">
        <f>IF(ISERROR(AG442/AG441),"",AG442/AG441)</f>
        <v>1</v>
      </c>
      <c r="AH443" s="2492"/>
      <c r="AI443" s="2492"/>
      <c r="AJ443" s="2492"/>
    </row>
    <row r="444" spans="1:110" ht="12.8" customHeight="1">
      <c r="D444" s="2487" t="s">
        <v>1148</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492">
        <f>MIN(IF(AG440&gt;AG443,AG443,AG440),1)</f>
        <v>1</v>
      </c>
      <c r="AH444" s="2492"/>
      <c r="AI444" s="2492"/>
      <c r="AJ444" s="2492"/>
    </row>
    <row r="445" spans="1:110" ht="12.8" customHeight="1">
      <c r="D445" s="2487" t="s">
        <v>1409</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543"/>
      <c r="AG445" s="2422">
        <v>4092</v>
      </c>
      <c r="AH445" s="2422"/>
      <c r="AI445" s="2422"/>
      <c r="AJ445" s="2422"/>
    </row>
    <row r="446" spans="1:110" ht="12.8" customHeight="1">
      <c r="D446" s="2267" t="s">
        <v>600</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543"/>
      <c r="AG446" s="2422">
        <v>0</v>
      </c>
      <c r="AH446" s="2422"/>
      <c r="AI446" s="2422"/>
      <c r="AJ446" s="24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7" t="s">
        <v>1410</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543"/>
      <c r="AG447" s="2422">
        <v>2265</v>
      </c>
      <c r="AH447" s="2422"/>
      <c r="AI447" s="2422"/>
      <c r="AJ447" s="24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1149</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543"/>
      <c r="AG448" s="2422">
        <v>0</v>
      </c>
      <c r="AH448" s="2422"/>
      <c r="AI448" s="2422"/>
      <c r="AJ448" s="24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82" t="s">
        <v>1150</v>
      </c>
      <c r="E449" s="2483"/>
      <c r="F449" s="2483"/>
      <c r="G449" s="2483"/>
      <c r="H449" s="2483"/>
      <c r="I449" s="2483"/>
      <c r="J449" s="2483"/>
      <c r="K449" s="2483"/>
      <c r="L449" s="2483"/>
      <c r="M449" s="2483"/>
      <c r="N449" s="2483"/>
      <c r="O449" s="2483"/>
      <c r="P449" s="2483"/>
      <c r="Q449" s="2483"/>
      <c r="R449" s="2483"/>
      <c r="S449" s="2483"/>
      <c r="T449" s="2483"/>
      <c r="U449" s="2483"/>
      <c r="V449" s="2483"/>
      <c r="W449" s="2483"/>
      <c r="X449" s="2483"/>
      <c r="Y449" s="2483"/>
      <c r="Z449" s="2483"/>
      <c r="AA449" s="2483"/>
      <c r="AB449" s="2483"/>
      <c r="AC449" s="2483"/>
      <c r="AD449" s="2483"/>
      <c r="AE449" s="2483"/>
      <c r="AF449" s="2484"/>
      <c r="AG449" s="2549">
        <f>AG441+AG445+AG447+AG448</f>
        <v>202841</v>
      </c>
      <c r="AH449" s="2549"/>
      <c r="AI449" s="2549"/>
      <c r="AJ449" s="254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85" t="s">
        <v>1411</v>
      </c>
      <c r="E450" s="2485"/>
      <c r="F450" s="2485"/>
      <c r="G450" s="2485"/>
      <c r="H450" s="2485"/>
      <c r="I450" s="2485"/>
      <c r="J450" s="2485"/>
      <c r="K450" s="2485"/>
      <c r="L450" s="2485"/>
      <c r="M450" s="2485"/>
      <c r="N450" s="2485"/>
      <c r="O450" s="2485"/>
      <c r="P450" s="2485"/>
      <c r="Q450" s="2485"/>
      <c r="R450" s="2485"/>
      <c r="S450" s="2485"/>
      <c r="T450" s="2485"/>
      <c r="U450" s="2485"/>
      <c r="V450" s="2485"/>
      <c r="W450" s="2485"/>
      <c r="X450" s="2485"/>
      <c r="Y450" s="2485"/>
      <c r="Z450" s="2485"/>
      <c r="AA450" s="2485"/>
      <c r="AB450" s="2485"/>
      <c r="AC450" s="2485"/>
      <c r="AD450" s="2485"/>
      <c r="AE450" s="2485"/>
      <c r="AF450" s="2485"/>
      <c r="AG450" s="2485"/>
      <c r="AH450" s="2485"/>
      <c r="AI450" s="2485"/>
      <c r="AJ450" s="248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86"/>
      <c r="E451" s="2486"/>
      <c r="F451" s="2486"/>
      <c r="G451" s="2486"/>
      <c r="H451" s="2486"/>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86"/>
      <c r="AD451" s="2486"/>
      <c r="AE451" s="2486"/>
      <c r="AF451" s="2486"/>
      <c r="AG451" s="2486"/>
      <c r="AH451" s="2486"/>
      <c r="AI451" s="2486"/>
      <c r="AJ451" s="248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3">
        <f>'Sources and Uses Budget'!B105/Application!AG436</f>
        <v>306024.01486988849</v>
      </c>
      <c r="AD453" s="2493"/>
      <c r="AE453" s="2493"/>
      <c r="AF453" s="24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3">
        <f>'Sources and Uses Budget'!C105/Application!AG436</f>
        <v>306024.01486988849</v>
      </c>
      <c r="AD454" s="2493"/>
      <c r="AE454" s="2493"/>
      <c r="AF454" s="24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3">
        <f>('Sources and Uses Budget'!$S$107+'Sources and Uses Budget'!$T$107)/Application!AG436</f>
        <v>284097.36802973977</v>
      </c>
      <c r="AD455" s="2493"/>
      <c r="AE455" s="2493"/>
      <c r="AF455" s="24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23" t="s">
        <v>729</v>
      </c>
      <c r="E464" s="2424"/>
      <c r="F464" s="2424"/>
      <c r="G464" s="2424"/>
      <c r="H464" s="2424"/>
      <c r="I464" s="2424"/>
      <c r="J464" s="2424"/>
      <c r="K464" s="2424"/>
      <c r="L464" s="2424"/>
      <c r="M464" s="2424"/>
      <c r="N464" s="2424"/>
      <c r="O464" s="2424"/>
      <c r="P464" s="2424"/>
      <c r="Q464" s="2424"/>
      <c r="R464" s="2424"/>
      <c r="S464" s="2424"/>
      <c r="T464" s="2424"/>
      <c r="U464" s="2424"/>
      <c r="V464" s="2425"/>
      <c r="W464" s="2426">
        <v>0</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23" t="s">
        <v>730</v>
      </c>
      <c r="E465" s="2424"/>
      <c r="F465" s="2424"/>
      <c r="G465" s="2424"/>
      <c r="H465" s="2424"/>
      <c r="I465" s="2424"/>
      <c r="J465" s="2424"/>
      <c r="K465" s="2424"/>
      <c r="L465" s="2424"/>
      <c r="M465" s="2424"/>
      <c r="N465" s="2424"/>
      <c r="O465" s="2424"/>
      <c r="P465" s="2424"/>
      <c r="Q465" s="2424"/>
      <c r="R465" s="2424"/>
      <c r="S465" s="2424"/>
      <c r="T465" s="2424"/>
      <c r="U465" s="2424"/>
      <c r="V465" s="2425"/>
      <c r="W465" s="2426">
        <v>0</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23" t="s">
        <v>731</v>
      </c>
      <c r="E466" s="2424"/>
      <c r="F466" s="2424"/>
      <c r="G466" s="2424"/>
      <c r="H466" s="2424"/>
      <c r="I466" s="2424"/>
      <c r="J466" s="2424"/>
      <c r="K466" s="2424"/>
      <c r="L466" s="2424"/>
      <c r="M466" s="2424"/>
      <c r="N466" s="2424"/>
      <c r="O466" s="2424"/>
      <c r="P466" s="2424"/>
      <c r="Q466" s="2424"/>
      <c r="R466" s="2424"/>
      <c r="S466" s="2424"/>
      <c r="T466" s="2424"/>
      <c r="U466" s="2424"/>
      <c r="V466" s="2425"/>
      <c r="W466" s="2426">
        <v>0</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23" t="s">
        <v>732</v>
      </c>
      <c r="E467" s="2424"/>
      <c r="F467" s="2424"/>
      <c r="G467" s="2424"/>
      <c r="H467" s="2424"/>
      <c r="I467" s="2424"/>
      <c r="J467" s="2424"/>
      <c r="K467" s="2424"/>
      <c r="L467" s="2424"/>
      <c r="M467" s="2424"/>
      <c r="N467" s="2424"/>
      <c r="O467" s="2424"/>
      <c r="P467" s="2424"/>
      <c r="Q467" s="2424"/>
      <c r="R467" s="2424"/>
      <c r="S467" s="2424"/>
      <c r="T467" s="2424"/>
      <c r="U467" s="2424"/>
      <c r="V467" s="2425"/>
      <c r="W467" s="2426">
        <v>0</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23" t="s">
        <v>944</v>
      </c>
      <c r="E468" s="2424"/>
      <c r="F468" s="2424"/>
      <c r="G468" s="2424"/>
      <c r="H468" s="2424"/>
      <c r="I468" s="2424"/>
      <c r="J468" s="2424"/>
      <c r="K468" s="2424"/>
      <c r="L468" s="2424"/>
      <c r="M468" s="2424"/>
      <c r="N468" s="2424"/>
      <c r="O468" s="2424"/>
      <c r="P468" s="2424"/>
      <c r="Q468" s="2424"/>
      <c r="R468" s="2424"/>
      <c r="S468" s="2424"/>
      <c r="T468" s="2424"/>
      <c r="U468" s="2424"/>
      <c r="V468" s="2425"/>
      <c r="W468" s="2426">
        <v>0</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23" t="s">
        <v>733</v>
      </c>
      <c r="E469" s="2424"/>
      <c r="F469" s="2424"/>
      <c r="G469" s="2424"/>
      <c r="H469" s="2424"/>
      <c r="I469" s="2424"/>
      <c r="J469" s="2424"/>
      <c r="K469" s="2424"/>
      <c r="L469" s="2424"/>
      <c r="M469" s="2424"/>
      <c r="N469" s="2424"/>
      <c r="O469" s="2424"/>
      <c r="P469" s="2424"/>
      <c r="Q469" s="2424"/>
      <c r="R469" s="2424"/>
      <c r="S469" s="2424"/>
      <c r="T469" s="2424"/>
      <c r="U469" s="2424"/>
      <c r="V469" s="2425"/>
      <c r="W469" s="2426">
        <v>0</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23" t="s">
        <v>1116</v>
      </c>
      <c r="E470" s="2424"/>
      <c r="F470" s="2424"/>
      <c r="G470" s="2424"/>
      <c r="H470" s="2424"/>
      <c r="I470" s="2424"/>
      <c r="J470" s="2424"/>
      <c r="K470" s="2424"/>
      <c r="L470" s="2424"/>
      <c r="M470" s="2424"/>
      <c r="N470" s="2424"/>
      <c r="O470" s="2424"/>
      <c r="P470" s="2424"/>
      <c r="Q470" s="2424"/>
      <c r="R470" s="2424"/>
      <c r="S470" s="2424"/>
      <c r="T470" s="2424"/>
      <c r="U470" s="2424"/>
      <c r="V470" s="2425"/>
      <c r="W470" s="2426">
        <v>0</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8" t="s">
        <v>2005</v>
      </c>
      <c r="E471" s="2424"/>
      <c r="F471" s="2424"/>
      <c r="G471" s="2424"/>
      <c r="H471" s="2424"/>
      <c r="I471" s="2424"/>
      <c r="J471" s="2424"/>
      <c r="K471" s="2424"/>
      <c r="L471" s="2424"/>
      <c r="M471" s="2424"/>
      <c r="N471" s="2424"/>
      <c r="O471" s="2424"/>
      <c r="P471" s="2424"/>
      <c r="Q471" s="2424"/>
      <c r="R471" s="2424"/>
      <c r="S471" s="2424"/>
      <c r="T471" s="2424"/>
      <c r="U471" s="2424"/>
      <c r="V471" s="2425"/>
      <c r="W471" s="2426">
        <v>41</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545" t="s">
        <v>2582</v>
      </c>
      <c r="H472" s="2546"/>
      <c r="I472" s="2546"/>
      <c r="J472" s="2546"/>
      <c r="K472" s="2546"/>
      <c r="L472" s="2546"/>
      <c r="M472" s="2546"/>
      <c r="N472" s="2546"/>
      <c r="O472" s="2546"/>
      <c r="P472" s="2546"/>
      <c r="Q472" s="2546"/>
      <c r="R472" s="2546"/>
      <c r="S472" s="2546"/>
      <c r="T472" s="2546"/>
      <c r="U472" s="2546"/>
      <c r="V472" s="2547"/>
      <c r="W472" s="2426">
        <v>27</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867</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43" t="s">
        <v>868</v>
      </c>
      <c r="U483" s="2444"/>
      <c r="V483" s="2444"/>
      <c r="W483" s="2444"/>
      <c r="X483" s="2444"/>
      <c r="Y483" s="2444"/>
      <c r="Z483" s="2444"/>
      <c r="AA483" s="2444"/>
      <c r="AB483" s="2444"/>
      <c r="AC483" s="2444"/>
      <c r="AD483" s="2444"/>
      <c r="AE483" s="2444"/>
      <c r="AF483" s="2444"/>
      <c r="AG483" s="2444"/>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31" t="s">
        <v>36</v>
      </c>
      <c r="U484" s="2431"/>
      <c r="V484" s="2431"/>
      <c r="W484" s="2431"/>
      <c r="X484" s="2431"/>
      <c r="Y484" s="2431" t="s">
        <v>37</v>
      </c>
      <c r="Z484" s="2431"/>
      <c r="AA484" s="2431"/>
      <c r="AB484" s="2431"/>
      <c r="AC484" s="2431"/>
      <c r="AD484" s="2431" t="s">
        <v>347</v>
      </c>
      <c r="AE484" s="2431"/>
      <c r="AF484" s="2431"/>
      <c r="AG484" s="2431"/>
      <c r="AH484" s="24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31"/>
      <c r="U485" s="2431"/>
      <c r="V485" s="2431"/>
      <c r="W485" s="2431"/>
      <c r="X485" s="2431"/>
      <c r="Y485" s="2431"/>
      <c r="Z485" s="2431"/>
      <c r="AA485" s="2431"/>
      <c r="AB485" s="2431"/>
      <c r="AC485" s="2431"/>
      <c r="AD485" s="2431"/>
      <c r="AE485" s="2431"/>
      <c r="AF485" s="2431"/>
      <c r="AG485" s="2431"/>
      <c r="AH485" s="24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481">
        <v>44434</v>
      </c>
      <c r="U486" s="2481"/>
      <c r="V486" s="2481"/>
      <c r="W486" s="2481"/>
      <c r="X486" s="2481"/>
      <c r="Y486" s="2481"/>
      <c r="Z486" s="2481"/>
      <c r="AA486" s="2481"/>
      <c r="AB486" s="2481"/>
      <c r="AC486" s="2481"/>
      <c r="AD486" s="2481">
        <v>44434</v>
      </c>
      <c r="AE486" s="2481"/>
      <c r="AF486" s="2481"/>
      <c r="AG486" s="2481"/>
      <c r="AH486" s="248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481" t="s">
        <v>624</v>
      </c>
      <c r="U487" s="2481"/>
      <c r="V487" s="2481"/>
      <c r="W487" s="2481"/>
      <c r="X487" s="2481"/>
      <c r="Y487" s="2481" t="s">
        <v>624</v>
      </c>
      <c r="Z487" s="2481"/>
      <c r="AA487" s="2481"/>
      <c r="AB487" s="2481"/>
      <c r="AC487" s="2481"/>
      <c r="AD487" s="2481" t="s">
        <v>624</v>
      </c>
      <c r="AE487" s="2481"/>
      <c r="AF487" s="2481"/>
      <c r="AG487" s="2481"/>
      <c r="AH487" s="248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481" t="s">
        <v>624</v>
      </c>
      <c r="U488" s="2481"/>
      <c r="V488" s="2481"/>
      <c r="W488" s="2481"/>
      <c r="X488" s="2481"/>
      <c r="Y488" s="2481" t="s">
        <v>624</v>
      </c>
      <c r="Z488" s="2481"/>
      <c r="AA488" s="2481"/>
      <c r="AB488" s="2481"/>
      <c r="AC488" s="2481"/>
      <c r="AD488" s="2481" t="s">
        <v>624</v>
      </c>
      <c r="AE488" s="2481"/>
      <c r="AF488" s="2481"/>
      <c r="AG488" s="2481"/>
      <c r="AH488" s="248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481" t="s">
        <v>624</v>
      </c>
      <c r="U489" s="2481"/>
      <c r="V489" s="2481"/>
      <c r="W489" s="2481"/>
      <c r="X489" s="2481"/>
      <c r="Y489" s="2481" t="s">
        <v>624</v>
      </c>
      <c r="Z489" s="2481"/>
      <c r="AA489" s="2481"/>
      <c r="AB489" s="2481"/>
      <c r="AC489" s="2481"/>
      <c r="AD489" s="2481" t="s">
        <v>624</v>
      </c>
      <c r="AE489" s="2481"/>
      <c r="AF489" s="2481"/>
      <c r="AG489" s="2481"/>
      <c r="AH489" s="248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481" t="s">
        <v>624</v>
      </c>
      <c r="U490" s="2481"/>
      <c r="V490" s="2481"/>
      <c r="W490" s="2481"/>
      <c r="X490" s="2481"/>
      <c r="Y490" s="2481" t="s">
        <v>624</v>
      </c>
      <c r="Z490" s="2481"/>
      <c r="AA490" s="2481"/>
      <c r="AB490" s="2481"/>
      <c r="AC490" s="2481"/>
      <c r="AD490" s="2481" t="s">
        <v>624</v>
      </c>
      <c r="AE490" s="2481"/>
      <c r="AF490" s="2481"/>
      <c r="AG490" s="2481"/>
      <c r="AH490" s="24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481" t="s">
        <v>624</v>
      </c>
      <c r="U491" s="2481"/>
      <c r="V491" s="2481"/>
      <c r="W491" s="2481"/>
      <c r="X491" s="2481"/>
      <c r="Y491" s="2481" t="s">
        <v>624</v>
      </c>
      <c r="Z491" s="2481"/>
      <c r="AA491" s="2481"/>
      <c r="AB491" s="2481"/>
      <c r="AC491" s="2481"/>
      <c r="AD491" s="2481" t="s">
        <v>624</v>
      </c>
      <c r="AE491" s="2481"/>
      <c r="AF491" s="2481"/>
      <c r="AG491" s="2481"/>
      <c r="AH491" s="248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481">
        <v>44434</v>
      </c>
      <c r="U492" s="2481"/>
      <c r="V492" s="2481"/>
      <c r="W492" s="2481"/>
      <c r="X492" s="2481"/>
      <c r="Y492" s="2481"/>
      <c r="Z492" s="2481"/>
      <c r="AA492" s="2481"/>
      <c r="AB492" s="2481"/>
      <c r="AC492" s="2481"/>
      <c r="AD492" s="2481">
        <v>44434</v>
      </c>
      <c r="AE492" s="2481"/>
      <c r="AF492" s="2481"/>
      <c r="AG492" s="2481"/>
      <c r="AH492" s="248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481">
        <v>44434</v>
      </c>
      <c r="U493" s="2481"/>
      <c r="V493" s="2481"/>
      <c r="W493" s="2481"/>
      <c r="X493" s="2481"/>
      <c r="Y493" s="2481"/>
      <c r="Z493" s="2481"/>
      <c r="AA493" s="2481"/>
      <c r="AB493" s="2481"/>
      <c r="AC493" s="2481"/>
      <c r="AD493" s="2481">
        <v>44434</v>
      </c>
      <c r="AE493" s="2481"/>
      <c r="AF493" s="2481"/>
      <c r="AG493" s="2481"/>
      <c r="AH493" s="248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481" t="s">
        <v>624</v>
      </c>
      <c r="U494" s="2481"/>
      <c r="V494" s="2481"/>
      <c r="W494" s="2481"/>
      <c r="X494" s="2481"/>
      <c r="Y494" s="2481" t="s">
        <v>624</v>
      </c>
      <c r="Z494" s="2481"/>
      <c r="AA494" s="2481"/>
      <c r="AB494" s="2481"/>
      <c r="AC494" s="2481"/>
      <c r="AD494" s="2481" t="s">
        <v>624</v>
      </c>
      <c r="AE494" s="2481"/>
      <c r="AF494" s="2481"/>
      <c r="AG494" s="2481"/>
      <c r="AH494" s="248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481">
        <v>44434</v>
      </c>
      <c r="U495" s="2481"/>
      <c r="V495" s="2481"/>
      <c r="W495" s="2481"/>
      <c r="X495" s="2481"/>
      <c r="Y495" s="2481"/>
      <c r="Z495" s="2481"/>
      <c r="AA495" s="2481"/>
      <c r="AB495" s="2481"/>
      <c r="AC495" s="2481"/>
      <c r="AD495" s="2481">
        <v>44434</v>
      </c>
      <c r="AE495" s="2481"/>
      <c r="AF495" s="2481"/>
      <c r="AG495" s="2481"/>
      <c r="AH495" s="248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500" t="s">
        <v>413</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363" t="s">
        <v>2666</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363" t="s">
        <v>2667</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363" t="s">
        <v>2667</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503" t="s">
        <v>417</v>
      </c>
      <c r="C501" s="2504"/>
      <c r="D501" s="2504"/>
      <c r="E501" s="2504"/>
      <c r="F501" s="2504"/>
      <c r="G501" s="2504"/>
      <c r="H501" s="2504"/>
      <c r="I501" s="2504"/>
      <c r="J501" s="2504"/>
      <c r="K501" s="2504"/>
      <c r="L501" s="2504"/>
      <c r="M501" s="2504"/>
      <c r="N501" s="2504"/>
      <c r="O501" s="2504"/>
      <c r="P501" s="2505"/>
      <c r="Q501" s="2520" t="s">
        <v>704</v>
      </c>
      <c r="R501" s="2521"/>
      <c r="S501" s="2303"/>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6"/>
      <c r="C502" s="2507"/>
      <c r="D502" s="2507"/>
      <c r="E502" s="2507"/>
      <c r="F502" s="2507"/>
      <c r="G502" s="2507"/>
      <c r="H502" s="2507"/>
      <c r="I502" s="2507"/>
      <c r="J502" s="2507"/>
      <c r="K502" s="2507"/>
      <c r="L502" s="2507"/>
      <c r="M502" s="2507"/>
      <c r="N502" s="2507"/>
      <c r="O502" s="2507"/>
      <c r="P502" s="2508"/>
      <c r="Q502" s="2522"/>
      <c r="R502" s="2523"/>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55" t="s">
        <v>2636</v>
      </c>
      <c r="R503" s="2556"/>
      <c r="S503" s="2556"/>
      <c r="T503" s="2556"/>
      <c r="U503" s="2556"/>
      <c r="V503" s="2556"/>
      <c r="W503" s="2556"/>
      <c r="X503" s="2556"/>
      <c r="Y503" s="2556"/>
      <c r="Z503" s="2556"/>
      <c r="AA503" s="2556"/>
      <c r="AB503" s="2556"/>
      <c r="AC503" s="2556"/>
      <c r="AD503" s="2556"/>
      <c r="AE503" s="2556"/>
      <c r="AF503" s="2556"/>
      <c r="AG503" s="2556"/>
      <c r="AH503" s="2556"/>
      <c r="AI503" s="2556"/>
      <c r="AJ503" s="2556"/>
      <c r="AK503" s="255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3" t="s">
        <v>2680</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363" t="s">
        <v>2681</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363">
        <v>420</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041">
        <v>210</v>
      </c>
      <c r="N507" s="2042"/>
      <c r="O507" s="2042"/>
      <c r="P507" s="2043"/>
      <c r="Q507" s="1521" t="s">
        <v>2024</v>
      </c>
      <c r="R507" s="1522"/>
      <c r="S507" s="1522"/>
      <c r="T507" s="1522"/>
      <c r="U507" s="1522"/>
      <c r="V507" s="1522"/>
      <c r="W507" s="1522"/>
      <c r="X507" s="1522"/>
      <c r="Y507" s="1522"/>
      <c r="Z507" s="1522"/>
      <c r="AA507" s="1522"/>
      <c r="AB507" s="1522"/>
      <c r="AC507" s="1522"/>
      <c r="AD507" s="1522"/>
      <c r="AE507" s="1522"/>
      <c r="AF507" s="1522"/>
      <c r="AG507" s="1522"/>
      <c r="AH507" s="2041">
        <v>210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421</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3" t="s">
        <v>422</v>
      </c>
      <c r="AD512" s="2444"/>
      <c r="AE512" s="2444"/>
      <c r="AF512" s="2444"/>
      <c r="AG512" s="82" t="s">
        <v>423</v>
      </c>
      <c r="AH512" s="2444" t="s">
        <v>424</v>
      </c>
      <c r="AI512" s="2444"/>
      <c r="AJ512" s="2444"/>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12" t="s">
        <v>425</v>
      </c>
      <c r="C513" s="2413"/>
      <c r="D513" s="2413"/>
      <c r="E513" s="2413"/>
      <c r="F513" s="2413"/>
      <c r="G513" s="2413"/>
      <c r="H513" s="2414"/>
      <c r="I513" s="72" t="s">
        <v>426</v>
      </c>
      <c r="J513" s="72"/>
      <c r="K513" s="72"/>
      <c r="L513" s="72"/>
      <c r="M513" s="72"/>
      <c r="N513" s="72"/>
      <c r="O513" s="72"/>
      <c r="P513" s="72"/>
      <c r="Q513" s="72"/>
      <c r="R513" s="72"/>
      <c r="S513" s="72"/>
      <c r="T513" s="72"/>
      <c r="U513" s="72"/>
      <c r="V513" s="72"/>
      <c r="W513" s="72"/>
      <c r="X513" s="25"/>
      <c r="Y513" s="25"/>
      <c r="AC513" s="2442" t="s">
        <v>624</v>
      </c>
      <c r="AD513" s="2345"/>
      <c r="AE513" s="2345"/>
      <c r="AF513" s="2345"/>
      <c r="AG513" s="75" t="s">
        <v>423</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15"/>
      <c r="C514" s="2416"/>
      <c r="D514" s="2416"/>
      <c r="E514" s="2416"/>
      <c r="F514" s="2416"/>
      <c r="G514" s="2416"/>
      <c r="H514" s="2417"/>
      <c r="I514" s="80" t="s">
        <v>427</v>
      </c>
      <c r="J514" s="80"/>
      <c r="K514" s="80"/>
      <c r="L514" s="80"/>
      <c r="M514" s="80"/>
      <c r="N514" s="80"/>
      <c r="O514" s="80"/>
      <c r="P514" s="80"/>
      <c r="Q514" s="80"/>
      <c r="R514" s="80"/>
      <c r="S514" s="80"/>
      <c r="T514" s="80"/>
      <c r="U514" s="80"/>
      <c r="V514" s="80"/>
      <c r="W514" s="80"/>
      <c r="X514" s="80"/>
      <c r="Y514" s="80"/>
      <c r="Z514" s="80"/>
      <c r="AA514" s="80"/>
      <c r="AB514" s="80"/>
      <c r="AC514" s="2442">
        <v>6</v>
      </c>
      <c r="AD514" s="2345"/>
      <c r="AE514" s="2345"/>
      <c r="AF514" s="2345"/>
      <c r="AG514" s="65" t="s">
        <v>423</v>
      </c>
      <c r="AH514" s="2195">
        <v>2022</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12" t="s">
        <v>428</v>
      </c>
      <c r="C515" s="2413"/>
      <c r="D515" s="2413"/>
      <c r="E515" s="2413"/>
      <c r="F515" s="2413"/>
      <c r="G515" s="2413"/>
      <c r="H515" s="2414"/>
      <c r="I515" s="72" t="s">
        <v>429</v>
      </c>
      <c r="J515" s="72"/>
      <c r="K515" s="72"/>
      <c r="L515" s="72"/>
      <c r="M515" s="72"/>
      <c r="N515" s="72"/>
      <c r="O515" s="72"/>
      <c r="P515" s="72"/>
      <c r="Q515" s="72"/>
      <c r="R515" s="72"/>
      <c r="S515" s="72"/>
      <c r="T515" s="72"/>
      <c r="U515" s="72"/>
      <c r="V515" s="72"/>
      <c r="W515" s="72"/>
      <c r="X515" s="25"/>
      <c r="Y515" s="25"/>
      <c r="AC515" s="2442">
        <v>8</v>
      </c>
      <c r="AD515" s="2345"/>
      <c r="AE515" s="2345"/>
      <c r="AF515" s="2345"/>
      <c r="AG515" s="75" t="s">
        <v>423</v>
      </c>
      <c r="AH515" s="2195">
        <v>2021</v>
      </c>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15"/>
      <c r="C516" s="2416"/>
      <c r="D516" s="2416"/>
      <c r="E516" s="2416"/>
      <c r="F516" s="2416"/>
      <c r="G516" s="2416"/>
      <c r="H516" s="2417"/>
      <c r="I516" s="25" t="s">
        <v>430</v>
      </c>
      <c r="J516" s="25"/>
      <c r="K516" s="25"/>
      <c r="L516" s="25"/>
      <c r="M516" s="25"/>
      <c r="N516" s="25"/>
      <c r="O516" s="25"/>
      <c r="P516" s="25"/>
      <c r="Q516" s="25"/>
      <c r="R516" s="25"/>
      <c r="S516" s="25"/>
      <c r="T516" s="25"/>
      <c r="U516" s="25"/>
      <c r="V516" s="25"/>
      <c r="W516" s="25"/>
      <c r="X516" s="25"/>
      <c r="Y516" s="25"/>
      <c r="AC516" s="2442" t="s">
        <v>624</v>
      </c>
      <c r="AD516" s="2345"/>
      <c r="AE516" s="2345"/>
      <c r="AF516" s="2345"/>
      <c r="AG516" s="75" t="s">
        <v>423</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15"/>
      <c r="C517" s="2416"/>
      <c r="D517" s="2416"/>
      <c r="E517" s="2416"/>
      <c r="F517" s="2416"/>
      <c r="G517" s="2416"/>
      <c r="H517" s="2417"/>
      <c r="I517" s="25" t="s">
        <v>431</v>
      </c>
      <c r="J517" s="25"/>
      <c r="K517" s="25"/>
      <c r="L517" s="25"/>
      <c r="M517" s="25"/>
      <c r="N517" s="25"/>
      <c r="O517" s="25"/>
      <c r="P517" s="25"/>
      <c r="Q517" s="25"/>
      <c r="R517" s="25"/>
      <c r="S517" s="25"/>
      <c r="T517" s="25"/>
      <c r="U517" s="25"/>
      <c r="V517" s="25"/>
      <c r="W517" s="25"/>
      <c r="X517" s="25"/>
      <c r="Y517" s="25"/>
      <c r="AC517" s="2499">
        <v>8</v>
      </c>
      <c r="AD517" s="2345"/>
      <c r="AE517" s="2345"/>
      <c r="AF517" s="2345"/>
      <c r="AG517" s="75" t="s">
        <v>423</v>
      </c>
      <c r="AH517" s="2195">
        <v>2021</v>
      </c>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15"/>
      <c r="C518" s="2416"/>
      <c r="D518" s="2416"/>
      <c r="E518" s="2416"/>
      <c r="F518" s="2416"/>
      <c r="G518" s="2416"/>
      <c r="H518" s="2417"/>
      <c r="I518" s="25" t="s">
        <v>432</v>
      </c>
      <c r="J518" s="25"/>
      <c r="K518" s="25"/>
      <c r="L518" s="25"/>
      <c r="M518" s="25"/>
      <c r="N518" s="25"/>
      <c r="O518" s="25"/>
      <c r="P518" s="25"/>
      <c r="Q518" s="25"/>
      <c r="R518" s="25"/>
      <c r="S518" s="25"/>
      <c r="T518" s="25"/>
      <c r="U518" s="25"/>
      <c r="V518" s="25"/>
      <c r="W518" s="25"/>
      <c r="X518" s="25"/>
      <c r="Y518" s="25"/>
      <c r="AC518" s="2442">
        <v>6</v>
      </c>
      <c r="AD518" s="2345"/>
      <c r="AE518" s="2345"/>
      <c r="AF518" s="2345"/>
      <c r="AG518" s="75" t="s">
        <v>423</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15"/>
      <c r="C519" s="2416"/>
      <c r="D519" s="2416"/>
      <c r="E519" s="2416"/>
      <c r="F519" s="2416"/>
      <c r="G519" s="2416"/>
      <c r="H519" s="2417"/>
      <c r="I519" s="177" t="s">
        <v>433</v>
      </c>
      <c r="J519" s="25"/>
      <c r="K519" s="25"/>
      <c r="L519" s="25"/>
      <c r="M519" s="25"/>
      <c r="N519" s="25"/>
      <c r="O519" s="25"/>
      <c r="P519" s="25"/>
      <c r="Q519" s="25"/>
      <c r="R519" s="25"/>
      <c r="S519" s="25"/>
      <c r="T519" s="25"/>
      <c r="U519" s="25"/>
      <c r="V519" s="25"/>
      <c r="W519" s="25"/>
      <c r="X519" s="25"/>
      <c r="Y519" s="25"/>
      <c r="AC519" s="2240">
        <v>6</v>
      </c>
      <c r="AD519" s="2241"/>
      <c r="AE519" s="2241"/>
      <c r="AF519" s="2241"/>
      <c r="AG519" s="75" t="s">
        <v>423</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15"/>
      <c r="C520" s="2416"/>
      <c r="D520" s="2416"/>
      <c r="E520" s="2416"/>
      <c r="F520" s="2416"/>
      <c r="G520" s="2416"/>
      <c r="H520" s="2417"/>
      <c r="I520" s="1524" t="s">
        <v>174</v>
      </c>
      <c r="J520" s="80"/>
      <c r="K520" s="80"/>
      <c r="L520" s="2531" t="s">
        <v>2639</v>
      </c>
      <c r="M520" s="2530"/>
      <c r="N520" s="2530"/>
      <c r="O520" s="2530"/>
      <c r="P520" s="2530"/>
      <c r="Q520" s="2530"/>
      <c r="R520" s="2530"/>
      <c r="S520" s="2530"/>
      <c r="T520" s="2530"/>
      <c r="U520" s="2530"/>
      <c r="V520" s="2530"/>
      <c r="W520" s="2530"/>
      <c r="X520" s="2530"/>
      <c r="Y520" s="2530"/>
      <c r="Z520" s="2530"/>
      <c r="AA520" s="2530"/>
      <c r="AB520" s="2532"/>
      <c r="AC520" s="2442">
        <v>8</v>
      </c>
      <c r="AD520" s="2345"/>
      <c r="AE520" s="2345"/>
      <c r="AF520" s="2345"/>
      <c r="AG520" s="1495" t="s">
        <v>423</v>
      </c>
      <c r="AH520" s="2195">
        <v>2021</v>
      </c>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1" t="s">
        <v>704</v>
      </c>
      <c r="AD521" s="2491"/>
      <c r="AE521" s="2491"/>
      <c r="AF521" s="2491"/>
      <c r="AG521" s="1787"/>
      <c r="AH521" s="2559"/>
      <c r="AI521" s="2559"/>
      <c r="AJ521" s="2559"/>
      <c r="AK521" s="256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0"/>
      <c r="AD522" s="2241"/>
      <c r="AE522" s="2241"/>
      <c r="AF522" s="2242"/>
      <c r="AG522" s="1787"/>
      <c r="AH522" s="2559"/>
      <c r="AI522" s="2559"/>
      <c r="AJ522" s="2559"/>
      <c r="AK522" s="256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1">
        <v>0.3</v>
      </c>
      <c r="AD524" s="2562"/>
      <c r="AE524" s="2562"/>
      <c r="AF524" s="2563"/>
      <c r="AG524" s="1788"/>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422</v>
      </c>
      <c r="AD525" s="2528"/>
      <c r="AE525" s="2528"/>
      <c r="AF525" s="2528"/>
      <c r="AG525" s="1788" t="s">
        <v>423</v>
      </c>
      <c r="AH525" s="2528" t="s">
        <v>424</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12" t="s">
        <v>434</v>
      </c>
      <c r="C526" s="2413"/>
      <c r="D526" s="2413"/>
      <c r="E526" s="2413"/>
      <c r="F526" s="2413"/>
      <c r="G526" s="2413"/>
      <c r="H526" s="2414"/>
      <c r="I526" s="72" t="s">
        <v>435</v>
      </c>
      <c r="J526" s="72"/>
      <c r="K526" s="72"/>
      <c r="L526" s="72"/>
      <c r="M526" s="72"/>
      <c r="N526" s="72"/>
      <c r="O526" s="72"/>
      <c r="P526" s="72"/>
      <c r="Q526" s="72"/>
      <c r="R526" s="72"/>
      <c r="S526" s="72"/>
      <c r="T526" s="72"/>
      <c r="U526" s="72"/>
      <c r="V526" s="72"/>
      <c r="W526" s="72"/>
      <c r="X526" s="25"/>
      <c r="Y526" s="25"/>
      <c r="AC526" s="2442">
        <v>8</v>
      </c>
      <c r="AD526" s="2345"/>
      <c r="AE526" s="2345"/>
      <c r="AF526" s="2345"/>
      <c r="AG526" s="75" t="s">
        <v>423</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5"/>
      <c r="C527" s="2416"/>
      <c r="D527" s="2416"/>
      <c r="E527" s="2416"/>
      <c r="F527" s="2416"/>
      <c r="G527" s="2416"/>
      <c r="H527" s="2417"/>
      <c r="I527" s="25" t="s">
        <v>436</v>
      </c>
      <c r="J527" s="25"/>
      <c r="K527" s="25"/>
      <c r="L527" s="25"/>
      <c r="M527" s="25"/>
      <c r="N527" s="25"/>
      <c r="O527" s="25"/>
      <c r="P527" s="25"/>
      <c r="Q527" s="25"/>
      <c r="R527" s="25"/>
      <c r="S527" s="25"/>
      <c r="T527" s="25"/>
      <c r="U527" s="25"/>
      <c r="V527" s="25"/>
      <c r="W527" s="25"/>
      <c r="X527" s="25"/>
      <c r="Y527" s="25"/>
      <c r="AC527" s="2442">
        <v>9</v>
      </c>
      <c r="AD527" s="2345"/>
      <c r="AE527" s="2345"/>
      <c r="AF527" s="2345"/>
      <c r="AG527" s="75" t="s">
        <v>423</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15"/>
      <c r="C528" s="2416"/>
      <c r="D528" s="2416"/>
      <c r="E528" s="2416"/>
      <c r="F528" s="2416"/>
      <c r="G528" s="2416"/>
      <c r="H528" s="2417"/>
      <c r="I528" s="80" t="s">
        <v>437</v>
      </c>
      <c r="J528" s="80"/>
      <c r="K528" s="80"/>
      <c r="L528" s="80"/>
      <c r="M528" s="80"/>
      <c r="N528" s="80"/>
      <c r="O528" s="80"/>
      <c r="P528" s="80"/>
      <c r="Q528" s="80"/>
      <c r="R528" s="80"/>
      <c r="S528" s="80"/>
      <c r="T528" s="80"/>
      <c r="U528" s="80"/>
      <c r="V528" s="80"/>
      <c r="W528" s="80"/>
      <c r="X528" s="80"/>
      <c r="Y528" s="80"/>
      <c r="Z528" s="80"/>
      <c r="AA528" s="80"/>
      <c r="AB528" s="80"/>
      <c r="AC528" s="2442">
        <v>6</v>
      </c>
      <c r="AD528" s="2345"/>
      <c r="AE528" s="2345"/>
      <c r="AF528" s="2345"/>
      <c r="AG528" s="65" t="s">
        <v>423</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12" t="s">
        <v>438</v>
      </c>
      <c r="C529" s="2413"/>
      <c r="D529" s="2413"/>
      <c r="E529" s="2413"/>
      <c r="F529" s="2413"/>
      <c r="G529" s="2413"/>
      <c r="H529" s="2414"/>
      <c r="I529" s="72" t="s">
        <v>435</v>
      </c>
      <c r="J529" s="72"/>
      <c r="K529" s="72"/>
      <c r="L529" s="72"/>
      <c r="M529" s="72"/>
      <c r="N529" s="72"/>
      <c r="O529" s="72"/>
      <c r="P529" s="72"/>
      <c r="Q529" s="72"/>
      <c r="R529" s="72"/>
      <c r="S529" s="72"/>
      <c r="T529" s="72"/>
      <c r="U529" s="72"/>
      <c r="V529" s="72"/>
      <c r="W529" s="72"/>
      <c r="X529" s="72"/>
      <c r="Y529" s="72"/>
      <c r="Z529" s="72"/>
      <c r="AA529" s="72"/>
      <c r="AB529" s="72"/>
      <c r="AC529" s="2240">
        <v>8</v>
      </c>
      <c r="AD529" s="2241"/>
      <c r="AE529" s="2241"/>
      <c r="AF529" s="2241"/>
      <c r="AG529" s="196" t="s">
        <v>423</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15"/>
      <c r="C530" s="2416"/>
      <c r="D530" s="2416"/>
      <c r="E530" s="2416"/>
      <c r="F530" s="2416"/>
      <c r="G530" s="2416"/>
      <c r="H530" s="2417"/>
      <c r="I530" s="25" t="s">
        <v>436</v>
      </c>
      <c r="J530" s="25"/>
      <c r="K530" s="25"/>
      <c r="L530" s="25"/>
      <c r="M530" s="25"/>
      <c r="N530" s="25"/>
      <c r="O530" s="25"/>
      <c r="P530" s="25"/>
      <c r="Q530" s="25"/>
      <c r="R530" s="25"/>
      <c r="S530" s="25"/>
      <c r="T530" s="25"/>
      <c r="U530" s="25"/>
      <c r="V530" s="25"/>
      <c r="W530" s="25"/>
      <c r="X530" s="25"/>
      <c r="Y530" s="25"/>
      <c r="Z530" s="25"/>
      <c r="AA530" s="25"/>
      <c r="AB530" s="25"/>
      <c r="AC530" s="2442">
        <v>9</v>
      </c>
      <c r="AD530" s="2345"/>
      <c r="AE530" s="2345"/>
      <c r="AF530" s="2345"/>
      <c r="AG530" s="75" t="s">
        <v>423</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18"/>
      <c r="C531" s="2419"/>
      <c r="D531" s="2419"/>
      <c r="E531" s="2419"/>
      <c r="F531" s="2419"/>
      <c r="G531" s="2419"/>
      <c r="H531" s="2420"/>
      <c r="I531" s="80" t="s">
        <v>437</v>
      </c>
      <c r="J531" s="80"/>
      <c r="K531" s="80"/>
      <c r="L531" s="80"/>
      <c r="M531" s="80"/>
      <c r="N531" s="80"/>
      <c r="O531" s="80"/>
      <c r="P531" s="80"/>
      <c r="Q531" s="80"/>
      <c r="R531" s="80"/>
      <c r="S531" s="80"/>
      <c r="T531" s="80"/>
      <c r="U531" s="80"/>
      <c r="V531" s="80"/>
      <c r="W531" s="80"/>
      <c r="X531" s="80"/>
      <c r="Y531" s="80"/>
      <c r="Z531" s="80"/>
      <c r="AA531" s="80"/>
      <c r="AB531" s="80"/>
      <c r="AC531" s="2442">
        <v>6</v>
      </c>
      <c r="AD531" s="2345"/>
      <c r="AE531" s="2345"/>
      <c r="AF531" s="2345"/>
      <c r="AG531" s="65" t="s">
        <v>423</v>
      </c>
      <c r="AH531" s="2195">
        <v>2025</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12" t="s">
        <v>439</v>
      </c>
      <c r="C532" s="2413"/>
      <c r="D532" s="2413"/>
      <c r="E532" s="2413"/>
      <c r="F532" s="2413"/>
      <c r="G532" s="2413"/>
      <c r="H532" s="2414"/>
      <c r="I532" s="71" t="s">
        <v>440</v>
      </c>
      <c r="J532" s="72"/>
      <c r="K532" s="72"/>
      <c r="L532" s="72"/>
      <c r="M532" s="72"/>
      <c r="N532" s="72"/>
      <c r="O532" s="2040" t="s">
        <v>2670</v>
      </c>
      <c r="P532" s="2040"/>
      <c r="Q532" s="2040"/>
      <c r="R532" s="2040"/>
      <c r="S532" s="2040"/>
      <c r="T532" s="2040"/>
      <c r="U532" s="2040"/>
      <c r="V532" s="2040"/>
      <c r="W532" s="2040"/>
      <c r="X532" s="2040"/>
      <c r="Y532" s="2040"/>
      <c r="Z532" s="2040"/>
      <c r="AA532" s="2040"/>
      <c r="AB532" s="94"/>
      <c r="AC532" s="2269"/>
      <c r="AD532" s="2241"/>
      <c r="AE532" s="2241"/>
      <c r="AF532" s="2241"/>
      <c r="AG532" s="196" t="s">
        <v>423</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15"/>
      <c r="C533" s="2416"/>
      <c r="D533" s="2416"/>
      <c r="E533" s="2416"/>
      <c r="F533" s="2416"/>
      <c r="G533" s="2416"/>
      <c r="H533" s="2417"/>
      <c r="I533" s="171" t="s">
        <v>441</v>
      </c>
      <c r="J533" s="25"/>
      <c r="K533" s="25"/>
      <c r="L533" s="25"/>
      <c r="M533" s="25"/>
      <c r="N533" s="25"/>
      <c r="O533" s="25"/>
      <c r="P533" s="25"/>
      <c r="Q533" s="25"/>
      <c r="R533" s="25"/>
      <c r="S533" s="25"/>
      <c r="T533" s="25"/>
      <c r="U533" s="25"/>
      <c r="V533" s="25"/>
      <c r="W533" s="25"/>
      <c r="X533" s="25"/>
      <c r="Y533" s="25"/>
      <c r="Z533" s="25"/>
      <c r="AA533" s="25"/>
      <c r="AB533" s="101"/>
      <c r="AC533" s="2499">
        <v>8</v>
      </c>
      <c r="AD533" s="2345"/>
      <c r="AE533" s="2345"/>
      <c r="AF533" s="2345"/>
      <c r="AG533" s="75" t="s">
        <v>423</v>
      </c>
      <c r="AH533" s="2195">
        <v>2021</v>
      </c>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15"/>
      <c r="C534" s="2416"/>
      <c r="D534" s="2416"/>
      <c r="E534" s="2416"/>
      <c r="F534" s="2416"/>
      <c r="G534" s="2416"/>
      <c r="H534" s="2417"/>
      <c r="I534" s="79" t="s">
        <v>442</v>
      </c>
      <c r="J534" s="80"/>
      <c r="K534" s="80"/>
      <c r="L534" s="80"/>
      <c r="M534" s="80"/>
      <c r="N534" s="80"/>
      <c r="O534" s="80"/>
      <c r="P534" s="80"/>
      <c r="Q534" s="80"/>
      <c r="R534" s="80"/>
      <c r="S534" s="80"/>
      <c r="T534" s="80"/>
      <c r="U534" s="80"/>
      <c r="V534" s="80"/>
      <c r="W534" s="80"/>
      <c r="X534" s="80"/>
      <c r="Y534" s="80"/>
      <c r="Z534" s="80"/>
      <c r="AA534" s="80"/>
      <c r="AB534" s="81"/>
      <c r="AC534" s="2499">
        <v>6</v>
      </c>
      <c r="AD534" s="2345"/>
      <c r="AE534" s="2345"/>
      <c r="AF534" s="2345"/>
      <c r="AG534" s="65" t="s">
        <v>423</v>
      </c>
      <c r="AH534" s="2195">
        <v>2022</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15"/>
      <c r="C535" s="2416"/>
      <c r="D535" s="2416"/>
      <c r="E535" s="2416"/>
      <c r="F535" s="2416"/>
      <c r="G535" s="2416"/>
      <c r="H535" s="2417"/>
      <c r="I535" s="72" t="s">
        <v>443</v>
      </c>
      <c r="J535" s="72"/>
      <c r="K535" s="72"/>
      <c r="L535" s="72"/>
      <c r="M535" s="72"/>
      <c r="N535" s="72"/>
      <c r="O535" s="2040" t="s">
        <v>2669</v>
      </c>
      <c r="P535" s="2040"/>
      <c r="Q535" s="2040"/>
      <c r="R535" s="2040"/>
      <c r="S535" s="2040"/>
      <c r="T535" s="2040"/>
      <c r="U535" s="2040"/>
      <c r="V535" s="2040"/>
      <c r="W535" s="2040"/>
      <c r="X535" s="2040"/>
      <c r="Y535" s="2040"/>
      <c r="Z535" s="2040"/>
      <c r="AA535" s="2040"/>
      <c r="AC535" s="2442"/>
      <c r="AD535" s="2345"/>
      <c r="AE535" s="2345"/>
      <c r="AF535" s="2345"/>
      <c r="AG535" s="75" t="s">
        <v>423</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15"/>
      <c r="C536" s="2416"/>
      <c r="D536" s="2416"/>
      <c r="E536" s="2416"/>
      <c r="F536" s="2416"/>
      <c r="G536" s="2416"/>
      <c r="H536" s="2417"/>
      <c r="I536" s="25" t="s">
        <v>441</v>
      </c>
      <c r="J536" s="25"/>
      <c r="K536" s="25"/>
      <c r="L536" s="25"/>
      <c r="M536" s="25"/>
      <c r="N536" s="25"/>
      <c r="O536" s="25"/>
      <c r="P536" s="25"/>
      <c r="Q536" s="25"/>
      <c r="R536" s="25"/>
      <c r="S536" s="25"/>
      <c r="T536" s="25"/>
      <c r="U536" s="25"/>
      <c r="V536" s="25"/>
      <c r="W536" s="25"/>
      <c r="X536" s="25"/>
      <c r="Y536" s="25"/>
      <c r="AC536" s="2442">
        <v>8</v>
      </c>
      <c r="AD536" s="2345"/>
      <c r="AE536" s="2345"/>
      <c r="AF536" s="2345"/>
      <c r="AG536" s="75" t="s">
        <v>423</v>
      </c>
      <c r="AH536" s="2195">
        <v>2021</v>
      </c>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15"/>
      <c r="C537" s="2416"/>
      <c r="D537" s="2416"/>
      <c r="E537" s="2416"/>
      <c r="F537" s="2416"/>
      <c r="G537" s="2416"/>
      <c r="H537" s="2417"/>
      <c r="I537" s="80" t="s">
        <v>442</v>
      </c>
      <c r="J537" s="80"/>
      <c r="K537" s="80"/>
      <c r="L537" s="80"/>
      <c r="M537" s="80"/>
      <c r="N537" s="80"/>
      <c r="O537" s="80"/>
      <c r="P537" s="80"/>
      <c r="Q537" s="80"/>
      <c r="R537" s="80"/>
      <c r="S537" s="80"/>
      <c r="T537" s="80"/>
      <c r="U537" s="80"/>
      <c r="V537" s="80"/>
      <c r="W537" s="80"/>
      <c r="X537" s="80"/>
      <c r="Y537" s="80"/>
      <c r="Z537" s="80"/>
      <c r="AA537" s="80"/>
      <c r="AB537" s="80"/>
      <c r="AC537" s="2442">
        <v>6</v>
      </c>
      <c r="AD537" s="2345"/>
      <c r="AE537" s="2345"/>
      <c r="AF537" s="2345"/>
      <c r="AG537" s="65" t="s">
        <v>423</v>
      </c>
      <c r="AH537" s="2195">
        <v>2022</v>
      </c>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15"/>
      <c r="C538" s="2416"/>
      <c r="D538" s="2416"/>
      <c r="E538" s="2416"/>
      <c r="F538" s="2416"/>
      <c r="G538" s="2416"/>
      <c r="H538" s="2417"/>
      <c r="I538" s="72" t="s">
        <v>443</v>
      </c>
      <c r="J538" s="72"/>
      <c r="K538" s="72"/>
      <c r="L538" s="72"/>
      <c r="M538" s="72"/>
      <c r="N538" s="72"/>
      <c r="O538" s="2040" t="s">
        <v>342</v>
      </c>
      <c r="P538" s="2040"/>
      <c r="Q538" s="2040"/>
      <c r="R538" s="2040"/>
      <c r="S538" s="2040"/>
      <c r="T538" s="2040"/>
      <c r="U538" s="2040"/>
      <c r="V538" s="2040"/>
      <c r="W538" s="2040"/>
      <c r="X538" s="2040"/>
      <c r="Y538" s="2040"/>
      <c r="Z538" s="2040"/>
      <c r="AA538" s="2040"/>
      <c r="AC538" s="2442" t="s">
        <v>624</v>
      </c>
      <c r="AD538" s="2345"/>
      <c r="AE538" s="2345"/>
      <c r="AF538" s="2345"/>
      <c r="AG538" s="75" t="s">
        <v>423</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15"/>
      <c r="C539" s="2416"/>
      <c r="D539" s="2416"/>
      <c r="E539" s="2416"/>
      <c r="F539" s="2416"/>
      <c r="G539" s="2416"/>
      <c r="H539" s="2417"/>
      <c r="I539" s="25" t="s">
        <v>441</v>
      </c>
      <c r="J539" s="25"/>
      <c r="K539" s="25"/>
      <c r="L539" s="25"/>
      <c r="M539" s="25"/>
      <c r="N539" s="25"/>
      <c r="O539" s="25"/>
      <c r="P539" s="25"/>
      <c r="Q539" s="25"/>
      <c r="R539" s="25"/>
      <c r="S539" s="25"/>
      <c r="T539" s="25"/>
      <c r="U539" s="25"/>
      <c r="V539" s="25"/>
      <c r="W539" s="25"/>
      <c r="X539" s="25"/>
      <c r="Y539" s="25"/>
      <c r="AC539" s="2442" t="s">
        <v>624</v>
      </c>
      <c r="AD539" s="2345"/>
      <c r="AE539" s="2345"/>
      <c r="AF539" s="2345"/>
      <c r="AG539" s="75" t="s">
        <v>423</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15"/>
      <c r="C540" s="2416"/>
      <c r="D540" s="2416"/>
      <c r="E540" s="2416"/>
      <c r="F540" s="2416"/>
      <c r="G540" s="2416"/>
      <c r="H540" s="2417"/>
      <c r="I540" s="80" t="s">
        <v>442</v>
      </c>
      <c r="J540" s="80"/>
      <c r="K540" s="80"/>
      <c r="L540" s="80"/>
      <c r="M540" s="80"/>
      <c r="N540" s="80"/>
      <c r="O540" s="80"/>
      <c r="P540" s="80"/>
      <c r="Q540" s="80"/>
      <c r="R540" s="80"/>
      <c r="S540" s="80"/>
      <c r="T540" s="80"/>
      <c r="U540" s="80"/>
      <c r="V540" s="80"/>
      <c r="W540" s="80"/>
      <c r="X540" s="80"/>
      <c r="Y540" s="80"/>
      <c r="Z540" s="80"/>
      <c r="AA540" s="80"/>
      <c r="AB540" s="80"/>
      <c r="AC540" s="2442" t="s">
        <v>624</v>
      </c>
      <c r="AD540" s="2345"/>
      <c r="AE540" s="2345"/>
      <c r="AF540" s="2345"/>
      <c r="AG540" s="65" t="s">
        <v>423</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15"/>
      <c r="C541" s="2416"/>
      <c r="D541" s="2416"/>
      <c r="E541" s="2416"/>
      <c r="F541" s="2416"/>
      <c r="G541" s="2416"/>
      <c r="H541" s="2417"/>
      <c r="I541" s="72" t="s">
        <v>443</v>
      </c>
      <c r="J541" s="72"/>
      <c r="K541" s="72"/>
      <c r="L541" s="72"/>
      <c r="M541" s="72"/>
      <c r="N541" s="72"/>
      <c r="O541" s="2040" t="s">
        <v>342</v>
      </c>
      <c r="P541" s="2040"/>
      <c r="Q541" s="2040"/>
      <c r="R541" s="2040"/>
      <c r="S541" s="2040"/>
      <c r="T541" s="2040"/>
      <c r="U541" s="2040"/>
      <c r="V541" s="2040"/>
      <c r="W541" s="2040"/>
      <c r="X541" s="2040"/>
      <c r="Y541" s="2040"/>
      <c r="Z541" s="2040"/>
      <c r="AA541" s="2040"/>
      <c r="AC541" s="2442" t="s">
        <v>624</v>
      </c>
      <c r="AD541" s="2345"/>
      <c r="AE541" s="2345"/>
      <c r="AF541" s="2345"/>
      <c r="AG541" s="75" t="s">
        <v>423</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15"/>
      <c r="C542" s="2416"/>
      <c r="D542" s="2416"/>
      <c r="E542" s="2416"/>
      <c r="F542" s="2416"/>
      <c r="G542" s="2416"/>
      <c r="H542" s="2417"/>
      <c r="I542" s="25" t="s">
        <v>441</v>
      </c>
      <c r="J542" s="25"/>
      <c r="K542" s="25"/>
      <c r="L542" s="25"/>
      <c r="M542" s="25"/>
      <c r="N542" s="25"/>
      <c r="O542" s="25"/>
      <c r="P542" s="25"/>
      <c r="Q542" s="25"/>
      <c r="R542" s="25"/>
      <c r="S542" s="25"/>
      <c r="T542" s="25"/>
      <c r="U542" s="25"/>
      <c r="V542" s="25"/>
      <c r="W542" s="25"/>
      <c r="X542" s="25"/>
      <c r="Y542" s="25"/>
      <c r="AC542" s="2442" t="s">
        <v>624</v>
      </c>
      <c r="AD542" s="2345"/>
      <c r="AE542" s="2345"/>
      <c r="AF542" s="2345"/>
      <c r="AG542" s="75" t="s">
        <v>423</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15"/>
      <c r="C543" s="2416"/>
      <c r="D543" s="2416"/>
      <c r="E543" s="2416"/>
      <c r="F543" s="2416"/>
      <c r="G543" s="2416"/>
      <c r="H543" s="2417"/>
      <c r="I543" s="80" t="s">
        <v>442</v>
      </c>
      <c r="J543" s="80"/>
      <c r="K543" s="80"/>
      <c r="L543" s="80"/>
      <c r="M543" s="80"/>
      <c r="N543" s="80"/>
      <c r="O543" s="80"/>
      <c r="P543" s="80"/>
      <c r="Q543" s="80"/>
      <c r="R543" s="80"/>
      <c r="S543" s="80"/>
      <c r="T543" s="80"/>
      <c r="U543" s="80"/>
      <c r="V543" s="80"/>
      <c r="W543" s="80"/>
      <c r="X543" s="80"/>
      <c r="Y543" s="80"/>
      <c r="Z543" s="80"/>
      <c r="AA543" s="80"/>
      <c r="AB543" s="80"/>
      <c r="AC543" s="2442" t="s">
        <v>624</v>
      </c>
      <c r="AD543" s="2345"/>
      <c r="AE543" s="2345"/>
      <c r="AF543" s="2345"/>
      <c r="AG543" s="65" t="s">
        <v>423</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15"/>
      <c r="C544" s="2416"/>
      <c r="D544" s="2416"/>
      <c r="E544" s="2416"/>
      <c r="F544" s="2416"/>
      <c r="G544" s="2416"/>
      <c r="H544" s="2417"/>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442" t="s">
        <v>624</v>
      </c>
      <c r="AD544" s="2345"/>
      <c r="AE544" s="2345"/>
      <c r="AF544" s="2345"/>
      <c r="AG544" s="75" t="s">
        <v>423</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15"/>
      <c r="C545" s="2416"/>
      <c r="D545" s="2416"/>
      <c r="E545" s="2416"/>
      <c r="F545" s="2416"/>
      <c r="G545" s="2416"/>
      <c r="H545" s="2417"/>
      <c r="I545" s="25" t="s">
        <v>441</v>
      </c>
      <c r="J545" s="25"/>
      <c r="K545" s="25"/>
      <c r="L545" s="25"/>
      <c r="M545" s="25"/>
      <c r="N545" s="25"/>
      <c r="O545" s="25"/>
      <c r="P545" s="25"/>
      <c r="Q545" s="25"/>
      <c r="R545" s="25"/>
      <c r="S545" s="25"/>
      <c r="T545" s="25"/>
      <c r="U545" s="25"/>
      <c r="V545" s="25"/>
      <c r="W545" s="25"/>
      <c r="X545" s="25"/>
      <c r="Y545" s="25"/>
      <c r="AC545" s="2442" t="s">
        <v>624</v>
      </c>
      <c r="AD545" s="2345"/>
      <c r="AE545" s="2345"/>
      <c r="AF545" s="2345"/>
      <c r="AG545" s="65" t="s">
        <v>423</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15"/>
      <c r="C546" s="2416"/>
      <c r="D546" s="2416"/>
      <c r="E546" s="2416"/>
      <c r="F546" s="2416"/>
      <c r="G546" s="2416"/>
      <c r="H546" s="2417"/>
      <c r="I546" s="80" t="s">
        <v>442</v>
      </c>
      <c r="J546" s="80"/>
      <c r="K546" s="80"/>
      <c r="L546" s="80"/>
      <c r="M546" s="80"/>
      <c r="N546" s="80"/>
      <c r="O546" s="80"/>
      <c r="P546" s="80"/>
      <c r="Q546" s="80"/>
      <c r="R546" s="80"/>
      <c r="S546" s="80"/>
      <c r="T546" s="80"/>
      <c r="U546" s="80"/>
      <c r="V546" s="80"/>
      <c r="W546" s="80"/>
      <c r="X546" s="80"/>
      <c r="Y546" s="80"/>
      <c r="Z546" s="80"/>
      <c r="AA546" s="80"/>
      <c r="AB546" s="80"/>
      <c r="AC546" s="2442" t="s">
        <v>624</v>
      </c>
      <c r="AD546" s="2345"/>
      <c r="AE546" s="2345"/>
      <c r="AF546" s="2345"/>
      <c r="AG546" s="75" t="s">
        <v>423</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15"/>
      <c r="C547" s="2416"/>
      <c r="D547" s="2416"/>
      <c r="E547" s="2416"/>
      <c r="F547" s="2416"/>
      <c r="G547" s="2416"/>
      <c r="H547" s="2417"/>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442" t="s">
        <v>624</v>
      </c>
      <c r="AD547" s="2345"/>
      <c r="AE547" s="2345"/>
      <c r="AF547" s="2345"/>
      <c r="AG547" s="65" t="s">
        <v>423</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15"/>
      <c r="C548" s="2416"/>
      <c r="D548" s="2416"/>
      <c r="E548" s="2416"/>
      <c r="F548" s="2416"/>
      <c r="G548" s="2416"/>
      <c r="H548" s="2417"/>
      <c r="I548" s="25" t="s">
        <v>441</v>
      </c>
      <c r="J548" s="25"/>
      <c r="K548" s="25"/>
      <c r="L548" s="25"/>
      <c r="M548" s="25"/>
      <c r="N548" s="25"/>
      <c r="O548" s="25"/>
      <c r="P548" s="25"/>
      <c r="Q548" s="25"/>
      <c r="R548" s="25"/>
      <c r="S548" s="25"/>
      <c r="T548" s="25"/>
      <c r="U548" s="25"/>
      <c r="V548" s="25"/>
      <c r="W548" s="25"/>
      <c r="X548" s="25"/>
      <c r="Y548" s="25"/>
      <c r="AC548" s="2442" t="s">
        <v>624</v>
      </c>
      <c r="AD548" s="2345"/>
      <c r="AE548" s="2345"/>
      <c r="AF548" s="2345"/>
      <c r="AG548" s="75" t="s">
        <v>423</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15"/>
      <c r="C549" s="2416"/>
      <c r="D549" s="2416"/>
      <c r="E549" s="2416"/>
      <c r="F549" s="2416"/>
      <c r="G549" s="2416"/>
      <c r="H549" s="2417"/>
      <c r="I549" s="80" t="s">
        <v>442</v>
      </c>
      <c r="J549" s="80"/>
      <c r="K549" s="80"/>
      <c r="L549" s="80"/>
      <c r="M549" s="80"/>
      <c r="N549" s="80"/>
      <c r="O549" s="80"/>
      <c r="P549" s="80"/>
      <c r="Q549" s="80"/>
      <c r="R549" s="80"/>
      <c r="S549" s="80"/>
      <c r="T549" s="80"/>
      <c r="U549" s="80"/>
      <c r="V549" s="80"/>
      <c r="W549" s="80"/>
      <c r="X549" s="80"/>
      <c r="Y549" s="80"/>
      <c r="Z549" s="80"/>
      <c r="AA549" s="80"/>
      <c r="AB549" s="80"/>
      <c r="AC549" s="2442" t="s">
        <v>624</v>
      </c>
      <c r="AD549" s="2345"/>
      <c r="AE549" s="2345"/>
      <c r="AF549" s="2345"/>
      <c r="AG549" s="65" t="s">
        <v>423</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15"/>
      <c r="C550" s="2416"/>
      <c r="D550" s="2416"/>
      <c r="E550" s="2416"/>
      <c r="F550" s="2416"/>
      <c r="G550" s="2416"/>
      <c r="H550" s="2417"/>
      <c r="I550" s="72" t="s">
        <v>593</v>
      </c>
      <c r="J550" s="72"/>
      <c r="K550" s="72"/>
      <c r="L550" s="72"/>
      <c r="M550" s="72"/>
      <c r="N550" s="72"/>
      <c r="O550" s="72"/>
      <c r="P550" s="72"/>
      <c r="Q550" s="72"/>
      <c r="R550" s="72"/>
      <c r="S550" s="72"/>
      <c r="T550" s="72"/>
      <c r="U550" s="72"/>
      <c r="V550" s="72"/>
      <c r="W550" s="72"/>
      <c r="X550" s="25"/>
      <c r="Y550" s="25"/>
      <c r="AC550" s="2442">
        <v>11</v>
      </c>
      <c r="AD550" s="2345"/>
      <c r="AE550" s="2345"/>
      <c r="AF550" s="2345"/>
      <c r="AG550" s="65" t="s">
        <v>423</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15"/>
      <c r="C551" s="2416"/>
      <c r="D551" s="2416"/>
      <c r="E551" s="2416"/>
      <c r="F551" s="2416"/>
      <c r="G551" s="2416"/>
      <c r="H551" s="2417"/>
      <c r="I551" s="25" t="s">
        <v>594</v>
      </c>
      <c r="J551" s="25"/>
      <c r="K551" s="25"/>
      <c r="L551" s="25"/>
      <c r="M551" s="25"/>
      <c r="N551" s="25"/>
      <c r="O551" s="25"/>
      <c r="P551" s="25"/>
      <c r="Q551" s="25"/>
      <c r="R551" s="25"/>
      <c r="S551" s="25"/>
      <c r="T551" s="25"/>
      <c r="U551" s="25"/>
      <c r="V551" s="25"/>
      <c r="W551" s="25"/>
      <c r="X551" s="25"/>
      <c r="Y551" s="25"/>
      <c r="AC551" s="2442">
        <v>6</v>
      </c>
      <c r="AD551" s="2345"/>
      <c r="AE551" s="2345"/>
      <c r="AF551" s="2345"/>
      <c r="AG551" s="75" t="s">
        <v>423</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15"/>
      <c r="C552" s="2416"/>
      <c r="D552" s="2416"/>
      <c r="E552" s="2416"/>
      <c r="F552" s="2416"/>
      <c r="G552" s="2416"/>
      <c r="H552" s="2417"/>
      <c r="I552" s="25" t="s">
        <v>595</v>
      </c>
      <c r="J552" s="25"/>
      <c r="K552" s="25"/>
      <c r="L552" s="25"/>
      <c r="M552" s="25"/>
      <c r="N552" s="25"/>
      <c r="O552" s="25"/>
      <c r="P552" s="25"/>
      <c r="Q552" s="25"/>
      <c r="R552" s="25"/>
      <c r="S552" s="25"/>
      <c r="T552" s="25"/>
      <c r="U552" s="25"/>
      <c r="V552" s="25"/>
      <c r="W552" s="25"/>
      <c r="X552" s="25"/>
      <c r="Y552" s="25"/>
      <c r="AC552" s="2442">
        <v>6</v>
      </c>
      <c r="AD552" s="2345"/>
      <c r="AE552" s="2345"/>
      <c r="AF552" s="2345"/>
      <c r="AG552" s="65" t="s">
        <v>423</v>
      </c>
      <c r="AH552" s="2195">
        <v>2024</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15"/>
      <c r="C553" s="2416"/>
      <c r="D553" s="2416"/>
      <c r="E553" s="2416"/>
      <c r="F553" s="2416"/>
      <c r="G553" s="2416"/>
      <c r="H553" s="2417"/>
      <c r="I553" s="25" t="s">
        <v>596</v>
      </c>
      <c r="J553" s="25"/>
      <c r="K553" s="25"/>
      <c r="L553" s="25"/>
      <c r="M553" s="25"/>
      <c r="N553" s="25"/>
      <c r="O553" s="25"/>
      <c r="P553" s="25"/>
      <c r="Q553" s="25"/>
      <c r="R553" s="25"/>
      <c r="S553" s="25"/>
      <c r="T553" s="25"/>
      <c r="U553" s="25"/>
      <c r="V553" s="25"/>
      <c r="W553" s="25"/>
      <c r="X553" s="25"/>
      <c r="Y553" s="25"/>
      <c r="AC553" s="2442">
        <v>6</v>
      </c>
      <c r="AD553" s="2345"/>
      <c r="AE553" s="2345"/>
      <c r="AF553" s="2345"/>
      <c r="AG553" s="65" t="s">
        <v>423</v>
      </c>
      <c r="AH553" s="2195">
        <v>2024</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18"/>
      <c r="C554" s="2419"/>
      <c r="D554" s="2419"/>
      <c r="E554" s="2419"/>
      <c r="F554" s="2419"/>
      <c r="G554" s="2419"/>
      <c r="H554" s="2420"/>
      <c r="I554" s="80" t="s">
        <v>480</v>
      </c>
      <c r="J554" s="80"/>
      <c r="K554" s="80"/>
      <c r="L554" s="80"/>
      <c r="M554" s="80"/>
      <c r="N554" s="80"/>
      <c r="O554" s="80"/>
      <c r="P554" s="80"/>
      <c r="Q554" s="80"/>
      <c r="R554" s="80"/>
      <c r="S554" s="80"/>
      <c r="T554" s="80"/>
      <c r="U554" s="80"/>
      <c r="V554" s="80"/>
      <c r="W554" s="80"/>
      <c r="X554" s="80"/>
      <c r="Y554" s="80"/>
      <c r="Z554" s="80"/>
      <c r="AA554" s="80"/>
      <c r="AB554" s="80"/>
      <c r="AC554" s="2442">
        <v>12</v>
      </c>
      <c r="AD554" s="2345"/>
      <c r="AE554" s="2345"/>
      <c r="AF554" s="2345"/>
      <c r="AG554" s="65" t="s">
        <v>423</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2" t="s">
        <v>482</v>
      </c>
      <c r="C563" s="2091"/>
      <c r="D563" s="2091"/>
      <c r="E563" s="2091"/>
      <c r="F563" s="2091"/>
      <c r="G563" s="2091"/>
      <c r="H563" s="2091"/>
      <c r="I563" s="2091"/>
      <c r="J563" s="2091"/>
      <c r="K563" s="2091"/>
      <c r="L563" s="2091"/>
      <c r="M563" s="2091"/>
      <c r="N563" s="2091"/>
      <c r="O563" s="2091"/>
      <c r="P563" s="2092"/>
      <c r="Q563" s="2432" t="s">
        <v>2376</v>
      </c>
      <c r="R563" s="2433"/>
      <c r="S563" s="2434"/>
      <c r="T563" s="2432" t="s">
        <v>2374</v>
      </c>
      <c r="U563" s="2433"/>
      <c r="V563" s="2434"/>
      <c r="W563" s="2432" t="s">
        <v>483</v>
      </c>
      <c r="X563" s="2433"/>
      <c r="Y563" s="2434"/>
      <c r="Z563" s="2432" t="s">
        <v>2375</v>
      </c>
      <c r="AA563" s="2433"/>
      <c r="AB563" s="2433"/>
      <c r="AC563" s="2433"/>
      <c r="AD563" s="2433"/>
      <c r="AE563" s="2432" t="s">
        <v>2148</v>
      </c>
      <c r="AF563" s="2433"/>
      <c r="AG563" s="2433"/>
      <c r="AH563" s="2434"/>
      <c r="AI563" s="2432" t="s">
        <v>2149</v>
      </c>
      <c r="AJ563" s="2433"/>
      <c r="AK563" s="2433"/>
      <c r="AL563" s="2434"/>
      <c r="AM563" s="2432" t="s">
        <v>484</v>
      </c>
      <c r="AN563" s="2433"/>
      <c r="AO563" s="2433"/>
      <c r="AP563" s="2433"/>
      <c r="AQ563" s="2433"/>
      <c r="AR563" s="2433"/>
      <c r="AS563" s="24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8" t="s">
        <v>2631</v>
      </c>
      <c r="D564" s="2088"/>
      <c r="E564" s="2088"/>
      <c r="F564" s="2088"/>
      <c r="G564" s="2088"/>
      <c r="H564" s="2088"/>
      <c r="I564" s="2088"/>
      <c r="J564" s="2088"/>
      <c r="K564" s="2088"/>
      <c r="L564" s="2088"/>
      <c r="M564" s="2088"/>
      <c r="N564" s="2088"/>
      <c r="O564" s="2088"/>
      <c r="P564" s="2089"/>
      <c r="Q564" s="2049">
        <v>36</v>
      </c>
      <c r="R564" s="2049"/>
      <c r="S564" s="2050"/>
      <c r="T564" s="2048">
        <v>36</v>
      </c>
      <c r="U564" s="2049"/>
      <c r="V564" s="2050"/>
      <c r="W564" s="2516">
        <v>0.04</v>
      </c>
      <c r="X564" s="2517"/>
      <c r="Y564" s="2518"/>
      <c r="Z564" s="2515" t="s">
        <v>2583</v>
      </c>
      <c r="AA564" s="2515"/>
      <c r="AB564" s="2515"/>
      <c r="AC564" s="2515"/>
      <c r="AD564" s="2515"/>
      <c r="AE564" s="2509">
        <v>1</v>
      </c>
      <c r="AF564" s="2510"/>
      <c r="AG564" s="2510"/>
      <c r="AH564" s="2511"/>
      <c r="AI564" s="2512" t="s">
        <v>2584</v>
      </c>
      <c r="AJ564" s="2513"/>
      <c r="AK564" s="2513"/>
      <c r="AL564" s="2514"/>
      <c r="AM564" s="2023">
        <v>44000000</v>
      </c>
      <c r="AN564" s="2024"/>
      <c r="AO564" s="2024"/>
      <c r="AP564" s="2024"/>
      <c r="AQ564" s="2024"/>
      <c r="AR564" s="2024"/>
      <c r="AS564" s="2025"/>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8" t="s">
        <v>2637</v>
      </c>
      <c r="D565" s="2088"/>
      <c r="E565" s="2088"/>
      <c r="F565" s="2088"/>
      <c r="G565" s="2088"/>
      <c r="H565" s="2088"/>
      <c r="I565" s="2088"/>
      <c r="J565" s="2088"/>
      <c r="K565" s="2088"/>
      <c r="L565" s="2088"/>
      <c r="M565" s="2088"/>
      <c r="N565" s="2088"/>
      <c r="O565" s="2088"/>
      <c r="P565" s="2089"/>
      <c r="Q565" s="2048">
        <v>36</v>
      </c>
      <c r="R565" s="2049"/>
      <c r="S565" s="2050"/>
      <c r="T565" s="2048">
        <v>36</v>
      </c>
      <c r="U565" s="2049"/>
      <c r="V565" s="2050"/>
      <c r="W565" s="2516">
        <v>0.04</v>
      </c>
      <c r="X565" s="2517"/>
      <c r="Y565" s="2518"/>
      <c r="Z565" s="2515" t="s">
        <v>2583</v>
      </c>
      <c r="AA565" s="2515"/>
      <c r="AB565" s="2515"/>
      <c r="AC565" s="2515"/>
      <c r="AD565" s="2515"/>
      <c r="AE565" s="2509">
        <v>2</v>
      </c>
      <c r="AF565" s="2510"/>
      <c r="AG565" s="2510"/>
      <c r="AH565" s="2511"/>
      <c r="AI565" s="2512" t="s">
        <v>2584</v>
      </c>
      <c r="AJ565" s="2513"/>
      <c r="AK565" s="2513"/>
      <c r="AL565" s="2514"/>
      <c r="AM565" s="2023">
        <v>16000000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8" t="s">
        <v>2670</v>
      </c>
      <c r="D566" s="2088"/>
      <c r="E566" s="2088"/>
      <c r="F566" s="2088"/>
      <c r="G566" s="2088"/>
      <c r="H566" s="2088"/>
      <c r="I566" s="2088"/>
      <c r="J566" s="2088"/>
      <c r="K566" s="2088"/>
      <c r="L566" s="2088"/>
      <c r="M566" s="2088"/>
      <c r="N566" s="2088"/>
      <c r="O566" s="2088"/>
      <c r="P566" s="2089"/>
      <c r="Q566" s="2048">
        <v>36</v>
      </c>
      <c r="R566" s="2049"/>
      <c r="S566" s="2050"/>
      <c r="T566" s="2048">
        <v>36</v>
      </c>
      <c r="U566" s="2049"/>
      <c r="V566" s="2050"/>
      <c r="W566" s="2516">
        <v>0.03</v>
      </c>
      <c r="X566" s="2517"/>
      <c r="Y566" s="2518"/>
      <c r="Z566" s="2515" t="s">
        <v>2583</v>
      </c>
      <c r="AA566" s="2515"/>
      <c r="AB566" s="2515"/>
      <c r="AC566" s="2515"/>
      <c r="AD566" s="2515"/>
      <c r="AE566" s="2509">
        <v>3</v>
      </c>
      <c r="AF566" s="2510"/>
      <c r="AG566" s="2510"/>
      <c r="AH566" s="2511"/>
      <c r="AI566" s="2512" t="s">
        <v>2584</v>
      </c>
      <c r="AJ566" s="2513"/>
      <c r="AK566" s="2513"/>
      <c r="AL566" s="2514"/>
      <c r="AM566" s="2023">
        <v>6030000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088" t="s">
        <v>2669</v>
      </c>
      <c r="D567" s="2088"/>
      <c r="E567" s="2088"/>
      <c r="F567" s="2088"/>
      <c r="G567" s="2088"/>
      <c r="H567" s="2088"/>
      <c r="I567" s="2088"/>
      <c r="J567" s="2088"/>
      <c r="K567" s="2088"/>
      <c r="L567" s="2088"/>
      <c r="M567" s="2088"/>
      <c r="N567" s="2088"/>
      <c r="O567" s="2088"/>
      <c r="P567" s="2089"/>
      <c r="Q567" s="2048" t="s">
        <v>624</v>
      </c>
      <c r="R567" s="2049"/>
      <c r="S567" s="2050"/>
      <c r="T567" s="2048" t="s">
        <v>624</v>
      </c>
      <c r="U567" s="2049"/>
      <c r="V567" s="2050"/>
      <c r="W567" s="2516" t="s">
        <v>624</v>
      </c>
      <c r="X567" s="2517"/>
      <c r="Y567" s="2518"/>
      <c r="Z567" s="2515" t="s">
        <v>624</v>
      </c>
      <c r="AA567" s="2515"/>
      <c r="AB567" s="2515"/>
      <c r="AC567" s="2515"/>
      <c r="AD567" s="2515"/>
      <c r="AE567" s="2509" t="s">
        <v>624</v>
      </c>
      <c r="AF567" s="2510"/>
      <c r="AG567" s="2510"/>
      <c r="AH567" s="2511"/>
      <c r="AI567" s="2512" t="s">
        <v>624</v>
      </c>
      <c r="AJ567" s="2513"/>
      <c r="AK567" s="2513"/>
      <c r="AL567" s="2514"/>
      <c r="AM567" s="2023">
        <v>361228</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088" t="s">
        <v>2585</v>
      </c>
      <c r="D568" s="2088"/>
      <c r="E568" s="2088"/>
      <c r="F568" s="2088"/>
      <c r="G568" s="2088"/>
      <c r="H568" s="2088"/>
      <c r="I568" s="2088"/>
      <c r="J568" s="2088"/>
      <c r="K568" s="2088"/>
      <c r="L568" s="2088"/>
      <c r="M568" s="2088"/>
      <c r="N568" s="2088"/>
      <c r="O568" s="2088"/>
      <c r="P568" s="2089"/>
      <c r="Q568" s="2048">
        <v>36</v>
      </c>
      <c r="R568" s="2049"/>
      <c r="S568" s="2050"/>
      <c r="T568" s="2048">
        <v>36</v>
      </c>
      <c r="U568" s="2049"/>
      <c r="V568" s="2050"/>
      <c r="W568" s="2516">
        <v>9.9999999999999995E-8</v>
      </c>
      <c r="X568" s="2517"/>
      <c r="Y568" s="2518"/>
      <c r="Z568" s="2515" t="s">
        <v>2583</v>
      </c>
      <c r="AA568" s="2515"/>
      <c r="AB568" s="2515"/>
      <c r="AC568" s="2515"/>
      <c r="AD568" s="2515"/>
      <c r="AE568" s="2509" t="s">
        <v>624</v>
      </c>
      <c r="AF568" s="2510"/>
      <c r="AG568" s="2510"/>
      <c r="AH568" s="2511"/>
      <c r="AI568" s="2512" t="s">
        <v>2586</v>
      </c>
      <c r="AJ568" s="2513"/>
      <c r="AK568" s="2513"/>
      <c r="AL568" s="2514"/>
      <c r="AM568" s="2023">
        <v>9968112</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088" t="s">
        <v>2668</v>
      </c>
      <c r="D569" s="2088"/>
      <c r="E569" s="2088"/>
      <c r="F569" s="2088"/>
      <c r="G569" s="2088"/>
      <c r="H569" s="2088"/>
      <c r="I569" s="2088"/>
      <c r="J569" s="2088"/>
      <c r="K569" s="2088"/>
      <c r="L569" s="2088"/>
      <c r="M569" s="2088"/>
      <c r="N569" s="2088"/>
      <c r="O569" s="2088"/>
      <c r="P569" s="2089"/>
      <c r="Q569" s="2048" t="s">
        <v>624</v>
      </c>
      <c r="R569" s="2049"/>
      <c r="S569" s="2050"/>
      <c r="T569" s="2048" t="s">
        <v>624</v>
      </c>
      <c r="U569" s="2049"/>
      <c r="V569" s="2050"/>
      <c r="W569" s="2516" t="s">
        <v>624</v>
      </c>
      <c r="X569" s="2517"/>
      <c r="Y569" s="2518"/>
      <c r="Z569" s="2515" t="s">
        <v>624</v>
      </c>
      <c r="AA569" s="2515"/>
      <c r="AB569" s="2515"/>
      <c r="AC569" s="2515"/>
      <c r="AD569" s="2515"/>
      <c r="AE569" s="2509" t="s">
        <v>624</v>
      </c>
      <c r="AF569" s="2510"/>
      <c r="AG569" s="2510"/>
      <c r="AH569" s="2511"/>
      <c r="AI569" s="2512" t="s">
        <v>2586</v>
      </c>
      <c r="AJ569" s="2513"/>
      <c r="AK569" s="2513"/>
      <c r="AL569" s="2514"/>
      <c r="AM569" s="2023">
        <v>839139</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088" t="s">
        <v>2587</v>
      </c>
      <c r="D570" s="2088"/>
      <c r="E570" s="2088"/>
      <c r="F570" s="2088"/>
      <c r="G570" s="2088"/>
      <c r="H570" s="2088"/>
      <c r="I570" s="2088"/>
      <c r="J570" s="2088"/>
      <c r="K570" s="2088"/>
      <c r="L570" s="2088"/>
      <c r="M570" s="2088"/>
      <c r="N570" s="2088"/>
      <c r="O570" s="2088"/>
      <c r="P570" s="2089"/>
      <c r="Q570" s="2048" t="s">
        <v>624</v>
      </c>
      <c r="R570" s="2049"/>
      <c r="S570" s="2050"/>
      <c r="T570" s="2048" t="s">
        <v>624</v>
      </c>
      <c r="U570" s="2049"/>
      <c r="V570" s="2050"/>
      <c r="W570" s="2516" t="s">
        <v>624</v>
      </c>
      <c r="X570" s="2517"/>
      <c r="Y570" s="2518"/>
      <c r="Z570" s="2515" t="s">
        <v>624</v>
      </c>
      <c r="AA570" s="2515"/>
      <c r="AB570" s="2515"/>
      <c r="AC570" s="2515"/>
      <c r="AD570" s="2515"/>
      <c r="AE570" s="2509" t="s">
        <v>624</v>
      </c>
      <c r="AF570" s="2510"/>
      <c r="AG570" s="2510"/>
      <c r="AH570" s="2511"/>
      <c r="AI570" s="2512" t="s">
        <v>624</v>
      </c>
      <c r="AJ570" s="2513"/>
      <c r="AK570" s="2513"/>
      <c r="AL570" s="2514"/>
      <c r="AM570" s="2023">
        <v>5121981</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088"/>
      <c r="D571" s="2088"/>
      <c r="E571" s="2088"/>
      <c r="F571" s="2088"/>
      <c r="G571" s="2088"/>
      <c r="H571" s="2088"/>
      <c r="I571" s="2088"/>
      <c r="J571" s="2088"/>
      <c r="K571" s="2088"/>
      <c r="L571" s="2088"/>
      <c r="M571" s="2088"/>
      <c r="N571" s="2088"/>
      <c r="O571" s="2088"/>
      <c r="P571" s="2089"/>
      <c r="Q571" s="2048"/>
      <c r="R571" s="2049"/>
      <c r="S571" s="2050"/>
      <c r="T571" s="2048"/>
      <c r="U571" s="2049"/>
      <c r="V571" s="2050"/>
      <c r="W571" s="2516"/>
      <c r="X571" s="2517"/>
      <c r="Y571" s="2518"/>
      <c r="Z571" s="2515"/>
      <c r="AA571" s="2515"/>
      <c r="AB571" s="2515"/>
      <c r="AC571" s="2515"/>
      <c r="AD571" s="2515"/>
      <c r="AE571" s="2509"/>
      <c r="AF571" s="2510"/>
      <c r="AG571" s="2510"/>
      <c r="AH571" s="2511"/>
      <c r="AI571" s="2512"/>
      <c r="AJ571" s="2513"/>
      <c r="AK571" s="2513"/>
      <c r="AL571" s="2514"/>
      <c r="AM571" s="2023"/>
      <c r="AN571" s="2024"/>
      <c r="AO571" s="2024"/>
      <c r="AP571" s="2024"/>
      <c r="AQ571" s="2024"/>
      <c r="AR571" s="2024"/>
      <c r="AS571" s="2025"/>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6"/>
      <c r="X572" s="2517"/>
      <c r="Y572" s="2518"/>
      <c r="Z572" s="2515"/>
      <c r="AA572" s="2515"/>
      <c r="AB572" s="2515"/>
      <c r="AC572" s="2515"/>
      <c r="AD572" s="2515"/>
      <c r="AE572" s="2509"/>
      <c r="AF572" s="2510"/>
      <c r="AG572" s="2510"/>
      <c r="AH572" s="2511"/>
      <c r="AI572" s="2512"/>
      <c r="AJ572" s="2513"/>
      <c r="AK572" s="2513"/>
      <c r="AL572" s="2514"/>
      <c r="AM572" s="2023"/>
      <c r="AN572" s="2024"/>
      <c r="AO572" s="2024"/>
      <c r="AP572" s="2024"/>
      <c r="AQ572" s="2024"/>
      <c r="AR572" s="2024"/>
      <c r="AS572" s="2025"/>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6"/>
      <c r="X573" s="2517"/>
      <c r="Y573" s="2518"/>
      <c r="Z573" s="2515"/>
      <c r="AA573" s="2515"/>
      <c r="AB573" s="2515"/>
      <c r="AC573" s="2515"/>
      <c r="AD573" s="2515"/>
      <c r="AE573" s="2509"/>
      <c r="AF573" s="2510"/>
      <c r="AG573" s="2510"/>
      <c r="AH573" s="2511"/>
      <c r="AI573" s="2512"/>
      <c r="AJ573" s="2513"/>
      <c r="AK573" s="2513"/>
      <c r="AL573" s="2514"/>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6"/>
      <c r="X574" s="2517"/>
      <c r="Y574" s="2518"/>
      <c r="Z574" s="2515"/>
      <c r="AA574" s="2515"/>
      <c r="AB574" s="2515"/>
      <c r="AC574" s="2515"/>
      <c r="AD574" s="2515"/>
      <c r="AE574" s="2509"/>
      <c r="AF574" s="2510"/>
      <c r="AG574" s="2510"/>
      <c r="AH574" s="2511"/>
      <c r="AI574" s="2512"/>
      <c r="AJ574" s="2513"/>
      <c r="AK574" s="2513"/>
      <c r="AL574" s="2514"/>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6"/>
      <c r="X575" s="2517"/>
      <c r="Y575" s="2518"/>
      <c r="Z575" s="2515"/>
      <c r="AA575" s="2515"/>
      <c r="AB575" s="2515"/>
      <c r="AC575" s="2515"/>
      <c r="AD575" s="2515"/>
      <c r="AE575" s="2509"/>
      <c r="AF575" s="2510"/>
      <c r="AG575" s="2510"/>
      <c r="AH575" s="2511"/>
      <c r="AI575" s="2512"/>
      <c r="AJ575" s="2513"/>
      <c r="AK575" s="2513"/>
      <c r="AL575" s="2514"/>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0"/>
      <c r="V576" s="2285"/>
      <c r="W576" s="2285"/>
      <c r="X576" s="2285"/>
      <c r="Y576" s="2285"/>
      <c r="Z576" s="2285"/>
      <c r="AA576" s="2285"/>
      <c r="AB576" s="2285"/>
      <c r="AC576" s="2285"/>
      <c r="AD576" s="2285"/>
      <c r="AE576" s="2285"/>
      <c r="AF576" s="2285"/>
      <c r="AG576" s="2285"/>
      <c r="AH576" s="2285"/>
      <c r="AI576" s="2285"/>
      <c r="AJ576" s="2285"/>
      <c r="AK576" s="2285"/>
      <c r="AL576" s="2286"/>
      <c r="AM576" s="2191">
        <f>SUM(AM564:AS575)</f>
        <v>82320460</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22" t="str">
        <f>C564</f>
        <v>Citibank - T.E. Bonds (Series A)</v>
      </c>
      <c r="H578" s="2022"/>
      <c r="I578" s="2022"/>
      <c r="J578" s="2022"/>
      <c r="K578" s="2022"/>
      <c r="L578" s="2022"/>
      <c r="M578" s="2022"/>
      <c r="N578" s="2022"/>
      <c r="O578" s="2022"/>
      <c r="P578" s="2022"/>
      <c r="Q578" s="2022"/>
      <c r="R578" s="2022"/>
      <c r="S578" s="14"/>
      <c r="T578" s="87" t="s">
        <v>118</v>
      </c>
      <c r="U578" s="12" t="s">
        <v>494</v>
      </c>
      <c r="Z578" s="2022" t="str">
        <f>C565</f>
        <v>Citibank - Taxable Bonds</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0" t="s">
        <v>2632</v>
      </c>
      <c r="H579" s="2040"/>
      <c r="I579" s="2040"/>
      <c r="J579" s="2040"/>
      <c r="K579" s="2040"/>
      <c r="L579" s="2040"/>
      <c r="M579" s="2040"/>
      <c r="N579" s="2040"/>
      <c r="O579" s="2040"/>
      <c r="P579" s="2040"/>
      <c r="Q579" s="2040"/>
      <c r="R579" s="2040"/>
      <c r="S579" s="14"/>
      <c r="T579" s="35"/>
      <c r="U579" s="12" t="s">
        <v>90</v>
      </c>
      <c r="Z579" s="2040" t="s">
        <v>2632</v>
      </c>
      <c r="AA579" s="2040"/>
      <c r="AB579" s="2040"/>
      <c r="AC579" s="2040"/>
      <c r="AD579" s="2040"/>
      <c r="AE579" s="2040"/>
      <c r="AF579" s="2040"/>
      <c r="AG579" s="2040"/>
      <c r="AH579" s="2040"/>
      <c r="AI579" s="2040"/>
      <c r="AJ579" s="2040"/>
      <c r="AK579" s="2040"/>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40" t="s">
        <v>2633</v>
      </c>
      <c r="H580" s="2040"/>
      <c r="I580" s="2040"/>
      <c r="J580" s="2040"/>
      <c r="K580" s="2040"/>
      <c r="L580" s="2040"/>
      <c r="M580" s="2040"/>
      <c r="N580" s="2040"/>
      <c r="O580" s="2040"/>
      <c r="P580" s="2040"/>
      <c r="Q580" s="2040"/>
      <c r="R580" s="2040"/>
      <c r="S580" s="88"/>
      <c r="T580" s="35"/>
      <c r="U580" s="12" t="s">
        <v>613</v>
      </c>
      <c r="Z580" s="2034" t="s">
        <v>2633</v>
      </c>
      <c r="AA580" s="2034"/>
      <c r="AB580" s="2034"/>
      <c r="AC580" s="2034"/>
      <c r="AD580" s="2034"/>
      <c r="AE580" s="2034"/>
      <c r="AF580" s="2034"/>
      <c r="AG580" s="2034"/>
      <c r="AH580" s="2034"/>
      <c r="AI580" s="2034"/>
      <c r="AJ580" s="2034"/>
      <c r="AK580" s="2034"/>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0" t="s">
        <v>2634</v>
      </c>
      <c r="H581" s="2040"/>
      <c r="I581" s="2040"/>
      <c r="J581" s="2040"/>
      <c r="K581" s="2040"/>
      <c r="L581" s="2040"/>
      <c r="M581" s="2040"/>
      <c r="N581" s="2040"/>
      <c r="O581" s="2040"/>
      <c r="P581" s="2040"/>
      <c r="Q581" s="2040"/>
      <c r="R581" s="2040"/>
      <c r="S581" s="14"/>
      <c r="T581" s="35"/>
      <c r="U581" s="12" t="s">
        <v>17</v>
      </c>
      <c r="Z581" s="2034" t="s">
        <v>2634</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321" t="s">
        <v>2682</v>
      </c>
      <c r="H582" s="2064"/>
      <c r="I582" s="2064"/>
      <c r="J582" s="2064"/>
      <c r="K582" s="2064"/>
      <c r="L582" s="2064"/>
      <c r="O582" s="137" t="s">
        <v>211</v>
      </c>
      <c r="P582" s="2033"/>
      <c r="Q582" s="2033"/>
      <c r="R582" s="2033"/>
      <c r="S582" s="16"/>
      <c r="T582" s="35"/>
      <c r="U582" s="12" t="s">
        <v>324</v>
      </c>
      <c r="Z582" s="2321" t="s">
        <v>2682</v>
      </c>
      <c r="AA582" s="2064"/>
      <c r="AB582" s="2064"/>
      <c r="AC582" s="2064"/>
      <c r="AD582" s="2064"/>
      <c r="AE582" s="2064"/>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0" t="s">
        <v>2588</v>
      </c>
      <c r="I583" s="2040"/>
      <c r="J583" s="2040"/>
      <c r="K583" s="2040"/>
      <c r="L583" s="2040"/>
      <c r="M583" s="2040"/>
      <c r="N583" s="2040"/>
      <c r="O583" s="2040"/>
      <c r="P583" s="2040"/>
      <c r="Q583" s="2040"/>
      <c r="R583" s="2040"/>
      <c r="S583" s="14"/>
      <c r="T583" s="35"/>
      <c r="U583" s="12" t="s">
        <v>18</v>
      </c>
      <c r="AA583" s="2040" t="s">
        <v>2638</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057" t="s">
        <v>624</v>
      </c>
      <c r="N584" s="2057"/>
      <c r="O584" s="2057"/>
      <c r="P584" s="2057"/>
      <c r="Q584" s="2057"/>
      <c r="R584" s="2057"/>
      <c r="S584" s="14"/>
      <c r="T584" s="35"/>
      <c r="U584" s="509" t="s">
        <v>1382</v>
      </c>
      <c r="V584" s="719"/>
      <c r="W584" s="719"/>
      <c r="X584" s="719"/>
      <c r="Y584" s="719"/>
      <c r="Z584" s="719"/>
      <c r="AA584" s="14"/>
      <c r="AB584" s="14"/>
      <c r="AC584" s="14"/>
      <c r="AD584" s="14"/>
      <c r="AE584" s="14"/>
      <c r="AF584" s="2057" t="s">
        <v>624</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2" t="s">
        <v>576</v>
      </c>
      <c r="O585" s="2032"/>
      <c r="T585" s="35"/>
      <c r="U585" s="12" t="s">
        <v>20</v>
      </c>
      <c r="AG585" s="2032" t="s">
        <v>576</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22" t="str">
        <f>C566</f>
        <v>City of Palm Desert - Housing Auth. Loan</v>
      </c>
      <c r="H587" s="2022"/>
      <c r="I587" s="2022"/>
      <c r="J587" s="2022"/>
      <c r="K587" s="2022"/>
      <c r="L587" s="2022"/>
      <c r="M587" s="2022"/>
      <c r="N587" s="2022"/>
      <c r="O587" s="2022"/>
      <c r="P587" s="2022"/>
      <c r="Q587" s="2022"/>
      <c r="R587" s="2022"/>
      <c r="T587" s="87" t="s">
        <v>614</v>
      </c>
      <c r="U587" s="12" t="s">
        <v>494</v>
      </c>
      <c r="Z587" s="2022" t="str">
        <f>C567</f>
        <v>CVAG - TUMF Fee Waiver</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0" t="s">
        <v>2645</v>
      </c>
      <c r="H588" s="2040"/>
      <c r="I588" s="2040"/>
      <c r="J588" s="2040"/>
      <c r="K588" s="2040"/>
      <c r="L588" s="2040"/>
      <c r="M588" s="2040"/>
      <c r="N588" s="2040"/>
      <c r="O588" s="2040"/>
      <c r="P588" s="2040"/>
      <c r="Q588" s="2040"/>
      <c r="R588" s="2040"/>
      <c r="T588" s="35"/>
      <c r="U588" s="12" t="s">
        <v>90</v>
      </c>
      <c r="Z588" s="2040" t="s">
        <v>2672</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4" t="s">
        <v>2662</v>
      </c>
      <c r="H589" s="2034"/>
      <c r="I589" s="2034"/>
      <c r="J589" s="2034"/>
      <c r="K589" s="2034"/>
      <c r="L589" s="2034"/>
      <c r="M589" s="2034"/>
      <c r="N589" s="2034"/>
      <c r="O589" s="2034"/>
      <c r="P589" s="2034"/>
      <c r="Q589" s="2034"/>
      <c r="R589" s="2034"/>
      <c r="T589" s="35"/>
      <c r="U589" s="12" t="s">
        <v>613</v>
      </c>
      <c r="Z589" s="2034" t="s">
        <v>2662</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4" t="s">
        <v>2643</v>
      </c>
      <c r="H590" s="2034"/>
      <c r="I590" s="2034"/>
      <c r="J590" s="2034"/>
      <c r="K590" s="2034"/>
      <c r="L590" s="2034"/>
      <c r="M590" s="2034"/>
      <c r="N590" s="2034"/>
      <c r="O590" s="2034"/>
      <c r="P590" s="2034"/>
      <c r="Q590" s="2034"/>
      <c r="R590" s="2034"/>
      <c r="T590" s="35"/>
      <c r="U590" s="12" t="s">
        <v>17</v>
      </c>
      <c r="Z590" s="2034" t="s">
        <v>2673</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321" t="s">
        <v>2647</v>
      </c>
      <c r="H591" s="2064"/>
      <c r="I591" s="2064"/>
      <c r="J591" s="2064"/>
      <c r="K591" s="2064"/>
      <c r="L591" s="2064"/>
      <c r="O591" s="137" t="s">
        <v>211</v>
      </c>
      <c r="P591" s="2033"/>
      <c r="Q591" s="2033"/>
      <c r="R591" s="2033"/>
      <c r="T591" s="35"/>
      <c r="U591" s="12" t="s">
        <v>324</v>
      </c>
      <c r="Z591" s="2321" t="s">
        <v>2674</v>
      </c>
      <c r="AA591" s="2064"/>
      <c r="AB591" s="2064"/>
      <c r="AC591" s="2064"/>
      <c r="AD591" s="2064"/>
      <c r="AE591" s="2064"/>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0" t="s">
        <v>2671</v>
      </c>
      <c r="I592" s="2040"/>
      <c r="J592" s="2040"/>
      <c r="K592" s="2040"/>
      <c r="L592" s="2040"/>
      <c r="M592" s="2040"/>
      <c r="N592" s="2040"/>
      <c r="O592" s="2040"/>
      <c r="P592" s="2040"/>
      <c r="Q592" s="2040"/>
      <c r="R592" s="2040"/>
      <c r="T592" s="35"/>
      <c r="U592" s="12" t="s">
        <v>18</v>
      </c>
      <c r="AA592" s="2040" t="s">
        <v>2640</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2" t="s">
        <v>576</v>
      </c>
      <c r="O593" s="2032"/>
      <c r="T593" s="35"/>
      <c r="U593" s="12" t="s">
        <v>20</v>
      </c>
      <c r="AG593" s="2032" t="s">
        <v>576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22" t="str">
        <f>C568</f>
        <v>Pacific West Communities, Inc. - DDF</v>
      </c>
      <c r="H595" s="2022"/>
      <c r="I595" s="2022"/>
      <c r="J595" s="2022"/>
      <c r="K595" s="2022"/>
      <c r="L595" s="2022"/>
      <c r="M595" s="2022"/>
      <c r="N595" s="2022"/>
      <c r="O595" s="2022"/>
      <c r="P595" s="2022"/>
      <c r="Q595" s="2022"/>
      <c r="R595" s="2022"/>
      <c r="T595" s="87" t="s">
        <v>617</v>
      </c>
      <c r="U595" s="12" t="s">
        <v>494</v>
      </c>
      <c r="Z595" s="2022" t="str">
        <f>C569</f>
        <v>Palm Desert Pacific Assoc - Deferred Costs</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0" t="s">
        <v>2532</v>
      </c>
      <c r="H596" s="2040"/>
      <c r="I596" s="2040"/>
      <c r="J596" s="2040"/>
      <c r="K596" s="2040"/>
      <c r="L596" s="2040"/>
      <c r="M596" s="2040"/>
      <c r="N596" s="2040"/>
      <c r="O596" s="2040"/>
      <c r="P596" s="2040"/>
      <c r="Q596" s="2040"/>
      <c r="R596" s="2040"/>
      <c r="T596" s="35"/>
      <c r="U596" s="12" t="s">
        <v>90</v>
      </c>
      <c r="Z596" s="2040" t="s">
        <v>2532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40" t="s">
        <v>2547</v>
      </c>
      <c r="H597" s="2040"/>
      <c r="I597" s="2040"/>
      <c r="J597" s="2040"/>
      <c r="K597" s="2040"/>
      <c r="L597" s="2040"/>
      <c r="M597" s="2040"/>
      <c r="N597" s="2040"/>
      <c r="O597" s="2040"/>
      <c r="P597" s="2040"/>
      <c r="Q597" s="2040"/>
      <c r="R597" s="2040"/>
      <c r="T597" s="35"/>
      <c r="U597" s="12" t="s">
        <v>613</v>
      </c>
      <c r="Z597" s="2034" t="s">
        <v>2547</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0" t="s">
        <v>2535</v>
      </c>
      <c r="H598" s="2040"/>
      <c r="I598" s="2040"/>
      <c r="J598" s="2040"/>
      <c r="K598" s="2040"/>
      <c r="L598" s="2040"/>
      <c r="M598" s="2040"/>
      <c r="N598" s="2040"/>
      <c r="O598" s="2040"/>
      <c r="P598" s="2040"/>
      <c r="Q598" s="2040"/>
      <c r="R598" s="2040"/>
      <c r="T598" s="35"/>
      <c r="U598" s="12" t="s">
        <v>17</v>
      </c>
      <c r="Z598" s="2034" t="s">
        <v>2535</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321" t="s">
        <v>2536</v>
      </c>
      <c r="H599" s="2064"/>
      <c r="I599" s="2064"/>
      <c r="J599" s="2064"/>
      <c r="K599" s="2064"/>
      <c r="L599" s="2064"/>
      <c r="O599" s="137" t="s">
        <v>211</v>
      </c>
      <c r="P599" s="2033">
        <v>3015</v>
      </c>
      <c r="Q599" s="2033"/>
      <c r="R599" s="2033"/>
      <c r="T599" s="35"/>
      <c r="U599" s="12" t="s">
        <v>324</v>
      </c>
      <c r="Z599" s="2321" t="s">
        <v>2536</v>
      </c>
      <c r="AA599" s="2064"/>
      <c r="AB599" s="2064"/>
      <c r="AC599" s="2064"/>
      <c r="AD599" s="2064"/>
      <c r="AE599" s="2064"/>
      <c r="AH599" s="137" t="s">
        <v>211</v>
      </c>
      <c r="AI599" s="2033">
        <v>3015</v>
      </c>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0" t="s">
        <v>2124</v>
      </c>
      <c r="I600" s="2040"/>
      <c r="J600" s="2040"/>
      <c r="K600" s="2040"/>
      <c r="L600" s="2040"/>
      <c r="M600" s="2040"/>
      <c r="N600" s="2040"/>
      <c r="O600" s="2040"/>
      <c r="P600" s="2040"/>
      <c r="Q600" s="2040"/>
      <c r="R600" s="2040"/>
      <c r="T600" s="35"/>
      <c r="U600" s="12" t="s">
        <v>18</v>
      </c>
      <c r="AA600" s="2040" t="s">
        <v>2589</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2" t="s">
        <v>576</v>
      </c>
      <c r="O601" s="2032"/>
      <c r="T601" s="35"/>
      <c r="U601" s="12" t="s">
        <v>20</v>
      </c>
      <c r="AG601" s="2032" t="s">
        <v>576</v>
      </c>
      <c r="AH601" s="2032"/>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22" t="str">
        <f>C570</f>
        <v>Boston Financial - LIHTC Equity</v>
      </c>
      <c r="H603" s="2022"/>
      <c r="I603" s="2022"/>
      <c r="J603" s="2022"/>
      <c r="K603" s="2022"/>
      <c r="L603" s="2022"/>
      <c r="M603" s="2022"/>
      <c r="N603" s="2022"/>
      <c r="O603" s="2022"/>
      <c r="P603" s="2022"/>
      <c r="Q603" s="2022"/>
      <c r="R603" s="2022"/>
      <c r="T603" s="87" t="s">
        <v>486</v>
      </c>
      <c r="U603" s="12" t="s">
        <v>494</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0" t="s">
        <v>2563</v>
      </c>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40" t="s">
        <v>2565</v>
      </c>
      <c r="H605" s="2040"/>
      <c r="I605" s="2040"/>
      <c r="J605" s="2040"/>
      <c r="K605" s="2040"/>
      <c r="L605" s="2040"/>
      <c r="M605" s="2040"/>
      <c r="N605" s="2040"/>
      <c r="O605" s="2040"/>
      <c r="P605" s="2040"/>
      <c r="Q605" s="2040"/>
      <c r="R605" s="2040"/>
      <c r="T605" s="35"/>
      <c r="U605" s="12" t="s">
        <v>613</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0" t="s">
        <v>2564</v>
      </c>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321" t="s">
        <v>2566</v>
      </c>
      <c r="H607" s="2064"/>
      <c r="I607" s="2064"/>
      <c r="J607" s="2064"/>
      <c r="K607" s="2064"/>
      <c r="L607" s="2064"/>
      <c r="M607" s="12"/>
      <c r="N607" s="12"/>
      <c r="O607" s="137" t="s">
        <v>211</v>
      </c>
      <c r="P607" s="2033"/>
      <c r="Q607" s="2033"/>
      <c r="R607" s="2033"/>
      <c r="S607" s="12"/>
      <c r="T607" s="35"/>
      <c r="U607" s="12" t="s">
        <v>324</v>
      </c>
      <c r="V607" s="12"/>
      <c r="W607" s="12"/>
      <c r="X607" s="12"/>
      <c r="Y607" s="12"/>
      <c r="Z607" s="2064"/>
      <c r="AA607" s="2064"/>
      <c r="AB607" s="2064"/>
      <c r="AC607" s="2064"/>
      <c r="AD607" s="2064"/>
      <c r="AE607" s="2064"/>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0" t="s">
        <v>2590</v>
      </c>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2" t="s">
        <v>704</v>
      </c>
      <c r="O609" s="2032"/>
      <c r="P609" s="12"/>
      <c r="Q609" s="12"/>
      <c r="R609" s="12"/>
      <c r="S609" s="12"/>
      <c r="T609" s="35"/>
      <c r="U609" s="12" t="s">
        <v>20</v>
      </c>
      <c r="V609" s="12"/>
      <c r="W609" s="12"/>
      <c r="X609" s="12"/>
      <c r="Y609" s="12"/>
      <c r="Z609" s="12"/>
      <c r="AA609" s="12"/>
      <c r="AB609" s="12"/>
      <c r="AC609" s="12"/>
      <c r="AD609" s="12"/>
      <c r="AE609" s="12"/>
      <c r="AF609" s="12"/>
      <c r="AG609" s="2032" t="s">
        <v>704</v>
      </c>
      <c r="AH609" s="203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198" t="s">
        <v>666</v>
      </c>
      <c r="BO609" s="2199"/>
      <c r="BP609" s="2199"/>
      <c r="BQ609" s="2199"/>
      <c r="BR609" s="2200"/>
      <c r="BS609" s="2071" t="s">
        <v>333</v>
      </c>
      <c r="BT609" s="2071"/>
      <c r="BU609" s="2071"/>
      <c r="BV609" s="2071"/>
      <c r="BW609" s="2071"/>
      <c r="BX609" s="2071" t="s">
        <v>168</v>
      </c>
      <c r="BY609" s="2071"/>
      <c r="BZ609" s="2071"/>
      <c r="CA609" s="2071"/>
      <c r="CB609" s="2071"/>
      <c r="CC609" s="2071" t="s">
        <v>169</v>
      </c>
      <c r="CD609" s="2071"/>
      <c r="CE609" s="2071"/>
      <c r="CF609" s="2071"/>
      <c r="CG609" s="2071"/>
      <c r="CH609" s="2071" t="s">
        <v>491</v>
      </c>
      <c r="CI609" s="2071"/>
      <c r="CJ609" s="2071"/>
      <c r="CK609" s="2071"/>
      <c r="CL609" s="2071"/>
      <c r="CM609" s="2071" t="s">
        <v>31</v>
      </c>
      <c r="CN609" s="2071"/>
      <c r="CO609" s="2071"/>
      <c r="CP609" s="2071"/>
      <c r="CQ609" s="2071"/>
      <c r="CR609" s="1804"/>
      <c r="CS609" s="2071" t="s">
        <v>666</v>
      </c>
      <c r="CT609" s="2071"/>
      <c r="CU609" s="2071"/>
      <c r="CV609" s="2071"/>
      <c r="CW609" s="2071"/>
      <c r="CX609" s="2071" t="s">
        <v>333</v>
      </c>
      <c r="CY609" s="2071"/>
      <c r="CZ609" s="2071"/>
      <c r="DA609" s="2071"/>
      <c r="DB609" s="2071"/>
      <c r="DC609" s="2071" t="s">
        <v>168</v>
      </c>
      <c r="DD609" s="2071"/>
      <c r="DE609" s="2071"/>
      <c r="DF609" s="2071"/>
      <c r="DG609" s="2071"/>
      <c r="DH609" s="2071" t="s">
        <v>169</v>
      </c>
      <c r="DI609" s="2071"/>
      <c r="DJ609" s="2071"/>
      <c r="DK609" s="2071"/>
      <c r="DL609" s="2071"/>
      <c r="DM609" s="2071" t="s">
        <v>491</v>
      </c>
      <c r="DN609" s="2071"/>
      <c r="DO609" s="2071"/>
      <c r="DP609" s="2071"/>
      <c r="DQ609" s="2071"/>
      <c r="DR609" s="2071" t="s">
        <v>31</v>
      </c>
      <c r="DS609" s="2071"/>
      <c r="DT609" s="2071"/>
      <c r="DU609" s="2071"/>
      <c r="DV609" s="2071"/>
      <c r="DX609" s="2071" t="s">
        <v>666</v>
      </c>
      <c r="DY609" s="2071"/>
      <c r="DZ609" s="2071"/>
      <c r="EA609" s="2071"/>
      <c r="EB609" s="2071"/>
      <c r="EC609" s="2071" t="s">
        <v>333</v>
      </c>
      <c r="ED609" s="2071"/>
      <c r="EE609" s="2071"/>
      <c r="EF609" s="2071"/>
      <c r="EG609" s="2071"/>
      <c r="EH609" s="2071" t="s">
        <v>168</v>
      </c>
      <c r="EI609" s="2071"/>
      <c r="EJ609" s="2071"/>
      <c r="EK609" s="2071"/>
      <c r="EL609" s="2071"/>
      <c r="EM609" s="2071" t="s">
        <v>169</v>
      </c>
      <c r="EN609" s="2071"/>
      <c r="EO609" s="2071"/>
      <c r="EP609" s="2071"/>
      <c r="EQ609" s="2071"/>
      <c r="ER609" s="2071" t="s">
        <v>491</v>
      </c>
      <c r="ES609" s="2071"/>
      <c r="ET609" s="2071"/>
      <c r="EU609" s="2071"/>
      <c r="EV609" s="2071"/>
      <c r="EW609" s="2071" t="s">
        <v>31</v>
      </c>
      <c r="EX609" s="2071"/>
      <c r="EY609" s="2071"/>
      <c r="EZ609" s="2071"/>
      <c r="FA609" s="207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39</v>
      </c>
      <c r="BL610" s="2019"/>
      <c r="BM610" s="58"/>
      <c r="BN610" s="2010">
        <f t="shared" ref="BN610:BN634" si="4">IF(B728="SRO/Studio",G728,0)</f>
        <v>0</v>
      </c>
      <c r="BO610" s="2011"/>
      <c r="BP610" s="2011"/>
      <c r="BQ610" s="2011"/>
      <c r="BR610" s="2012"/>
      <c r="BS610" s="2016">
        <f t="shared" ref="BS610:BS634" si="5">IF(B728="1 Bedroom",G728,0)</f>
        <v>39</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0</v>
      </c>
      <c r="CT610" s="2035"/>
      <c r="CU610" s="2035"/>
      <c r="CV610" s="2035"/>
      <c r="CW610" s="2035"/>
      <c r="CX610" s="2035">
        <f t="shared" ref="CX610:CX634" si="11">IF(AND(B728="1 Bedroom",AH728&lt;=0.3),G728,0)</f>
        <v>39</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365</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9">
      <c r="A611" s="87" t="s">
        <v>492</v>
      </c>
      <c r="B611" s="12" t="s">
        <v>494</v>
      </c>
      <c r="C611" s="12"/>
      <c r="D611" s="12"/>
      <c r="E611" s="12"/>
      <c r="F611" s="12"/>
      <c r="G611" s="2022">
        <f>C572</f>
        <v>0</v>
      </c>
      <c r="H611" s="2022"/>
      <c r="I611" s="2022"/>
      <c r="J611" s="2022"/>
      <c r="K611" s="2022"/>
      <c r="L611" s="2022"/>
      <c r="M611" s="2022"/>
      <c r="N611" s="2022"/>
      <c r="O611" s="2022"/>
      <c r="P611" s="2022"/>
      <c r="Q611" s="2022"/>
      <c r="R611" s="2022"/>
      <c r="S611" s="12"/>
      <c r="T611" s="87" t="s">
        <v>679</v>
      </c>
      <c r="U611" s="12" t="s">
        <v>494</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17">
        <f t="shared" si="1"/>
        <v>0</v>
      </c>
      <c r="BH611" s="2019"/>
      <c r="BI611" s="2036">
        <f t="shared" si="2"/>
        <v>0</v>
      </c>
      <c r="BJ611" s="2038"/>
      <c r="BK611" s="2017">
        <f t="shared" si="3"/>
        <v>0</v>
      </c>
      <c r="BL611" s="2019"/>
      <c r="BM611" s="58"/>
      <c r="BN611" s="2010">
        <f t="shared" si="4"/>
        <v>0</v>
      </c>
      <c r="BO611" s="2011"/>
      <c r="BP611" s="2011"/>
      <c r="BQ611" s="2011"/>
      <c r="BR611" s="2012"/>
      <c r="BS611" s="2016">
        <f t="shared" si="5"/>
        <v>65</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801</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9">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0</v>
      </c>
      <c r="BO612" s="2011"/>
      <c r="BP612" s="2011"/>
      <c r="BQ612" s="2011"/>
      <c r="BR612" s="2012"/>
      <c r="BS612" s="2016">
        <f t="shared" si="5"/>
        <v>27</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1092</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9">
      <c r="A613" s="35"/>
      <c r="B613" s="12" t="s">
        <v>613</v>
      </c>
      <c r="G613" s="2040"/>
      <c r="H613" s="2040"/>
      <c r="I613" s="2040"/>
      <c r="J613" s="2040"/>
      <c r="K613" s="2040"/>
      <c r="L613" s="2040"/>
      <c r="M613" s="2040"/>
      <c r="N613" s="2040"/>
      <c r="O613" s="2040"/>
      <c r="P613" s="2040"/>
      <c r="Q613" s="2040"/>
      <c r="R613" s="2040"/>
      <c r="T613" s="35"/>
      <c r="U613" s="12" t="s">
        <v>613</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1</v>
      </c>
      <c r="BJ613" s="2038"/>
      <c r="BK613" s="2017">
        <f t="shared" si="3"/>
        <v>21</v>
      </c>
      <c r="BL613" s="2019"/>
      <c r="BM613" s="58"/>
      <c r="BN613" s="2010">
        <f t="shared" si="4"/>
        <v>0</v>
      </c>
      <c r="BO613" s="2011"/>
      <c r="BP613" s="2011"/>
      <c r="BQ613" s="2011"/>
      <c r="BR613" s="2012"/>
      <c r="BS613" s="2016">
        <f t="shared" si="5"/>
        <v>0</v>
      </c>
      <c r="BT613" s="2016"/>
      <c r="BU613" s="2016"/>
      <c r="BV613" s="2016"/>
      <c r="BW613" s="2016"/>
      <c r="BX613" s="2016">
        <f t="shared" si="6"/>
        <v>21</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21</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436</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9">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0</v>
      </c>
      <c r="BJ614" s="2038"/>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34</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959</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9">
      <c r="A615" s="35"/>
      <c r="B615" s="12" t="s">
        <v>324</v>
      </c>
      <c r="G615" s="2064"/>
      <c r="H615" s="2064"/>
      <c r="I615" s="2064"/>
      <c r="J615" s="2064"/>
      <c r="K615" s="2064"/>
      <c r="L615" s="2064"/>
      <c r="O615" s="137" t="s">
        <v>211</v>
      </c>
      <c r="P615" s="2033"/>
      <c r="Q615" s="2033"/>
      <c r="R615" s="2033"/>
      <c r="T615" s="35"/>
      <c r="U615" s="12" t="s">
        <v>324</v>
      </c>
      <c r="Z615" s="2064"/>
      <c r="AA615" s="2064"/>
      <c r="AB615" s="2064"/>
      <c r="AC615" s="2064"/>
      <c r="AD615" s="2064"/>
      <c r="AE615" s="2064"/>
      <c r="AH615" s="137" t="s">
        <v>211</v>
      </c>
      <c r="AI615" s="2033"/>
      <c r="AJ615" s="2033"/>
      <c r="AK615" s="2033"/>
      <c r="AZ615" s="58"/>
      <c r="BA615" s="58"/>
      <c r="BB615" s="58"/>
      <c r="BC615" s="58"/>
      <c r="BD615" s="58"/>
      <c r="BE615" s="2036">
        <f t="shared" si="0"/>
        <v>0</v>
      </c>
      <c r="BF615" s="2038"/>
      <c r="BG615" s="2017">
        <f t="shared" si="1"/>
        <v>0</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12</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1308</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9">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0</v>
      </c>
      <c r="BF616" s="2038"/>
      <c r="BG616" s="2017">
        <f t="shared" si="1"/>
        <v>0</v>
      </c>
      <c r="BH616" s="2019"/>
      <c r="BI616" s="2036">
        <f t="shared" si="2"/>
        <v>1</v>
      </c>
      <c r="BJ616" s="2038"/>
      <c r="BK616" s="2017">
        <f t="shared" si="3"/>
        <v>21</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21</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21</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501</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9">
      <c r="A617" s="35"/>
      <c r="B617" s="12" t="s">
        <v>20</v>
      </c>
      <c r="N617" s="2032" t="s">
        <v>704</v>
      </c>
      <c r="O617" s="2032"/>
      <c r="T617" s="35"/>
      <c r="U617" s="12" t="s">
        <v>20</v>
      </c>
      <c r="AG617" s="2032" t="s">
        <v>704</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34</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1105</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0</v>
      </c>
      <c r="BJ618" s="2038"/>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13</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1508</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9">
      <c r="A619" s="87" t="s">
        <v>371</v>
      </c>
      <c r="B619" s="12" t="s">
        <v>494</v>
      </c>
      <c r="C619" s="12"/>
      <c r="D619" s="12"/>
      <c r="E619" s="12"/>
      <c r="F619" s="12"/>
      <c r="G619" s="2022">
        <f>C574</f>
        <v>0</v>
      </c>
      <c r="H619" s="2022"/>
      <c r="I619" s="2022"/>
      <c r="J619" s="2022"/>
      <c r="K619" s="2022"/>
      <c r="L619" s="2022"/>
      <c r="M619" s="2022"/>
      <c r="N619" s="2022"/>
      <c r="O619" s="2022"/>
      <c r="P619" s="2022"/>
      <c r="Q619" s="2022"/>
      <c r="R619" s="2022"/>
      <c r="S619" s="12"/>
      <c r="T619" s="87" t="s">
        <v>372</v>
      </c>
      <c r="U619" s="12" t="s">
        <v>494</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9">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9">
      <c r="B621" s="12" t="s">
        <v>613</v>
      </c>
      <c r="G621" s="2040"/>
      <c r="H621" s="2040"/>
      <c r="I621" s="2040"/>
      <c r="J621" s="2040"/>
      <c r="K621" s="2040"/>
      <c r="L621" s="2040"/>
      <c r="M621" s="2040"/>
      <c r="N621" s="2040"/>
      <c r="O621" s="2040"/>
      <c r="P621" s="2040"/>
      <c r="Q621" s="2040"/>
      <c r="R621" s="2040"/>
      <c r="U621" s="12" t="s">
        <v>613</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9">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9">
      <c r="B623" s="12" t="s">
        <v>324</v>
      </c>
      <c r="G623" s="2064"/>
      <c r="H623" s="2064"/>
      <c r="I623" s="2064"/>
      <c r="J623" s="2064"/>
      <c r="K623" s="2064"/>
      <c r="L623" s="2064"/>
      <c r="O623" s="137" t="s">
        <v>211</v>
      </c>
      <c r="P623" s="2033"/>
      <c r="Q623" s="2033"/>
      <c r="R623" s="2033"/>
      <c r="U623" s="12" t="s">
        <v>324</v>
      </c>
      <c r="Z623" s="2064"/>
      <c r="AA623" s="2064"/>
      <c r="AB623" s="2064"/>
      <c r="AC623" s="2064"/>
      <c r="AD623" s="2064"/>
      <c r="AE623" s="2064"/>
      <c r="AH623" s="137" t="s">
        <v>211</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9">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9">
      <c r="B625" s="12" t="s">
        <v>20</v>
      </c>
      <c r="N625" s="2032" t="s">
        <v>704</v>
      </c>
      <c r="O625" s="2032"/>
      <c r="U625" s="12" t="s">
        <v>20</v>
      </c>
      <c r="AG625" s="2032" t="s">
        <v>704</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9">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8"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9">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9">
      <c r="A630" s="50" t="s">
        <v>327</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9">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8" customHeight="1">
      <c r="B634" s="2099" t="s">
        <v>482</v>
      </c>
      <c r="C634" s="2100"/>
      <c r="D634" s="2100"/>
      <c r="E634" s="2100"/>
      <c r="F634" s="2100"/>
      <c r="G634" s="2100"/>
      <c r="H634" s="2100"/>
      <c r="I634" s="2100"/>
      <c r="J634" s="2100"/>
      <c r="K634" s="2100"/>
      <c r="L634" s="2100"/>
      <c r="M634" s="2100"/>
      <c r="N634" s="2101"/>
      <c r="O634" s="2090" t="s">
        <v>2376</v>
      </c>
      <c r="P634" s="2091"/>
      <c r="Q634" s="2092"/>
      <c r="R634" s="2090" t="s">
        <v>2374</v>
      </c>
      <c r="S634" s="2091"/>
      <c r="T634" s="2092"/>
      <c r="U634" s="2051" t="s">
        <v>483</v>
      </c>
      <c r="V634" s="2051"/>
      <c r="W634" s="2052"/>
      <c r="X634" s="2090" t="s">
        <v>2150</v>
      </c>
      <c r="Y634" s="2091"/>
      <c r="Z634" s="2091"/>
      <c r="AA634" s="2091"/>
      <c r="AB634" s="2092"/>
      <c r="AC634" s="2322" t="s">
        <v>2148</v>
      </c>
      <c r="AD634" s="2323"/>
      <c r="AE634" s="2324"/>
      <c r="AF634" s="2090" t="s">
        <v>2151</v>
      </c>
      <c r="AG634" s="2091"/>
      <c r="AH634" s="2091"/>
      <c r="AI634" s="2091"/>
      <c r="AJ634" s="2092"/>
      <c r="AK634" s="2311" t="s">
        <v>2152</v>
      </c>
      <c r="AL634" s="2312"/>
      <c r="AM634" s="2312"/>
      <c r="AN634" s="2313"/>
      <c r="AO634" s="2435" t="s">
        <v>484</v>
      </c>
      <c r="AP634" s="2435"/>
      <c r="AQ634" s="2435"/>
      <c r="AR634" s="2435"/>
      <c r="AS634" s="2435"/>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9">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5"/>
      <c r="AD635" s="2326"/>
      <c r="AE635" s="2327"/>
      <c r="AF635" s="2093"/>
      <c r="AG635" s="2094"/>
      <c r="AH635" s="2094"/>
      <c r="AI635" s="2094"/>
      <c r="AJ635" s="2095"/>
      <c r="AK635" s="2314"/>
      <c r="AL635" s="2315"/>
      <c r="AM635" s="2315"/>
      <c r="AN635" s="2316"/>
      <c r="AO635" s="2435"/>
      <c r="AP635" s="2435"/>
      <c r="AQ635" s="2435"/>
      <c r="AR635" s="2435"/>
      <c r="AS635" s="2435"/>
      <c r="AT635" s="1822"/>
      <c r="AU635" s="1822"/>
      <c r="AV635" s="1822"/>
      <c r="AW635" s="1822"/>
      <c r="AX635" s="1822"/>
      <c r="AY635" s="1822"/>
      <c r="AZ635" s="181"/>
      <c r="BA635" s="181"/>
      <c r="BB635" s="181"/>
      <c r="BC635" s="181"/>
      <c r="BD635" s="181"/>
      <c r="BE635" s="181"/>
      <c r="BF635" s="181"/>
      <c r="BG635" s="2036">
        <f>SUM(BG610:BH634)</f>
        <v>0</v>
      </c>
      <c r="BH635" s="2038"/>
      <c r="BI635" s="181"/>
      <c r="BJ635" s="181"/>
      <c r="BK635" s="2036">
        <f>SUM(BK610:BL634)</f>
        <v>81</v>
      </c>
      <c r="BL635" s="2038"/>
      <c r="BM635" s="181"/>
      <c r="BN635" s="2036">
        <f>SUM(BN610:BR634)</f>
        <v>0</v>
      </c>
      <c r="BO635" s="2037"/>
      <c r="BP635" s="2037"/>
      <c r="BQ635" s="2037"/>
      <c r="BR635" s="2038"/>
      <c r="BS635" s="2039">
        <f>SUM(BS610:BW634)</f>
        <v>131</v>
      </c>
      <c r="BT635" s="2039"/>
      <c r="BU635" s="2039"/>
      <c r="BV635" s="2039"/>
      <c r="BW635" s="2039"/>
      <c r="BX635" s="2039">
        <f>SUM(BX610:CB634)</f>
        <v>67</v>
      </c>
      <c r="BY635" s="2039"/>
      <c r="BZ635" s="2039"/>
      <c r="CA635" s="2039"/>
      <c r="CB635" s="2039"/>
      <c r="CC635" s="2039">
        <f>SUM(CC610:CG634)</f>
        <v>68</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39</v>
      </c>
      <c r="CY635" s="2039"/>
      <c r="CZ635" s="2039"/>
      <c r="DA635" s="2039"/>
      <c r="DB635" s="2039"/>
      <c r="DC635" s="2039">
        <f>SUM(DC610:DG634)</f>
        <v>21</v>
      </c>
      <c r="DD635" s="2039"/>
      <c r="DE635" s="2039"/>
      <c r="DF635" s="2039"/>
      <c r="DG635" s="2039"/>
      <c r="DH635" s="2039">
        <f>SUM(DH610:DL634)</f>
        <v>21</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2258</v>
      </c>
      <c r="ED635" s="2039"/>
      <c r="EE635" s="2039"/>
      <c r="EF635" s="2039"/>
      <c r="EG635" s="2039"/>
      <c r="EH635" s="2039">
        <f>SUM(EH610:EL634)</f>
        <v>2703</v>
      </c>
      <c r="EI635" s="2039"/>
      <c r="EJ635" s="2039"/>
      <c r="EK635" s="2039"/>
      <c r="EL635" s="2039"/>
      <c r="EM635" s="2039">
        <f>SUM(EM610:EQ634)</f>
        <v>3114</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9">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8"/>
      <c r="AD636" s="2329"/>
      <c r="AE636" s="2330"/>
      <c r="AF636" s="2096"/>
      <c r="AG636" s="2097"/>
      <c r="AH636" s="2097"/>
      <c r="AI636" s="2097"/>
      <c r="AJ636" s="2098"/>
      <c r="AK636" s="2317"/>
      <c r="AL636" s="2318"/>
      <c r="AM636" s="2318"/>
      <c r="AN636" s="2319"/>
      <c r="AO636" s="2435"/>
      <c r="AP636" s="2435"/>
      <c r="AQ636" s="2435"/>
      <c r="AR636" s="2435"/>
      <c r="AS636" s="243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266</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9">
      <c r="B637" s="83" t="s">
        <v>117</v>
      </c>
      <c r="C637" s="2088" t="s">
        <v>2631</v>
      </c>
      <c r="D637" s="2033"/>
      <c r="E637" s="2033"/>
      <c r="F637" s="2033"/>
      <c r="G637" s="2033"/>
      <c r="H637" s="2033"/>
      <c r="I637" s="2033"/>
      <c r="J637" s="2033"/>
      <c r="K637" s="2033"/>
      <c r="L637" s="2033"/>
      <c r="M637" s="2033"/>
      <c r="N637" s="2106"/>
      <c r="O637" s="2065">
        <v>360</v>
      </c>
      <c r="P637" s="2066"/>
      <c r="Q637" s="2067"/>
      <c r="R637" s="2048">
        <v>480</v>
      </c>
      <c r="S637" s="2049"/>
      <c r="T637" s="2050"/>
      <c r="U637" s="2058">
        <v>4.4999999999999998E-2</v>
      </c>
      <c r="V637" s="2059"/>
      <c r="W637" s="2060"/>
      <c r="X637" s="2045" t="s">
        <v>2149</v>
      </c>
      <c r="Y637" s="2046"/>
      <c r="Z637" s="2046"/>
      <c r="AA637" s="2046"/>
      <c r="AB637" s="2047"/>
      <c r="AC637" s="2041">
        <v>1</v>
      </c>
      <c r="AD637" s="2042"/>
      <c r="AE637" s="2043"/>
      <c r="AF637" s="2061">
        <v>1025004</v>
      </c>
      <c r="AG637" s="2062"/>
      <c r="AH637" s="2062"/>
      <c r="AI637" s="2062"/>
      <c r="AJ637" s="2063"/>
      <c r="AK637" s="2068"/>
      <c r="AL637" s="2069"/>
      <c r="AM637" s="2069"/>
      <c r="AN637" s="2070"/>
      <c r="AO637" s="2044">
        <v>19000000</v>
      </c>
      <c r="AP637" s="2044"/>
      <c r="AQ637" s="2044"/>
      <c r="AR637" s="2044"/>
      <c r="AS637" s="204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131</v>
      </c>
      <c r="BX637" s="58"/>
      <c r="BY637" s="58"/>
      <c r="BZ637" s="58"/>
      <c r="CA637" s="58"/>
      <c r="CB637" s="1470">
        <f>BX635*2</f>
        <v>134</v>
      </c>
      <c r="CC637" s="58"/>
      <c r="CD637" s="58"/>
      <c r="CE637" s="58"/>
      <c r="CF637" s="58"/>
      <c r="CG637" s="1470">
        <f>CC635*3</f>
        <v>204</v>
      </c>
      <c r="CH637" s="58"/>
      <c r="CI637" s="58"/>
      <c r="CJ637" s="58"/>
      <c r="CK637" s="58"/>
      <c r="CL637" s="1470">
        <f>CH635*4</f>
        <v>0</v>
      </c>
      <c r="CM637" s="58"/>
      <c r="CN637" s="58"/>
      <c r="CO637" s="58"/>
      <c r="CP637" s="58"/>
      <c r="CQ637" s="1470">
        <f>CM635*5</f>
        <v>0</v>
      </c>
      <c r="CS637" s="1470">
        <f>BR637+BW637+CB637+CG637+CL637+CQ637</f>
        <v>469</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8" t="s">
        <v>2670</v>
      </c>
      <c r="D638" s="2033"/>
      <c r="E638" s="2033"/>
      <c r="F638" s="2033"/>
      <c r="G638" s="2033"/>
      <c r="H638" s="2033"/>
      <c r="I638" s="2033"/>
      <c r="J638" s="2033"/>
      <c r="K638" s="2033"/>
      <c r="L638" s="2033"/>
      <c r="M638" s="2033"/>
      <c r="N638" s="2106"/>
      <c r="O638" s="2065">
        <v>660</v>
      </c>
      <c r="P638" s="2066"/>
      <c r="Q638" s="2067"/>
      <c r="R638" s="2048">
        <v>660</v>
      </c>
      <c r="S638" s="2049"/>
      <c r="T638" s="2050"/>
      <c r="U638" s="2058">
        <v>0.03</v>
      </c>
      <c r="V638" s="2059"/>
      <c r="W638" s="2060"/>
      <c r="X638" s="2045" t="s">
        <v>488</v>
      </c>
      <c r="Y638" s="2046"/>
      <c r="Z638" s="2046"/>
      <c r="AA638" s="2046"/>
      <c r="AB638" s="2047"/>
      <c r="AC638" s="2041">
        <v>2</v>
      </c>
      <c r="AD638" s="2042"/>
      <c r="AE638" s="2043"/>
      <c r="AF638" s="2061" t="s">
        <v>2591</v>
      </c>
      <c r="AG638" s="2062"/>
      <c r="AH638" s="2062"/>
      <c r="AI638" s="2062"/>
      <c r="AJ638" s="2063"/>
      <c r="AK638" s="2068"/>
      <c r="AL638" s="2069"/>
      <c r="AM638" s="2069"/>
      <c r="AN638" s="2070"/>
      <c r="AO638" s="2044">
        <v>6030000</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108.66412213740458</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8" t="s">
        <v>2669</v>
      </c>
      <c r="D639" s="2033"/>
      <c r="E639" s="2033"/>
      <c r="F639" s="2033"/>
      <c r="G639" s="2033"/>
      <c r="H639" s="2033"/>
      <c r="I639" s="2033"/>
      <c r="J639" s="2033"/>
      <c r="K639" s="2033"/>
      <c r="L639" s="2033"/>
      <c r="M639" s="2033"/>
      <c r="N639" s="2106"/>
      <c r="O639" s="2065" t="s">
        <v>624</v>
      </c>
      <c r="P639" s="2066"/>
      <c r="Q639" s="2067"/>
      <c r="R639" s="2048" t="s">
        <v>624</v>
      </c>
      <c r="S639" s="2049"/>
      <c r="T639" s="2050"/>
      <c r="U639" s="2058" t="s">
        <v>624</v>
      </c>
      <c r="V639" s="2059"/>
      <c r="W639" s="2060"/>
      <c r="X639" s="2045"/>
      <c r="Y639" s="2046"/>
      <c r="Z639" s="2046"/>
      <c r="AA639" s="2046"/>
      <c r="AB639" s="2047"/>
      <c r="AC639" s="2041" t="s">
        <v>624</v>
      </c>
      <c r="AD639" s="2042"/>
      <c r="AE639" s="2043"/>
      <c r="AF639" s="2061" t="s">
        <v>624</v>
      </c>
      <c r="AG639" s="2062"/>
      <c r="AH639" s="2062"/>
      <c r="AI639" s="2062"/>
      <c r="AJ639" s="2063"/>
      <c r="AK639" s="2068"/>
      <c r="AL639" s="2069"/>
      <c r="AM639" s="2069"/>
      <c r="AN639" s="2070"/>
      <c r="AO639" s="2044">
        <v>361228</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397.44274809160305</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614</v>
      </c>
      <c r="C640" s="2088" t="s">
        <v>2585</v>
      </c>
      <c r="D640" s="2033"/>
      <c r="E640" s="2033"/>
      <c r="F640" s="2033"/>
      <c r="G640" s="2033"/>
      <c r="H640" s="2033"/>
      <c r="I640" s="2033"/>
      <c r="J640" s="2033"/>
      <c r="K640" s="2033"/>
      <c r="L640" s="2033"/>
      <c r="M640" s="2033"/>
      <c r="N640" s="2106"/>
      <c r="O640" s="2065">
        <v>156</v>
      </c>
      <c r="P640" s="2066"/>
      <c r="Q640" s="2067"/>
      <c r="R640" s="2048">
        <v>156</v>
      </c>
      <c r="S640" s="2049"/>
      <c r="T640" s="2050"/>
      <c r="U640" s="2058">
        <v>9.9999999999999995E-8</v>
      </c>
      <c r="V640" s="2059"/>
      <c r="W640" s="2060"/>
      <c r="X640" s="2045" t="s">
        <v>488</v>
      </c>
      <c r="Y640" s="2046"/>
      <c r="Z640" s="2046"/>
      <c r="AA640" s="2046"/>
      <c r="AB640" s="2047"/>
      <c r="AC640" s="2041" t="s">
        <v>624</v>
      </c>
      <c r="AD640" s="2042"/>
      <c r="AE640" s="2043"/>
      <c r="AF640" s="2061" t="s">
        <v>2591</v>
      </c>
      <c r="AG640" s="2062"/>
      <c r="AH640" s="2062"/>
      <c r="AI640" s="2062"/>
      <c r="AJ640" s="2063"/>
      <c r="AK640" s="2068"/>
      <c r="AL640" s="2069"/>
      <c r="AM640" s="2069"/>
      <c r="AN640" s="2070"/>
      <c r="AO640" s="2044">
        <v>5000000</v>
      </c>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3</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225.06870229007635</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819</v>
      </c>
      <c r="C641" s="2033"/>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f t="shared" si="24"/>
        <v>136.65671641791045</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617</v>
      </c>
      <c r="C642" s="2033"/>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486.65671641791045</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485</v>
      </c>
      <c r="C643" s="2033"/>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234.26865671641789</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486</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3</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3</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f t="shared" si="25"/>
        <v>154.72058823529412</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492</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f t="shared" si="25"/>
        <v>552.5</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679</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f t="shared" si="25"/>
        <v>288.29411764705878</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371</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372</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1">
        <f>SUM(AO637:AR648)</f>
        <v>30391228</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4" t="s">
        <v>272</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3">
        <v>51929232</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09" t="s">
        <v>273</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191">
        <f>AO649+AO650</f>
        <v>82320460</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494</v>
      </c>
      <c r="G653" s="2022" t="str">
        <f>C637</f>
        <v>Citibank - T.E. Bonds (Series A)</v>
      </c>
      <c r="H653" s="2022"/>
      <c r="I653" s="2022"/>
      <c r="J653" s="2022"/>
      <c r="K653" s="2022"/>
      <c r="L653" s="2022"/>
      <c r="M653" s="2022"/>
      <c r="N653" s="2022"/>
      <c r="O653" s="2022"/>
      <c r="P653" s="2022"/>
      <c r="Q653" s="2022"/>
      <c r="R653" s="2022"/>
      <c r="S653" s="14"/>
      <c r="T653" s="87" t="s">
        <v>118</v>
      </c>
      <c r="U653" s="12" t="s">
        <v>494</v>
      </c>
      <c r="Z653" s="2022" t="str">
        <f>C638</f>
        <v>City of Palm Desert - Housing Auth.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40" t="s">
        <v>2632</v>
      </c>
      <c r="H654" s="2040"/>
      <c r="I654" s="2040"/>
      <c r="J654" s="2040"/>
      <c r="K654" s="2040"/>
      <c r="L654" s="2040"/>
      <c r="M654" s="2040"/>
      <c r="N654" s="2040"/>
      <c r="O654" s="2040"/>
      <c r="P654" s="2040"/>
      <c r="Q654" s="2040"/>
      <c r="R654" s="2040"/>
      <c r="S654" s="14"/>
      <c r="T654" s="35"/>
      <c r="U654" s="12" t="s">
        <v>90</v>
      </c>
      <c r="Z654" s="2040" t="s">
        <v>2645</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613</v>
      </c>
      <c r="G655" s="2040" t="s">
        <v>2633</v>
      </c>
      <c r="H655" s="2040"/>
      <c r="I655" s="2040"/>
      <c r="J655" s="2040"/>
      <c r="K655" s="2040"/>
      <c r="L655" s="2040"/>
      <c r="M655" s="2040"/>
      <c r="N655" s="2040"/>
      <c r="O655" s="2040"/>
      <c r="P655" s="2040"/>
      <c r="Q655" s="2040"/>
      <c r="R655" s="2040"/>
      <c r="S655" s="88"/>
      <c r="T655" s="35"/>
      <c r="U655" s="12" t="s">
        <v>613</v>
      </c>
      <c r="Z655" s="2034" t="s">
        <v>2662</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40" t="s">
        <v>2634</v>
      </c>
      <c r="H656" s="2040"/>
      <c r="I656" s="2040"/>
      <c r="J656" s="2040"/>
      <c r="K656" s="2040"/>
      <c r="L656" s="2040"/>
      <c r="M656" s="2040"/>
      <c r="N656" s="2040"/>
      <c r="O656" s="2040"/>
      <c r="P656" s="2040"/>
      <c r="Q656" s="2040"/>
      <c r="R656" s="2040"/>
      <c r="S656" s="14"/>
      <c r="T656" s="35"/>
      <c r="U656" s="12" t="s">
        <v>17</v>
      </c>
      <c r="Z656" s="2034" t="s">
        <v>2643</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324</v>
      </c>
      <c r="G657" s="2321" t="s">
        <v>2682</v>
      </c>
      <c r="H657" s="2064"/>
      <c r="I657" s="2064"/>
      <c r="J657" s="2064"/>
      <c r="K657" s="2064"/>
      <c r="L657" s="2064"/>
      <c r="O657" s="137" t="s">
        <v>211</v>
      </c>
      <c r="P657" s="2033"/>
      <c r="Q657" s="2033"/>
      <c r="R657" s="2033"/>
      <c r="S657" s="16"/>
      <c r="T657" s="35"/>
      <c r="U657" s="12" t="s">
        <v>324</v>
      </c>
      <c r="Z657" s="2321" t="s">
        <v>2647</v>
      </c>
      <c r="AA657" s="2064"/>
      <c r="AB657" s="2064"/>
      <c r="AC657" s="2064"/>
      <c r="AD657" s="2064"/>
      <c r="AE657" s="2064"/>
      <c r="AH657" s="137" t="s">
        <v>211</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40" t="s">
        <v>2592</v>
      </c>
      <c r="I658" s="2040"/>
      <c r="J658" s="2040"/>
      <c r="K658" s="2040"/>
      <c r="L658" s="2040"/>
      <c r="M658" s="2040"/>
      <c r="N658" s="2040"/>
      <c r="O658" s="2040"/>
      <c r="P658" s="2040"/>
      <c r="Q658" s="2040"/>
      <c r="R658" s="2040"/>
      <c r="S658" s="14"/>
      <c r="T658" s="35"/>
      <c r="U658" s="12" t="s">
        <v>18</v>
      </c>
      <c r="AA658" s="2040" t="s">
        <v>2671</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2" t="s">
        <v>576</v>
      </c>
      <c r="O659" s="2032"/>
      <c r="T659" s="35"/>
      <c r="U659" s="12" t="s">
        <v>20</v>
      </c>
      <c r="AG659" s="2032" t="s">
        <v>576</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494</v>
      </c>
      <c r="G661" s="2022" t="str">
        <f>C639</f>
        <v>CVAG - TUMF Fee Waiver</v>
      </c>
      <c r="H661" s="2022"/>
      <c r="I661" s="2022"/>
      <c r="J661" s="2022"/>
      <c r="K661" s="2022"/>
      <c r="L661" s="2022"/>
      <c r="M661" s="2022"/>
      <c r="N661" s="2022"/>
      <c r="O661" s="2022"/>
      <c r="P661" s="2022"/>
      <c r="Q661" s="2022"/>
      <c r="R661" s="2022"/>
      <c r="T661" s="87" t="s">
        <v>614</v>
      </c>
      <c r="U661" s="12" t="s">
        <v>494</v>
      </c>
      <c r="Z661" s="2022" t="str">
        <f>C640</f>
        <v>Pacific West Communities, Inc. - DDF</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40" t="s">
        <v>2672</v>
      </c>
      <c r="H662" s="2040"/>
      <c r="I662" s="2040"/>
      <c r="J662" s="2040"/>
      <c r="K662" s="2040"/>
      <c r="L662" s="2040"/>
      <c r="M662" s="2040"/>
      <c r="N662" s="2040"/>
      <c r="O662" s="2040"/>
      <c r="P662" s="2040"/>
      <c r="Q662" s="2040"/>
      <c r="R662" s="2040"/>
      <c r="T662" s="35"/>
      <c r="U662" s="12" t="s">
        <v>90</v>
      </c>
      <c r="Z662" s="2040" t="s">
        <v>2532</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613</v>
      </c>
      <c r="G663" s="2034" t="s">
        <v>2662</v>
      </c>
      <c r="H663" s="2034"/>
      <c r="I663" s="2034"/>
      <c r="J663" s="2034"/>
      <c r="K663" s="2034"/>
      <c r="L663" s="2034"/>
      <c r="M663" s="2034"/>
      <c r="N663" s="2034"/>
      <c r="O663" s="2034"/>
      <c r="P663" s="2034"/>
      <c r="Q663" s="2034"/>
      <c r="R663" s="2034"/>
      <c r="T663" s="35"/>
      <c r="U663" s="12" t="s">
        <v>613</v>
      </c>
      <c r="Z663" s="2034" t="s">
        <v>2547</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131</v>
      </c>
      <c r="BT663" s="2014"/>
      <c r="BU663" s="2014"/>
      <c r="BV663" s="2014"/>
      <c r="BW663" s="2015"/>
      <c r="BX663" s="2013">
        <f>BX635+BX644+BX658</f>
        <v>70</v>
      </c>
      <c r="BY663" s="2014"/>
      <c r="BZ663" s="2014"/>
      <c r="CA663" s="2014"/>
      <c r="CB663" s="2015"/>
      <c r="CC663" s="2013">
        <f>CC635+CC644+CC658</f>
        <v>68</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469</v>
      </c>
      <c r="CT663" s="134" t="s">
        <v>2389</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731.17557251908397</v>
      </c>
      <c r="ED663" s="2020"/>
      <c r="EE663" s="2020"/>
      <c r="EF663" s="2020"/>
      <c r="EG663" s="2020"/>
      <c r="EH663" s="2020">
        <f>SUMIF(EH638:EL662,"&gt;0")</f>
        <v>857.58208955223881</v>
      </c>
      <c r="EI663" s="2020"/>
      <c r="EJ663" s="2020"/>
      <c r="EK663" s="2020"/>
      <c r="EL663" s="2020"/>
      <c r="EM663" s="2020">
        <f>SUMIF(EM638:EQ662,"&gt;0")</f>
        <v>995.51470588235293</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4" t="s">
        <v>2673</v>
      </c>
      <c r="H664" s="2034"/>
      <c r="I664" s="2034"/>
      <c r="J664" s="2034"/>
      <c r="K664" s="2034"/>
      <c r="L664" s="2034"/>
      <c r="M664" s="2034"/>
      <c r="N664" s="2034"/>
      <c r="O664" s="2034"/>
      <c r="P664" s="2034"/>
      <c r="Q664" s="2034"/>
      <c r="R664" s="2034"/>
      <c r="T664" s="35"/>
      <c r="U664" s="12" t="s">
        <v>17</v>
      </c>
      <c r="Z664" s="2034" t="s">
        <v>2535</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321" t="s">
        <v>2674</v>
      </c>
      <c r="H665" s="2064"/>
      <c r="I665" s="2064"/>
      <c r="J665" s="2064"/>
      <c r="K665" s="2064"/>
      <c r="L665" s="2064"/>
      <c r="O665" s="137" t="s">
        <v>211</v>
      </c>
      <c r="P665" s="2033"/>
      <c r="Q665" s="2033"/>
      <c r="R665" s="2033"/>
      <c r="T665" s="35"/>
      <c r="U665" s="12" t="s">
        <v>324</v>
      </c>
      <c r="Z665" s="2321" t="s">
        <v>2536</v>
      </c>
      <c r="AA665" s="2064"/>
      <c r="AB665" s="2064"/>
      <c r="AC665" s="2064"/>
      <c r="AD665" s="2064"/>
      <c r="AE665" s="2064"/>
      <c r="AH665" s="137" t="s">
        <v>211</v>
      </c>
      <c r="AI665" s="2033">
        <v>3015</v>
      </c>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40" t="s">
        <v>2640</v>
      </c>
      <c r="I666" s="2040"/>
      <c r="J666" s="2040"/>
      <c r="K666" s="2040"/>
      <c r="L666" s="2040"/>
      <c r="M666" s="2040"/>
      <c r="N666" s="2040"/>
      <c r="O666" s="2040"/>
      <c r="P666" s="2040"/>
      <c r="Q666" s="2040"/>
      <c r="R666" s="2040"/>
      <c r="T666" s="35"/>
      <c r="U666" s="12" t="s">
        <v>18</v>
      </c>
      <c r="AA666" s="2040" t="s">
        <v>2124</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2" t="s">
        <v>576</v>
      </c>
      <c r="O667" s="2032"/>
      <c r="T667" s="35"/>
      <c r="U667" s="12" t="s">
        <v>20</v>
      </c>
      <c r="AG667" s="2032" t="s">
        <v>576</v>
      </c>
      <c r="AH667" s="2032"/>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22">
        <f>C641</f>
        <v>0</v>
      </c>
      <c r="H669" s="2022"/>
      <c r="I669" s="2022"/>
      <c r="J669" s="2022"/>
      <c r="K669" s="2022"/>
      <c r="L669" s="2022"/>
      <c r="M669" s="2022"/>
      <c r="N669" s="2022"/>
      <c r="O669" s="2022"/>
      <c r="P669" s="2022"/>
      <c r="Q669" s="2022"/>
      <c r="R669" s="2022"/>
      <c r="T669" s="87" t="s">
        <v>617</v>
      </c>
      <c r="U669" s="12" t="s">
        <v>494</v>
      </c>
      <c r="Z669" s="2022">
        <f>C642</f>
        <v>0</v>
      </c>
      <c r="AA669" s="2022"/>
      <c r="AB669" s="2022"/>
      <c r="AC669" s="2022"/>
      <c r="AD669" s="2022"/>
      <c r="AE669" s="2022"/>
      <c r="AF669" s="2022"/>
      <c r="AG669" s="2022"/>
      <c r="AH669" s="2022"/>
      <c r="AI669" s="2022"/>
      <c r="AJ669" s="2022"/>
      <c r="AK669" s="2022"/>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1480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40"/>
      <c r="H671" s="2040"/>
      <c r="I671" s="2040"/>
      <c r="J671" s="2040"/>
      <c r="K671" s="2040"/>
      <c r="L671" s="2040"/>
      <c r="M671" s="2040"/>
      <c r="N671" s="2040"/>
      <c r="O671" s="2040"/>
      <c r="P671" s="2040"/>
      <c r="Q671" s="2040"/>
      <c r="R671" s="2040"/>
      <c r="T671" s="35"/>
      <c r="U671" s="12" t="s">
        <v>613</v>
      </c>
      <c r="Z671" s="2034"/>
      <c r="AA671" s="2034"/>
      <c r="AB671" s="2034"/>
      <c r="AC671" s="2034"/>
      <c r="AD671" s="2034"/>
      <c r="AE671" s="2034"/>
      <c r="AF671" s="2034"/>
      <c r="AG671" s="2034"/>
      <c r="AH671" s="2034"/>
      <c r="AI671" s="2034"/>
      <c r="AJ671" s="2034"/>
      <c r="AK671" s="2034"/>
      <c r="AZ671" s="58"/>
      <c r="BA671" s="446">
        <f t="shared" si="40"/>
        <v>1480</v>
      </c>
      <c r="BB671" s="58"/>
      <c r="BC671" s="58"/>
      <c r="BD671" s="58"/>
      <c r="BE671" s="58"/>
      <c r="BF671" s="382"/>
      <c r="BG671" s="456">
        <f t="shared" ref="BG671:BG695" si="41">G728</f>
        <v>39</v>
      </c>
      <c r="BH671" s="460">
        <f>BG671/$BG$696</f>
        <v>0.14661654135338345</v>
      </c>
      <c r="BI671" s="461">
        <f t="shared" ref="BI671:BI695" si="42">IF(BH671=0," ",BH671*AH728)</f>
        <v>4.3984962406015037E-2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1480</v>
      </c>
      <c r="BB672" s="58"/>
      <c r="BC672" s="58"/>
      <c r="BD672" s="58"/>
      <c r="BE672" s="58"/>
      <c r="BF672" s="382"/>
      <c r="BG672" s="457">
        <f t="shared" si="41"/>
        <v>65</v>
      </c>
      <c r="BH672" s="460">
        <f t="shared" ref="BH672:BH695" si="43">BG672/$BG$696</f>
        <v>0.24436090225563908</v>
      </c>
      <c r="BI672" s="461">
        <f t="shared" si="42"/>
        <v>0.14417293233082706</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4"/>
      <c r="H673" s="2064"/>
      <c r="I673" s="2064"/>
      <c r="J673" s="2064"/>
      <c r="K673" s="2064"/>
      <c r="L673" s="2064"/>
      <c r="O673" s="137" t="s">
        <v>211</v>
      </c>
      <c r="P673" s="2033"/>
      <c r="Q673" s="2033"/>
      <c r="R673" s="2033"/>
      <c r="T673" s="35"/>
      <c r="U673" s="12" t="s">
        <v>324</v>
      </c>
      <c r="Z673" s="2064"/>
      <c r="AA673" s="2064"/>
      <c r="AB673" s="2064"/>
      <c r="AC673" s="2064"/>
      <c r="AD673" s="2064"/>
      <c r="AE673" s="2064"/>
      <c r="AH673" s="137" t="s">
        <v>211</v>
      </c>
      <c r="AI673" s="2033"/>
      <c r="AJ673" s="2033"/>
      <c r="AK673" s="2033"/>
      <c r="AZ673" s="58"/>
      <c r="BA673" s="446">
        <f t="shared" si="40"/>
        <v>1776</v>
      </c>
      <c r="BB673" s="58"/>
      <c r="BC673" s="58"/>
      <c r="BD673" s="58"/>
      <c r="BE673" s="58"/>
      <c r="BF673" s="382"/>
      <c r="BG673" s="457">
        <f t="shared" si="41"/>
        <v>27</v>
      </c>
      <c r="BH673" s="460">
        <f t="shared" si="43"/>
        <v>0.10150375939849623</v>
      </c>
      <c r="BI673" s="461">
        <f t="shared" si="42"/>
        <v>8.1203007518796999E-2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1776</v>
      </c>
      <c r="BB674" s="58"/>
      <c r="BC674" s="58"/>
      <c r="BD674" s="58"/>
      <c r="BE674" s="58"/>
      <c r="BF674" s="382"/>
      <c r="BG674" s="457">
        <f t="shared" si="41"/>
        <v>21</v>
      </c>
      <c r="BH674" s="460">
        <f t="shared" si="43"/>
        <v>7.8947368421052627E-2</v>
      </c>
      <c r="BI674" s="461">
        <f t="shared" si="42"/>
        <v>2.3684210526315787E-2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2" t="s">
        <v>704</v>
      </c>
      <c r="O675" s="2032"/>
      <c r="T675" s="35"/>
      <c r="U675" s="12" t="s">
        <v>20</v>
      </c>
      <c r="AG675" s="2032" t="s">
        <v>704</v>
      </c>
      <c r="AH675" s="2032"/>
      <c r="AZ675" s="58"/>
      <c r="BA675" s="446">
        <f t="shared" si="40"/>
        <v>1776</v>
      </c>
      <c r="BB675" s="58"/>
      <c r="BC675" s="58"/>
      <c r="BD675" s="58"/>
      <c r="BE675" s="58"/>
      <c r="BF675" s="382"/>
      <c r="BG675" s="457">
        <f t="shared" si="41"/>
        <v>34</v>
      </c>
      <c r="BH675" s="460">
        <f t="shared" si="43"/>
        <v>0.12781954887218044</v>
      </c>
      <c r="BI675" s="461">
        <f t="shared" si="42"/>
        <v>7.541353383458646E-2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2054</v>
      </c>
      <c r="BB676" s="58"/>
      <c r="BC676" s="58"/>
      <c r="BD676" s="58"/>
      <c r="BE676" s="58"/>
      <c r="BF676" s="382"/>
      <c r="BG676" s="457">
        <f t="shared" si="41"/>
        <v>12</v>
      </c>
      <c r="BH676" s="460">
        <f t="shared" si="43"/>
        <v>4.5112781954887216E-2</v>
      </c>
      <c r="BI676" s="461">
        <f t="shared" si="42"/>
        <v>3.6090225563909777E-2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22">
        <f>C643</f>
        <v>0</v>
      </c>
      <c r="H677" s="2022"/>
      <c r="I677" s="2022"/>
      <c r="J677" s="2022"/>
      <c r="K677" s="2022"/>
      <c r="L677" s="2022"/>
      <c r="M677" s="2022"/>
      <c r="N677" s="2022"/>
      <c r="O677" s="2022"/>
      <c r="P677" s="2022"/>
      <c r="Q677" s="2022"/>
      <c r="R677" s="2022"/>
      <c r="T677" s="87" t="s">
        <v>486</v>
      </c>
      <c r="U677" s="12" t="s">
        <v>494</v>
      </c>
      <c r="Z677" s="2022">
        <f>C644</f>
        <v>0</v>
      </c>
      <c r="AA677" s="2022"/>
      <c r="AB677" s="2022"/>
      <c r="AC677" s="2022"/>
      <c r="AD677" s="2022"/>
      <c r="AE677" s="2022"/>
      <c r="AF677" s="2022"/>
      <c r="AG677" s="2022"/>
      <c r="AH677" s="2022"/>
      <c r="AI677" s="2022"/>
      <c r="AJ677" s="2022"/>
      <c r="AK677" s="2022"/>
      <c r="AZ677" s="58"/>
      <c r="BA677" s="446">
        <f t="shared" si="40"/>
        <v>2054</v>
      </c>
      <c r="BB677" s="58"/>
      <c r="BC677" s="58"/>
      <c r="BD677" s="58"/>
      <c r="BE677" s="58"/>
      <c r="BF677" s="382"/>
      <c r="BG677" s="457">
        <f t="shared" si="41"/>
        <v>21</v>
      </c>
      <c r="BH677" s="460">
        <f t="shared" si="43"/>
        <v>7.8947368421052627E-2</v>
      </c>
      <c r="BI677" s="461">
        <f t="shared" si="42"/>
        <v>2.3684210526315787E-2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2054</v>
      </c>
      <c r="BB678" s="58"/>
      <c r="BC678" s="58"/>
      <c r="BD678" s="58"/>
      <c r="BE678" s="58"/>
      <c r="BF678" s="382"/>
      <c r="BG678" s="457">
        <f t="shared" si="41"/>
        <v>34</v>
      </c>
      <c r="BH678" s="460">
        <f t="shared" si="43"/>
        <v>0.12781954887218044</v>
      </c>
      <c r="BI678" s="461">
        <f t="shared" si="42"/>
        <v>7.541353383458646E-2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40"/>
      <c r="H679" s="2040"/>
      <c r="I679" s="2040"/>
      <c r="J679" s="2040"/>
      <c r="K679" s="2040"/>
      <c r="L679" s="2040"/>
      <c r="M679" s="2040"/>
      <c r="N679" s="2040"/>
      <c r="O679" s="2040"/>
      <c r="P679" s="2040"/>
      <c r="Q679" s="2040"/>
      <c r="R679" s="2040"/>
      <c r="T679" s="35"/>
      <c r="U679" s="12" t="s">
        <v>613</v>
      </c>
      <c r="Z679" s="2034"/>
      <c r="AA679" s="2034"/>
      <c r="AB679" s="2034"/>
      <c r="AC679" s="2034"/>
      <c r="AD679" s="2034"/>
      <c r="AE679" s="2034"/>
      <c r="AF679" s="2034"/>
      <c r="AG679" s="2034"/>
      <c r="AH679" s="2034"/>
      <c r="AI679" s="2034"/>
      <c r="AJ679" s="2034"/>
      <c r="AK679" s="2034"/>
      <c r="AZ679" s="58"/>
      <c r="BA679" s="446" t="str">
        <f t="shared" si="40"/>
        <v>N/A</v>
      </c>
      <c r="BB679" s="58"/>
      <c r="BC679" s="58"/>
      <c r="BD679" s="58"/>
      <c r="BE679" s="58"/>
      <c r="BF679" s="382"/>
      <c r="BG679" s="457">
        <f t="shared" si="41"/>
        <v>13</v>
      </c>
      <c r="BH679" s="460">
        <f t="shared" si="43"/>
        <v>4.8872180451127817E-2</v>
      </c>
      <c r="BI679" s="461">
        <f t="shared" si="42"/>
        <v>3.9097744360902256E-2</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4"/>
      <c r="H681" s="2064"/>
      <c r="I681" s="2064"/>
      <c r="J681" s="2064"/>
      <c r="K681" s="2064"/>
      <c r="L681" s="2064"/>
      <c r="O681" s="137" t="s">
        <v>211</v>
      </c>
      <c r="P681" s="2033"/>
      <c r="Q681" s="2033"/>
      <c r="R681" s="2033"/>
      <c r="T681" s="35"/>
      <c r="U681" s="12" t="s">
        <v>324</v>
      </c>
      <c r="Z681" s="2064"/>
      <c r="AA681" s="2064"/>
      <c r="AB681" s="2064"/>
      <c r="AC681" s="2064"/>
      <c r="AD681" s="2064"/>
      <c r="AE681" s="2064"/>
      <c r="AH681" s="137" t="s">
        <v>211</v>
      </c>
      <c r="AI681" s="2033"/>
      <c r="AJ681" s="2033"/>
      <c r="AK681" s="203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2" t="s">
        <v>704</v>
      </c>
      <c r="O683" s="2032"/>
      <c r="T683" s="35"/>
      <c r="U683" s="12" t="s">
        <v>20</v>
      </c>
      <c r="AG683" s="2032" t="s">
        <v>704</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22">
        <f>C645</f>
        <v>0</v>
      </c>
      <c r="H685" s="2022"/>
      <c r="I685" s="2022"/>
      <c r="J685" s="2022"/>
      <c r="K685" s="2022"/>
      <c r="L685" s="2022"/>
      <c r="M685" s="2022"/>
      <c r="N685" s="2022"/>
      <c r="O685" s="2022"/>
      <c r="P685" s="2022"/>
      <c r="Q685" s="2022"/>
      <c r="R685" s="2022"/>
      <c r="T685" s="87" t="s">
        <v>679</v>
      </c>
      <c r="U685" s="12" t="s">
        <v>494</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40"/>
      <c r="H687" s="2040"/>
      <c r="I687" s="2040"/>
      <c r="J687" s="2040"/>
      <c r="K687" s="2040"/>
      <c r="L687" s="2040"/>
      <c r="M687" s="2040"/>
      <c r="N687" s="2040"/>
      <c r="O687" s="2040"/>
      <c r="P687" s="2040"/>
      <c r="Q687" s="2040"/>
      <c r="R687" s="2040"/>
      <c r="T687" s="35"/>
      <c r="U687" s="12" t="s">
        <v>613</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4"/>
      <c r="H689" s="2064"/>
      <c r="I689" s="2064"/>
      <c r="J689" s="2064"/>
      <c r="K689" s="2064"/>
      <c r="L689" s="2064"/>
      <c r="O689" s="137" t="s">
        <v>211</v>
      </c>
      <c r="P689" s="2033"/>
      <c r="Q689" s="2033"/>
      <c r="R689" s="2033"/>
      <c r="T689" s="35"/>
      <c r="U689" s="12" t="s">
        <v>324</v>
      </c>
      <c r="Z689" s="2064"/>
      <c r="AA689" s="2064"/>
      <c r="AB689" s="2064"/>
      <c r="AC689" s="2064"/>
      <c r="AD689" s="2064"/>
      <c r="AE689" s="2064"/>
      <c r="AH689" s="137" t="s">
        <v>211</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2" t="s">
        <v>704</v>
      </c>
      <c r="O691" s="2032"/>
      <c r="T691" s="35"/>
      <c r="U691" s="12" t="s">
        <v>20</v>
      </c>
      <c r="AG691" s="2032" t="s">
        <v>704</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22">
        <f>C647</f>
        <v>0</v>
      </c>
      <c r="H693" s="2022"/>
      <c r="I693" s="2022"/>
      <c r="J693" s="2022"/>
      <c r="K693" s="2022"/>
      <c r="L693" s="2022"/>
      <c r="M693" s="2022"/>
      <c r="N693" s="2022"/>
      <c r="O693" s="2022"/>
      <c r="P693" s="2022"/>
      <c r="Q693" s="2022"/>
      <c r="R693" s="2022"/>
      <c r="T693" s="87" t="s">
        <v>372</v>
      </c>
      <c r="U693" s="12" t="s">
        <v>494</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40"/>
      <c r="H695" s="2040"/>
      <c r="I695" s="2040"/>
      <c r="J695" s="2040"/>
      <c r="K695" s="2040"/>
      <c r="L695" s="2040"/>
      <c r="M695" s="2040"/>
      <c r="N695" s="2040"/>
      <c r="O695" s="2040"/>
      <c r="P695" s="2040"/>
      <c r="Q695" s="2040"/>
      <c r="R695" s="2040"/>
      <c r="U695" s="12" t="s">
        <v>613</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966</v>
      </c>
      <c r="BG696" s="462">
        <f>SUM(BG671:BG695)</f>
        <v>266</v>
      </c>
      <c r="BH696" s="463">
        <f>SUM(BH671:BH695)</f>
        <v>1</v>
      </c>
      <c r="BI696" s="463">
        <f>SUM(BI671:BI695)</f>
        <v>0.54274436090225575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4"/>
      <c r="H697" s="2064"/>
      <c r="I697" s="2064"/>
      <c r="J697" s="2064"/>
      <c r="K697" s="2064"/>
      <c r="L697" s="2064"/>
      <c r="O697" s="137" t="s">
        <v>211</v>
      </c>
      <c r="P697" s="2033"/>
      <c r="Q697" s="2033"/>
      <c r="R697" s="2033"/>
      <c r="U697" s="12" t="s">
        <v>324</v>
      </c>
      <c r="Z697" s="2064"/>
      <c r="AA697" s="2064"/>
      <c r="AB697" s="2064"/>
      <c r="AC697" s="2064"/>
      <c r="AD697" s="2064"/>
      <c r="AE697" s="2064"/>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2" t="s">
        <v>704</v>
      </c>
      <c r="O699" s="2032"/>
      <c r="U699" s="12" t="s">
        <v>20</v>
      </c>
      <c r="AG699" s="2032" t="s">
        <v>704</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576</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39</v>
      </c>
      <c r="BH703" s="460">
        <f>BG703/$BG$728</f>
        <v>0.14661654135338345</v>
      </c>
      <c r="BI703" s="461">
        <f t="shared" ref="BI703:BI727" si="45">IF(BH703=0," ",BH703*AM728)</f>
        <v>4.3192440560861613E-2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704</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65</v>
      </c>
      <c r="BH704" s="460">
        <f t="shared" ref="BH704:BH727" si="46">BG704/$BG$728</f>
        <v>0.24436090225563908</v>
      </c>
      <c r="BI704" s="461">
        <f t="shared" si="45"/>
        <v>0.1439748018695387</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44448</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27</v>
      </c>
      <c r="BH705" s="460">
        <f t="shared" si="46"/>
        <v>0.10150375939849623</v>
      </c>
      <c r="BI705" s="461">
        <f t="shared" si="45"/>
        <v>7.9762751473277785E-2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44538</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7.8947368421052627E-2</v>
      </c>
      <c r="BI706" s="461">
        <f t="shared" si="45"/>
        <v>2.3248577524893316E-2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34</v>
      </c>
      <c r="BH707" s="460">
        <f t="shared" si="46"/>
        <v>0.12781954887218044</v>
      </c>
      <c r="BI707" s="461">
        <f t="shared" si="45"/>
        <v>7.5281108175845018E-2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44713</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4.5112781954887216E-2</v>
      </c>
      <c r="BI708" s="461">
        <f t="shared" si="45"/>
        <v>3.5434870961186749E-2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0.54369999999999996</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21</v>
      </c>
      <c r="BH709" s="460">
        <f t="shared" si="46"/>
        <v>7.8947368421052627E-2</v>
      </c>
      <c r="BI709" s="461">
        <f t="shared" si="45"/>
        <v>2.3253728283708298E-2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2" t="str">
        <f>H334</f>
        <v>California Municipal Finance Authority (CMFA)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34</v>
      </c>
      <c r="BH710" s="460">
        <f t="shared" si="46"/>
        <v>0.12781954887218044</v>
      </c>
      <c r="BI710" s="461">
        <f t="shared" si="45"/>
        <v>7.5235557247549253E-2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13</v>
      </c>
      <c r="BH711" s="460">
        <f t="shared" si="46"/>
        <v>4.8872180451127817E-2</v>
      </c>
      <c r="BI711" s="461">
        <f t="shared" si="45"/>
        <v>3.8355382126201577E-2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704</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4"/>
      <c r="K715" s="2064"/>
      <c r="L715" s="2064"/>
      <c r="M715" s="2064"/>
      <c r="N715" s="2064"/>
      <c r="O715" s="2064"/>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91" t="s">
        <v>406</v>
      </c>
      <c r="C724" s="2292"/>
      <c r="D724" s="2292"/>
      <c r="E724" s="2292"/>
      <c r="F724" s="2293"/>
      <c r="G724" s="2291" t="s">
        <v>290</v>
      </c>
      <c r="H724" s="2292"/>
      <c r="I724" s="2292"/>
      <c r="J724" s="2293"/>
      <c r="K724" s="2271" t="s">
        <v>2154</v>
      </c>
      <c r="L724" s="2272"/>
      <c r="M724" s="2272"/>
      <c r="N724" s="2273"/>
      <c r="O724" s="2291" t="s">
        <v>476</v>
      </c>
      <c r="P724" s="2292"/>
      <c r="Q724" s="2292"/>
      <c r="R724" s="2292"/>
      <c r="S724" s="2293"/>
      <c r="T724" s="2291" t="s">
        <v>291</v>
      </c>
      <c r="U724" s="2292"/>
      <c r="V724" s="2292"/>
      <c r="W724" s="2292"/>
      <c r="X724" s="2293"/>
      <c r="Y724" s="2291" t="s">
        <v>292</v>
      </c>
      <c r="Z724" s="2292"/>
      <c r="AA724" s="2292"/>
      <c r="AB724" s="2293"/>
      <c r="AC724" s="2291" t="s">
        <v>293</v>
      </c>
      <c r="AD724" s="2292"/>
      <c r="AE724" s="2292"/>
      <c r="AF724" s="2292"/>
      <c r="AG724" s="2293"/>
      <c r="AH724" s="2291" t="s">
        <v>407</v>
      </c>
      <c r="AI724" s="2292"/>
      <c r="AJ724" s="2292"/>
      <c r="AK724" s="2292"/>
      <c r="AL724" s="2293"/>
      <c r="AM724" s="2291" t="s">
        <v>680</v>
      </c>
      <c r="AN724" s="2292"/>
      <c r="AO724" s="229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94"/>
      <c r="C725" s="2295"/>
      <c r="D725" s="2295"/>
      <c r="E725" s="2295"/>
      <c r="F725" s="2296"/>
      <c r="G725" s="2294"/>
      <c r="H725" s="2295"/>
      <c r="I725" s="2295"/>
      <c r="J725" s="2296"/>
      <c r="K725" s="2274"/>
      <c r="L725" s="2275"/>
      <c r="M725" s="2275"/>
      <c r="N725" s="2276"/>
      <c r="O725" s="2294"/>
      <c r="P725" s="2295"/>
      <c r="Q725" s="2295"/>
      <c r="R725" s="2295"/>
      <c r="S725" s="2296"/>
      <c r="T725" s="2294"/>
      <c r="U725" s="2295"/>
      <c r="V725" s="2295"/>
      <c r="W725" s="2295"/>
      <c r="X725" s="2296"/>
      <c r="Y725" s="2294"/>
      <c r="Z725" s="2295"/>
      <c r="AA725" s="2295"/>
      <c r="AB725" s="2296"/>
      <c r="AC725" s="2294"/>
      <c r="AD725" s="2295"/>
      <c r="AE725" s="2295"/>
      <c r="AF725" s="2295"/>
      <c r="AG725" s="2296"/>
      <c r="AH725" s="2294"/>
      <c r="AI725" s="2295"/>
      <c r="AJ725" s="2295"/>
      <c r="AK725" s="2295"/>
      <c r="AL725" s="2296"/>
      <c r="AM725" s="2294"/>
      <c r="AN725" s="2295"/>
      <c r="AO725" s="229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94"/>
      <c r="C726" s="2295"/>
      <c r="D726" s="2295"/>
      <c r="E726" s="2295"/>
      <c r="F726" s="2296"/>
      <c r="G726" s="2294"/>
      <c r="H726" s="2295"/>
      <c r="I726" s="2295"/>
      <c r="J726" s="2296"/>
      <c r="K726" s="2274"/>
      <c r="L726" s="2275"/>
      <c r="M726" s="2275"/>
      <c r="N726" s="2276"/>
      <c r="O726" s="2294"/>
      <c r="P726" s="2295"/>
      <c r="Q726" s="2295"/>
      <c r="R726" s="2295"/>
      <c r="S726" s="2296"/>
      <c r="T726" s="2294"/>
      <c r="U726" s="2295"/>
      <c r="V726" s="2295"/>
      <c r="W726" s="2295"/>
      <c r="X726" s="2296"/>
      <c r="Y726" s="2294"/>
      <c r="Z726" s="2295"/>
      <c r="AA726" s="2295"/>
      <c r="AB726" s="2296"/>
      <c r="AC726" s="2294"/>
      <c r="AD726" s="2295"/>
      <c r="AE726" s="2295"/>
      <c r="AF726" s="2295"/>
      <c r="AG726" s="2296"/>
      <c r="AH726" s="2294"/>
      <c r="AI726" s="2295"/>
      <c r="AJ726" s="2295"/>
      <c r="AK726" s="2295"/>
      <c r="AL726" s="2296"/>
      <c r="AM726" s="2294"/>
      <c r="AN726" s="2295"/>
      <c r="AO726" s="229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97"/>
      <c r="C727" s="2298"/>
      <c r="D727" s="2298"/>
      <c r="E727" s="2298"/>
      <c r="F727" s="2299"/>
      <c r="G727" s="2297"/>
      <c r="H727" s="2298"/>
      <c r="I727" s="2298"/>
      <c r="J727" s="2299"/>
      <c r="K727" s="2274"/>
      <c r="L727" s="2275"/>
      <c r="M727" s="2275"/>
      <c r="N727" s="2276"/>
      <c r="O727" s="2297"/>
      <c r="P727" s="2298"/>
      <c r="Q727" s="2298"/>
      <c r="R727" s="2298"/>
      <c r="S727" s="2299"/>
      <c r="T727" s="2297"/>
      <c r="U727" s="2298"/>
      <c r="V727" s="2298"/>
      <c r="W727" s="2298"/>
      <c r="X727" s="2299"/>
      <c r="Y727" s="2297"/>
      <c r="Z727" s="2298"/>
      <c r="AA727" s="2298"/>
      <c r="AB727" s="2299"/>
      <c r="AC727" s="2297"/>
      <c r="AD727" s="2298"/>
      <c r="AE727" s="2298"/>
      <c r="AF727" s="2298"/>
      <c r="AG727" s="2299"/>
      <c r="AH727" s="2297"/>
      <c r="AI727" s="2298"/>
      <c r="AJ727" s="2298"/>
      <c r="AK727" s="2298"/>
      <c r="AL727" s="2299"/>
      <c r="AM727" s="2297"/>
      <c r="AN727" s="2298"/>
      <c r="AO727" s="229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69" t="s">
        <v>333</v>
      </c>
      <c r="C728" s="2241"/>
      <c r="D728" s="2241"/>
      <c r="E728" s="2241"/>
      <c r="F728" s="2242"/>
      <c r="G728" s="2287">
        <v>39</v>
      </c>
      <c r="H728" s="2288"/>
      <c r="I728" s="2288"/>
      <c r="J728" s="2289"/>
      <c r="K728" s="2280">
        <v>577</v>
      </c>
      <c r="L728" s="2281"/>
      <c r="M728" s="2281"/>
      <c r="N728" s="2282"/>
      <c r="O728" s="2237">
        <v>365</v>
      </c>
      <c r="P728" s="2238"/>
      <c r="Q728" s="2238"/>
      <c r="R728" s="2238"/>
      <c r="S728" s="2239"/>
      <c r="T728" s="2026">
        <f t="shared" ref="T728:T752" si="47">G728*O728</f>
        <v>14235</v>
      </c>
      <c r="U728" s="2027"/>
      <c r="V728" s="2027"/>
      <c r="W728" s="2027"/>
      <c r="X728" s="2028"/>
      <c r="Y728" s="2237">
        <v>71</v>
      </c>
      <c r="Z728" s="2238"/>
      <c r="AA728" s="2238"/>
      <c r="AB728" s="2239"/>
      <c r="AC728" s="2026">
        <f t="shared" ref="AC728:AC752" si="48">O728+Y728</f>
        <v>436</v>
      </c>
      <c r="AD728" s="2027"/>
      <c r="AE728" s="2027"/>
      <c r="AF728" s="2027"/>
      <c r="AG728" s="2028"/>
      <c r="AH728" s="2029">
        <v>0.3</v>
      </c>
      <c r="AI728" s="2030"/>
      <c r="AJ728" s="2030"/>
      <c r="AK728" s="2030"/>
      <c r="AL728" s="2031"/>
      <c r="AM728" s="2007">
        <f t="shared" ref="AM728:AM752" si="49">IF($AH728&gt;0,($AC728/$BA670), " ")</f>
        <v>0.29459459459459458</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266</v>
      </c>
      <c r="BH728" s="463">
        <f>SUM(BH703:BH727)</f>
        <v>1</v>
      </c>
      <c r="BI728" s="463">
        <f>SUM(BI703:BI727)</f>
        <v>0.53773921822306225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69" t="s">
        <v>333</v>
      </c>
      <c r="C729" s="2241"/>
      <c r="D729" s="2241"/>
      <c r="E729" s="2241"/>
      <c r="F729" s="2242"/>
      <c r="G729" s="2287">
        <v>65</v>
      </c>
      <c r="H729" s="2288"/>
      <c r="I729" s="2288"/>
      <c r="J729" s="2289"/>
      <c r="K729" s="2280">
        <v>577</v>
      </c>
      <c r="L729" s="2281"/>
      <c r="M729" s="2281"/>
      <c r="N729" s="2282"/>
      <c r="O729" s="2237">
        <v>801</v>
      </c>
      <c r="P729" s="2238"/>
      <c r="Q729" s="2238"/>
      <c r="R729" s="2238"/>
      <c r="S729" s="2239"/>
      <c r="T729" s="2026">
        <f t="shared" si="47"/>
        <v>52065</v>
      </c>
      <c r="U729" s="2027"/>
      <c r="V729" s="2027"/>
      <c r="W729" s="2027"/>
      <c r="X729" s="2028"/>
      <c r="Y729" s="2237">
        <v>71</v>
      </c>
      <c r="Z729" s="2238"/>
      <c r="AA729" s="2238"/>
      <c r="AB729" s="2239"/>
      <c r="AC729" s="2026">
        <f t="shared" si="48"/>
        <v>872</v>
      </c>
      <c r="AD729" s="2027"/>
      <c r="AE729" s="2027"/>
      <c r="AF729" s="2027"/>
      <c r="AG729" s="2028"/>
      <c r="AH729" s="2029">
        <v>0.59</v>
      </c>
      <c r="AI729" s="2030"/>
      <c r="AJ729" s="2030"/>
      <c r="AK729" s="2030"/>
      <c r="AL729" s="2031"/>
      <c r="AM729" s="2007">
        <f t="shared" si="49"/>
        <v>0.58918918918918917</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69" t="s">
        <v>333</v>
      </c>
      <c r="C730" s="2241"/>
      <c r="D730" s="2241"/>
      <c r="E730" s="2241"/>
      <c r="F730" s="2242"/>
      <c r="G730" s="2287">
        <v>27</v>
      </c>
      <c r="H730" s="2288"/>
      <c r="I730" s="2288"/>
      <c r="J730" s="2289"/>
      <c r="K730" s="2280">
        <v>577</v>
      </c>
      <c r="L730" s="2281"/>
      <c r="M730" s="2281"/>
      <c r="N730" s="2282"/>
      <c r="O730" s="2237">
        <v>1092</v>
      </c>
      <c r="P730" s="2238"/>
      <c r="Q730" s="2238"/>
      <c r="R730" s="2238"/>
      <c r="S730" s="2239"/>
      <c r="T730" s="2026">
        <f t="shared" si="47"/>
        <v>29484</v>
      </c>
      <c r="U730" s="2027"/>
      <c r="V730" s="2027"/>
      <c r="W730" s="2027"/>
      <c r="X730" s="2028"/>
      <c r="Y730" s="2237">
        <v>71</v>
      </c>
      <c r="Z730" s="2238"/>
      <c r="AA730" s="2238"/>
      <c r="AB730" s="2239"/>
      <c r="AC730" s="2026">
        <f t="shared" si="48"/>
        <v>1163</v>
      </c>
      <c r="AD730" s="2027"/>
      <c r="AE730" s="2027"/>
      <c r="AF730" s="2027"/>
      <c r="AG730" s="2028"/>
      <c r="AH730" s="2029">
        <v>0.8</v>
      </c>
      <c r="AI730" s="2030"/>
      <c r="AJ730" s="2030"/>
      <c r="AK730" s="2030"/>
      <c r="AL730" s="2031"/>
      <c r="AM730" s="2007">
        <f t="shared" si="49"/>
        <v>0.78581081081081083</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69" t="s">
        <v>168</v>
      </c>
      <c r="C731" s="2241"/>
      <c r="D731" s="2241"/>
      <c r="E731" s="2241"/>
      <c r="F731" s="2242"/>
      <c r="G731" s="2287">
        <v>21</v>
      </c>
      <c r="H731" s="2288"/>
      <c r="I731" s="2288"/>
      <c r="J731" s="2289"/>
      <c r="K731" s="2280">
        <v>755</v>
      </c>
      <c r="L731" s="2281"/>
      <c r="M731" s="2281"/>
      <c r="N731" s="2282"/>
      <c r="O731" s="2237">
        <v>436</v>
      </c>
      <c r="P731" s="2238"/>
      <c r="Q731" s="2238"/>
      <c r="R731" s="2238"/>
      <c r="S731" s="2239"/>
      <c r="T731" s="2026">
        <f t="shared" si="47"/>
        <v>9156</v>
      </c>
      <c r="U731" s="2027"/>
      <c r="V731" s="2027"/>
      <c r="W731" s="2027"/>
      <c r="X731" s="2028"/>
      <c r="Y731" s="2237">
        <v>87</v>
      </c>
      <c r="Z731" s="2238"/>
      <c r="AA731" s="2238"/>
      <c r="AB731" s="2239"/>
      <c r="AC731" s="2026">
        <f t="shared" si="48"/>
        <v>523</v>
      </c>
      <c r="AD731" s="2027"/>
      <c r="AE731" s="2027"/>
      <c r="AF731" s="2027"/>
      <c r="AG731" s="2028"/>
      <c r="AH731" s="2029">
        <v>0.3</v>
      </c>
      <c r="AI731" s="2030"/>
      <c r="AJ731" s="2030"/>
      <c r="AK731" s="2030"/>
      <c r="AL731" s="2031"/>
      <c r="AM731" s="2007">
        <f t="shared" si="49"/>
        <v>0.294481981981982</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69" t="s">
        <v>168</v>
      </c>
      <c r="C732" s="2241"/>
      <c r="D732" s="2241"/>
      <c r="E732" s="2241"/>
      <c r="F732" s="2242"/>
      <c r="G732" s="2287">
        <v>34</v>
      </c>
      <c r="H732" s="2288"/>
      <c r="I732" s="2288"/>
      <c r="J732" s="2289"/>
      <c r="K732" s="2280">
        <v>755</v>
      </c>
      <c r="L732" s="2281"/>
      <c r="M732" s="2281"/>
      <c r="N732" s="2282"/>
      <c r="O732" s="2237">
        <v>959</v>
      </c>
      <c r="P732" s="2238"/>
      <c r="Q732" s="2238"/>
      <c r="R732" s="2238"/>
      <c r="S732" s="2239"/>
      <c r="T732" s="2026">
        <f t="shared" si="47"/>
        <v>32606</v>
      </c>
      <c r="U732" s="2027"/>
      <c r="V732" s="2027"/>
      <c r="W732" s="2027"/>
      <c r="X732" s="2028"/>
      <c r="Y732" s="2237">
        <v>87</v>
      </c>
      <c r="Z732" s="2238"/>
      <c r="AA732" s="2238"/>
      <c r="AB732" s="2239"/>
      <c r="AC732" s="2026">
        <f t="shared" si="48"/>
        <v>1046</v>
      </c>
      <c r="AD732" s="2027"/>
      <c r="AE732" s="2027"/>
      <c r="AF732" s="2027"/>
      <c r="AG732" s="2028"/>
      <c r="AH732" s="2029">
        <v>0.59</v>
      </c>
      <c r="AI732" s="2030"/>
      <c r="AJ732" s="2030"/>
      <c r="AK732" s="2030"/>
      <c r="AL732" s="2031"/>
      <c r="AM732" s="2007">
        <f t="shared" si="49"/>
        <v>0.588963963963964</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69" t="s">
        <v>168</v>
      </c>
      <c r="C733" s="2241"/>
      <c r="D733" s="2241"/>
      <c r="E733" s="2241"/>
      <c r="F733" s="2242"/>
      <c r="G733" s="2287">
        <v>12</v>
      </c>
      <c r="H733" s="2288"/>
      <c r="I733" s="2288"/>
      <c r="J733" s="2289"/>
      <c r="K733" s="2280">
        <v>755</v>
      </c>
      <c r="L733" s="2281"/>
      <c r="M733" s="2281"/>
      <c r="N733" s="2282"/>
      <c r="O733" s="2237">
        <v>1308</v>
      </c>
      <c r="P733" s="2238"/>
      <c r="Q733" s="2238"/>
      <c r="R733" s="2238"/>
      <c r="S733" s="2239"/>
      <c r="T733" s="2026">
        <f t="shared" si="47"/>
        <v>15696</v>
      </c>
      <c r="U733" s="2027"/>
      <c r="V733" s="2027"/>
      <c r="W733" s="2027"/>
      <c r="X733" s="2028"/>
      <c r="Y733" s="2237">
        <v>87</v>
      </c>
      <c r="Z733" s="2238"/>
      <c r="AA733" s="2238"/>
      <c r="AB733" s="2239"/>
      <c r="AC733" s="2026">
        <f t="shared" si="48"/>
        <v>1395</v>
      </c>
      <c r="AD733" s="2027"/>
      <c r="AE733" s="2027"/>
      <c r="AF733" s="2027"/>
      <c r="AG733" s="2028"/>
      <c r="AH733" s="2029">
        <v>0.8</v>
      </c>
      <c r="AI733" s="2030"/>
      <c r="AJ733" s="2030"/>
      <c r="AK733" s="2030"/>
      <c r="AL733" s="2031"/>
      <c r="AM733" s="2007">
        <f t="shared" si="49"/>
        <v>0.78547297297297303</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69" t="s">
        <v>169</v>
      </c>
      <c r="C734" s="2241"/>
      <c r="D734" s="2241"/>
      <c r="E734" s="2241"/>
      <c r="F734" s="2242"/>
      <c r="G734" s="2287">
        <v>21</v>
      </c>
      <c r="H734" s="2288"/>
      <c r="I734" s="2288"/>
      <c r="J734" s="2289"/>
      <c r="K734" s="2280">
        <v>1034</v>
      </c>
      <c r="L734" s="2281"/>
      <c r="M734" s="2281"/>
      <c r="N734" s="2282"/>
      <c r="O734" s="2237">
        <v>501</v>
      </c>
      <c r="P734" s="2238"/>
      <c r="Q734" s="2238"/>
      <c r="R734" s="2238"/>
      <c r="S734" s="2239"/>
      <c r="T734" s="2026">
        <f t="shared" si="47"/>
        <v>10521</v>
      </c>
      <c r="U734" s="2027"/>
      <c r="V734" s="2027"/>
      <c r="W734" s="2027"/>
      <c r="X734" s="2028"/>
      <c r="Y734" s="2237">
        <v>104</v>
      </c>
      <c r="Z734" s="2238"/>
      <c r="AA734" s="2238"/>
      <c r="AB734" s="2239"/>
      <c r="AC734" s="2026">
        <f t="shared" si="48"/>
        <v>605</v>
      </c>
      <c r="AD734" s="2027"/>
      <c r="AE734" s="2027"/>
      <c r="AF734" s="2027"/>
      <c r="AG734" s="2028"/>
      <c r="AH734" s="2029">
        <v>0.3</v>
      </c>
      <c r="AI734" s="2030"/>
      <c r="AJ734" s="2030"/>
      <c r="AK734" s="2030"/>
      <c r="AL734" s="2031"/>
      <c r="AM734" s="2007">
        <f t="shared" si="49"/>
        <v>0.29454722492697177</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69" t="s">
        <v>169</v>
      </c>
      <c r="C735" s="2241"/>
      <c r="D735" s="2241"/>
      <c r="E735" s="2241"/>
      <c r="F735" s="2242"/>
      <c r="G735" s="2287">
        <v>34</v>
      </c>
      <c r="H735" s="2288"/>
      <c r="I735" s="2288"/>
      <c r="J735" s="2289"/>
      <c r="K735" s="2280">
        <v>1034</v>
      </c>
      <c r="L735" s="2281"/>
      <c r="M735" s="2281"/>
      <c r="N735" s="2282"/>
      <c r="O735" s="2237">
        <v>1105</v>
      </c>
      <c r="P735" s="2238"/>
      <c r="Q735" s="2238"/>
      <c r="R735" s="2238"/>
      <c r="S735" s="2239"/>
      <c r="T735" s="2026">
        <f t="shared" si="47"/>
        <v>37570</v>
      </c>
      <c r="U735" s="2027"/>
      <c r="V735" s="2027"/>
      <c r="W735" s="2027"/>
      <c r="X735" s="2028"/>
      <c r="Y735" s="2237">
        <v>104</v>
      </c>
      <c r="Z735" s="2238"/>
      <c r="AA735" s="2238"/>
      <c r="AB735" s="2239"/>
      <c r="AC735" s="2026">
        <f t="shared" si="48"/>
        <v>1209</v>
      </c>
      <c r="AD735" s="2027"/>
      <c r="AE735" s="2027"/>
      <c r="AF735" s="2027"/>
      <c r="AG735" s="2028"/>
      <c r="AH735" s="2029">
        <v>0.59</v>
      </c>
      <c r="AI735" s="2030"/>
      <c r="AJ735" s="2030"/>
      <c r="AK735" s="2030"/>
      <c r="AL735" s="2031"/>
      <c r="AM735" s="2007">
        <f t="shared" si="49"/>
        <v>0.58860759493670889</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69" t="s">
        <v>169</v>
      </c>
      <c r="C736" s="2241"/>
      <c r="D736" s="2241"/>
      <c r="E736" s="2241"/>
      <c r="F736" s="2242"/>
      <c r="G736" s="2287">
        <v>13</v>
      </c>
      <c r="H736" s="2288"/>
      <c r="I736" s="2288"/>
      <c r="J736" s="2289"/>
      <c r="K736" s="2280">
        <v>1034</v>
      </c>
      <c r="L736" s="2281"/>
      <c r="M736" s="2281"/>
      <c r="N736" s="2282"/>
      <c r="O736" s="2237">
        <v>1508</v>
      </c>
      <c r="P736" s="2238"/>
      <c r="Q736" s="2238"/>
      <c r="R736" s="2238"/>
      <c r="S736" s="2239"/>
      <c r="T736" s="2026">
        <f t="shared" si="47"/>
        <v>19604</v>
      </c>
      <c r="U736" s="2027"/>
      <c r="V736" s="2027"/>
      <c r="W736" s="2027"/>
      <c r="X736" s="2028"/>
      <c r="Y736" s="2237">
        <v>104</v>
      </c>
      <c r="Z736" s="2238"/>
      <c r="AA736" s="2238"/>
      <c r="AB736" s="2239"/>
      <c r="AC736" s="2026">
        <f t="shared" si="48"/>
        <v>1612</v>
      </c>
      <c r="AD736" s="2027"/>
      <c r="AE736" s="2027"/>
      <c r="AF736" s="2027"/>
      <c r="AG736" s="2028"/>
      <c r="AH736" s="2029">
        <v>0.8</v>
      </c>
      <c r="AI736" s="2030"/>
      <c r="AJ736" s="2030"/>
      <c r="AK736" s="2030"/>
      <c r="AL736" s="2031"/>
      <c r="AM736" s="2007">
        <f t="shared" si="49"/>
        <v>0.78481012658227844</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69"/>
      <c r="C737" s="2241"/>
      <c r="D737" s="2241"/>
      <c r="E737" s="2241"/>
      <c r="F737" s="2242"/>
      <c r="G737" s="2287"/>
      <c r="H737" s="2288"/>
      <c r="I737" s="2288"/>
      <c r="J737" s="2289"/>
      <c r="K737" s="2280"/>
      <c r="L737" s="2281"/>
      <c r="M737" s="2281"/>
      <c r="N737" s="2282"/>
      <c r="O737" s="2237"/>
      <c r="P737" s="2238"/>
      <c r="Q737" s="2238"/>
      <c r="R737" s="2238"/>
      <c r="S737" s="2239"/>
      <c r="T737" s="2026">
        <f t="shared" si="47"/>
        <v>0</v>
      </c>
      <c r="U737" s="2027"/>
      <c r="V737" s="2027"/>
      <c r="W737" s="2027"/>
      <c r="X737" s="2028"/>
      <c r="Y737" s="2237"/>
      <c r="Z737" s="2238"/>
      <c r="AA737" s="2238"/>
      <c r="AB737" s="2239"/>
      <c r="AC737" s="2026">
        <f t="shared" si="48"/>
        <v>0</v>
      </c>
      <c r="AD737" s="2027"/>
      <c r="AE737" s="2027"/>
      <c r="AF737" s="2027"/>
      <c r="AG737" s="2028"/>
      <c r="AH737" s="2029"/>
      <c r="AI737" s="2030"/>
      <c r="AJ737" s="2030"/>
      <c r="AK737" s="2030"/>
      <c r="AL737" s="2031"/>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69"/>
      <c r="C738" s="2241"/>
      <c r="D738" s="2241"/>
      <c r="E738" s="2241"/>
      <c r="F738" s="2242"/>
      <c r="G738" s="2287"/>
      <c r="H738" s="2288"/>
      <c r="I738" s="2288"/>
      <c r="J738" s="2289"/>
      <c r="K738" s="2280"/>
      <c r="L738" s="2281"/>
      <c r="M738" s="2281"/>
      <c r="N738" s="2282"/>
      <c r="O738" s="2237"/>
      <c r="P738" s="2238"/>
      <c r="Q738" s="2238"/>
      <c r="R738" s="2238"/>
      <c r="S738" s="2239"/>
      <c r="T738" s="2026">
        <f t="shared" si="47"/>
        <v>0</v>
      </c>
      <c r="U738" s="2027"/>
      <c r="V738" s="2027"/>
      <c r="W738" s="2027"/>
      <c r="X738" s="2028"/>
      <c r="Y738" s="2237"/>
      <c r="Z738" s="2238"/>
      <c r="AA738" s="2238"/>
      <c r="AB738" s="2239"/>
      <c r="AC738" s="2026">
        <f t="shared" si="48"/>
        <v>0</v>
      </c>
      <c r="AD738" s="2027"/>
      <c r="AE738" s="2027"/>
      <c r="AF738" s="2027"/>
      <c r="AG738" s="2028"/>
      <c r="AH738" s="2029"/>
      <c r="AI738" s="2030"/>
      <c r="AJ738" s="2030"/>
      <c r="AK738" s="2030"/>
      <c r="AL738" s="2031"/>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69"/>
      <c r="C739" s="2241"/>
      <c r="D739" s="2241"/>
      <c r="E739" s="2241"/>
      <c r="F739" s="2242"/>
      <c r="G739" s="2287"/>
      <c r="H739" s="2288"/>
      <c r="I739" s="2288"/>
      <c r="J739" s="2289"/>
      <c r="K739" s="2280"/>
      <c r="L739" s="2281"/>
      <c r="M739" s="2281"/>
      <c r="N739" s="2282"/>
      <c r="O739" s="2237"/>
      <c r="P739" s="2238"/>
      <c r="Q739" s="2238"/>
      <c r="R739" s="2238"/>
      <c r="S739" s="2239"/>
      <c r="T739" s="2026">
        <f t="shared" si="47"/>
        <v>0</v>
      </c>
      <c r="U739" s="2027"/>
      <c r="V739" s="2027"/>
      <c r="W739" s="2027"/>
      <c r="X739" s="2028"/>
      <c r="Y739" s="2237"/>
      <c r="Z739" s="2238"/>
      <c r="AA739" s="2238"/>
      <c r="AB739" s="2239"/>
      <c r="AC739" s="2026">
        <f t="shared" si="48"/>
        <v>0</v>
      </c>
      <c r="AD739" s="2027"/>
      <c r="AE739" s="2027"/>
      <c r="AF739" s="2027"/>
      <c r="AG739" s="2028"/>
      <c r="AH739" s="2029"/>
      <c r="AI739" s="2030"/>
      <c r="AJ739" s="2030"/>
      <c r="AK739" s="2030"/>
      <c r="AL739" s="2031"/>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69"/>
      <c r="C740" s="2241"/>
      <c r="D740" s="2241"/>
      <c r="E740" s="2241"/>
      <c r="F740" s="2242"/>
      <c r="G740" s="2287"/>
      <c r="H740" s="2288"/>
      <c r="I740" s="2288"/>
      <c r="J740" s="2289"/>
      <c r="K740" s="2280"/>
      <c r="L740" s="2281"/>
      <c r="M740" s="2281"/>
      <c r="N740" s="2282"/>
      <c r="O740" s="2237"/>
      <c r="P740" s="2238"/>
      <c r="Q740" s="2238"/>
      <c r="R740" s="2238"/>
      <c r="S740" s="2239"/>
      <c r="T740" s="2026">
        <f t="shared" si="47"/>
        <v>0</v>
      </c>
      <c r="U740" s="2027"/>
      <c r="V740" s="2027"/>
      <c r="W740" s="2027"/>
      <c r="X740" s="2028"/>
      <c r="Y740" s="2237"/>
      <c r="Z740" s="2238"/>
      <c r="AA740" s="2238"/>
      <c r="AB740" s="2239"/>
      <c r="AC740" s="2026">
        <f t="shared" si="48"/>
        <v>0</v>
      </c>
      <c r="AD740" s="2027"/>
      <c r="AE740" s="2027"/>
      <c r="AF740" s="2027"/>
      <c r="AG740" s="2028"/>
      <c r="AH740" s="2029"/>
      <c r="AI740" s="2030"/>
      <c r="AJ740" s="2030"/>
      <c r="AK740" s="2030"/>
      <c r="AL740" s="2031"/>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69"/>
      <c r="C741" s="2241"/>
      <c r="D741" s="2241"/>
      <c r="E741" s="2241"/>
      <c r="F741" s="2242"/>
      <c r="G741" s="2287"/>
      <c r="H741" s="2288"/>
      <c r="I741" s="2288"/>
      <c r="J741" s="2289"/>
      <c r="K741" s="2280"/>
      <c r="L741" s="2281"/>
      <c r="M741" s="2281"/>
      <c r="N741" s="2282"/>
      <c r="O741" s="2237"/>
      <c r="P741" s="2238"/>
      <c r="Q741" s="2238"/>
      <c r="R741" s="2238"/>
      <c r="S741" s="2239"/>
      <c r="T741" s="2026">
        <f t="shared" si="47"/>
        <v>0</v>
      </c>
      <c r="U741" s="2027"/>
      <c r="V741" s="2027"/>
      <c r="W741" s="2027"/>
      <c r="X741" s="2028"/>
      <c r="Y741" s="2237"/>
      <c r="Z741" s="2238"/>
      <c r="AA741" s="2238"/>
      <c r="AB741" s="2239"/>
      <c r="AC741" s="2026">
        <f t="shared" si="48"/>
        <v>0</v>
      </c>
      <c r="AD741" s="2027"/>
      <c r="AE741" s="2027"/>
      <c r="AF741" s="2027"/>
      <c r="AG741" s="2028"/>
      <c r="AH741" s="2029"/>
      <c r="AI741" s="2030"/>
      <c r="AJ741" s="2030"/>
      <c r="AK741" s="2030"/>
      <c r="AL741" s="2031"/>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69"/>
      <c r="C742" s="2241"/>
      <c r="D742" s="2241"/>
      <c r="E742" s="2241"/>
      <c r="F742" s="2242"/>
      <c r="G742" s="2287"/>
      <c r="H742" s="2288"/>
      <c r="I742" s="2288"/>
      <c r="J742" s="2289"/>
      <c r="K742" s="2280"/>
      <c r="L742" s="2281"/>
      <c r="M742" s="2281"/>
      <c r="N742" s="2282"/>
      <c r="O742" s="2237"/>
      <c r="P742" s="2238"/>
      <c r="Q742" s="2238"/>
      <c r="R742" s="2238"/>
      <c r="S742" s="2239"/>
      <c r="T742" s="2026">
        <f t="shared" si="47"/>
        <v>0</v>
      </c>
      <c r="U742" s="2027"/>
      <c r="V742" s="2027"/>
      <c r="W742" s="2027"/>
      <c r="X742" s="2028"/>
      <c r="Y742" s="2237"/>
      <c r="Z742" s="2238"/>
      <c r="AA742" s="2238"/>
      <c r="AB742" s="2239"/>
      <c r="AC742" s="2026">
        <f t="shared" si="48"/>
        <v>0</v>
      </c>
      <c r="AD742" s="2027"/>
      <c r="AE742" s="2027"/>
      <c r="AF742" s="2027"/>
      <c r="AG742" s="2028"/>
      <c r="AH742" s="2029"/>
      <c r="AI742" s="2030"/>
      <c r="AJ742" s="2030"/>
      <c r="AK742" s="2030"/>
      <c r="AL742" s="2031"/>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69"/>
      <c r="C743" s="2241"/>
      <c r="D743" s="2241"/>
      <c r="E743" s="2241"/>
      <c r="F743" s="2242"/>
      <c r="G743" s="2287"/>
      <c r="H743" s="2288"/>
      <c r="I743" s="2288"/>
      <c r="J743" s="2289"/>
      <c r="K743" s="2280"/>
      <c r="L743" s="2281"/>
      <c r="M743" s="2281"/>
      <c r="N743" s="2282"/>
      <c r="O743" s="2237"/>
      <c r="P743" s="2238"/>
      <c r="Q743" s="2238"/>
      <c r="R743" s="2238"/>
      <c r="S743" s="2239"/>
      <c r="T743" s="2026">
        <f t="shared" si="47"/>
        <v>0</v>
      </c>
      <c r="U743" s="2027"/>
      <c r="V743" s="2027"/>
      <c r="W743" s="2027"/>
      <c r="X743" s="2028"/>
      <c r="Y743" s="2237"/>
      <c r="Z743" s="2238"/>
      <c r="AA743" s="2238"/>
      <c r="AB743" s="2239"/>
      <c r="AC743" s="2026">
        <f t="shared" si="48"/>
        <v>0</v>
      </c>
      <c r="AD743" s="2027"/>
      <c r="AE743" s="2027"/>
      <c r="AF743" s="2027"/>
      <c r="AG743" s="2028"/>
      <c r="AH743" s="2029"/>
      <c r="AI743" s="2030"/>
      <c r="AJ743" s="2030"/>
      <c r="AK743" s="2030"/>
      <c r="AL743" s="2031"/>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40"/>
      <c r="C744" s="2241"/>
      <c r="D744" s="2241"/>
      <c r="E744" s="2241"/>
      <c r="F744" s="2242"/>
      <c r="G744" s="2287"/>
      <c r="H744" s="2288"/>
      <c r="I744" s="2288"/>
      <c r="J744" s="2289"/>
      <c r="K744" s="2280"/>
      <c r="L744" s="2281"/>
      <c r="M744" s="2281"/>
      <c r="N744" s="2282"/>
      <c r="O744" s="2237"/>
      <c r="P744" s="2238"/>
      <c r="Q744" s="2238"/>
      <c r="R744" s="2238"/>
      <c r="S744" s="2239"/>
      <c r="T744" s="2026">
        <f t="shared" si="47"/>
        <v>0</v>
      </c>
      <c r="U744" s="2027"/>
      <c r="V744" s="2027"/>
      <c r="W744" s="2027"/>
      <c r="X744" s="2028"/>
      <c r="Y744" s="2237">
        <v>0</v>
      </c>
      <c r="Z744" s="2238"/>
      <c r="AA744" s="2238"/>
      <c r="AB744" s="2239"/>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40"/>
      <c r="C745" s="2241"/>
      <c r="D745" s="2241"/>
      <c r="E745" s="2241"/>
      <c r="F745" s="2242"/>
      <c r="G745" s="2287"/>
      <c r="H745" s="2288"/>
      <c r="I745" s="2288"/>
      <c r="J745" s="2289"/>
      <c r="K745" s="2280"/>
      <c r="L745" s="2281"/>
      <c r="M745" s="2281"/>
      <c r="N745" s="2282"/>
      <c r="O745" s="2237"/>
      <c r="P745" s="2238"/>
      <c r="Q745" s="2238"/>
      <c r="R745" s="2238"/>
      <c r="S745" s="2239"/>
      <c r="T745" s="2026">
        <f t="shared" si="47"/>
        <v>0</v>
      </c>
      <c r="U745" s="2027"/>
      <c r="V745" s="2027"/>
      <c r="W745" s="2027"/>
      <c r="X745" s="2028"/>
      <c r="Y745" s="2237">
        <v>0</v>
      </c>
      <c r="Z745" s="2238"/>
      <c r="AA745" s="2238"/>
      <c r="AB745" s="2239"/>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40"/>
      <c r="C746" s="2241"/>
      <c r="D746" s="2241"/>
      <c r="E746" s="2241"/>
      <c r="F746" s="2242"/>
      <c r="G746" s="2287"/>
      <c r="H746" s="2288"/>
      <c r="I746" s="2288"/>
      <c r="J746" s="2289"/>
      <c r="K746" s="2280"/>
      <c r="L746" s="2281"/>
      <c r="M746" s="2281"/>
      <c r="N746" s="2282"/>
      <c r="O746" s="2237"/>
      <c r="P746" s="2238"/>
      <c r="Q746" s="2238"/>
      <c r="R746" s="2238"/>
      <c r="S746" s="2239"/>
      <c r="T746" s="2026">
        <f t="shared" si="47"/>
        <v>0</v>
      </c>
      <c r="U746" s="2027"/>
      <c r="V746" s="2027"/>
      <c r="W746" s="2027"/>
      <c r="X746" s="2028"/>
      <c r="Y746" s="2237">
        <v>0</v>
      </c>
      <c r="Z746" s="2238"/>
      <c r="AA746" s="2238"/>
      <c r="AB746" s="2239"/>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40"/>
      <c r="C747" s="2241"/>
      <c r="D747" s="2241"/>
      <c r="E747" s="2241"/>
      <c r="F747" s="2242"/>
      <c r="G747" s="2287"/>
      <c r="H747" s="2288"/>
      <c r="I747" s="2288"/>
      <c r="J747" s="2289"/>
      <c r="K747" s="2280"/>
      <c r="L747" s="2281"/>
      <c r="M747" s="2281"/>
      <c r="N747" s="2282"/>
      <c r="O747" s="2237"/>
      <c r="P747" s="2238"/>
      <c r="Q747" s="2238"/>
      <c r="R747" s="2238"/>
      <c r="S747" s="2239"/>
      <c r="T747" s="2026">
        <f t="shared" si="47"/>
        <v>0</v>
      </c>
      <c r="U747" s="2027"/>
      <c r="V747" s="2027"/>
      <c r="W747" s="2027"/>
      <c r="X747" s="2028"/>
      <c r="Y747" s="2237">
        <v>0</v>
      </c>
      <c r="Z747" s="2238"/>
      <c r="AA747" s="2238"/>
      <c r="AB747" s="2239"/>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40"/>
      <c r="C748" s="2241"/>
      <c r="D748" s="2241"/>
      <c r="E748" s="2241"/>
      <c r="F748" s="2242"/>
      <c r="G748" s="2287"/>
      <c r="H748" s="2288"/>
      <c r="I748" s="2288"/>
      <c r="J748" s="2289"/>
      <c r="K748" s="2280"/>
      <c r="L748" s="2281"/>
      <c r="M748" s="2281"/>
      <c r="N748" s="2282"/>
      <c r="O748" s="2237"/>
      <c r="P748" s="2238"/>
      <c r="Q748" s="2238"/>
      <c r="R748" s="2238"/>
      <c r="S748" s="2239"/>
      <c r="T748" s="2026">
        <f t="shared" si="47"/>
        <v>0</v>
      </c>
      <c r="U748" s="2027"/>
      <c r="V748" s="2027"/>
      <c r="W748" s="2027"/>
      <c r="X748" s="2028"/>
      <c r="Y748" s="2237">
        <v>0</v>
      </c>
      <c r="Z748" s="2238"/>
      <c r="AA748" s="2238"/>
      <c r="AB748" s="2239"/>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40"/>
      <c r="C749" s="2241"/>
      <c r="D749" s="2241"/>
      <c r="E749" s="2241"/>
      <c r="F749" s="2242"/>
      <c r="G749" s="2287"/>
      <c r="H749" s="2288"/>
      <c r="I749" s="2288"/>
      <c r="J749" s="2289"/>
      <c r="K749" s="2280"/>
      <c r="L749" s="2281"/>
      <c r="M749" s="2281"/>
      <c r="N749" s="2282"/>
      <c r="O749" s="2237"/>
      <c r="P749" s="2238"/>
      <c r="Q749" s="2238"/>
      <c r="R749" s="2238"/>
      <c r="S749" s="2239"/>
      <c r="T749" s="2026">
        <f t="shared" si="47"/>
        <v>0</v>
      </c>
      <c r="U749" s="2027"/>
      <c r="V749" s="2027"/>
      <c r="W749" s="2027"/>
      <c r="X749" s="2028"/>
      <c r="Y749" s="2237">
        <v>0</v>
      </c>
      <c r="Z749" s="2238"/>
      <c r="AA749" s="2238"/>
      <c r="AB749" s="2239"/>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40"/>
      <c r="C750" s="2241"/>
      <c r="D750" s="2241"/>
      <c r="E750" s="2241"/>
      <c r="F750" s="2242"/>
      <c r="G750" s="2287"/>
      <c r="H750" s="2288"/>
      <c r="I750" s="2288"/>
      <c r="J750" s="2289"/>
      <c r="K750" s="2280"/>
      <c r="L750" s="2281"/>
      <c r="M750" s="2281"/>
      <c r="N750" s="2282"/>
      <c r="O750" s="2237"/>
      <c r="P750" s="2238"/>
      <c r="Q750" s="2238"/>
      <c r="R750" s="2238"/>
      <c r="S750" s="2239"/>
      <c r="T750" s="2026">
        <f t="shared" si="47"/>
        <v>0</v>
      </c>
      <c r="U750" s="2027"/>
      <c r="V750" s="2027"/>
      <c r="W750" s="2027"/>
      <c r="X750" s="2028"/>
      <c r="Y750" s="2237">
        <v>0</v>
      </c>
      <c r="Z750" s="2238"/>
      <c r="AA750" s="2238"/>
      <c r="AB750" s="2239"/>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0"/>
      <c r="C751" s="2241"/>
      <c r="D751" s="2241"/>
      <c r="E751" s="2241"/>
      <c r="F751" s="2242"/>
      <c r="G751" s="2287"/>
      <c r="H751" s="2288"/>
      <c r="I751" s="2288"/>
      <c r="J751" s="2289"/>
      <c r="K751" s="2280"/>
      <c r="L751" s="2281"/>
      <c r="M751" s="2281"/>
      <c r="N751" s="2282"/>
      <c r="O751" s="2237"/>
      <c r="P751" s="2238"/>
      <c r="Q751" s="2238"/>
      <c r="R751" s="2238"/>
      <c r="S751" s="2239"/>
      <c r="T751" s="2026">
        <f t="shared" si="47"/>
        <v>0</v>
      </c>
      <c r="U751" s="2027"/>
      <c r="V751" s="2027"/>
      <c r="W751" s="2027"/>
      <c r="X751" s="2028"/>
      <c r="Y751" s="2237">
        <v>0</v>
      </c>
      <c r="Z751" s="2238"/>
      <c r="AA751" s="2238"/>
      <c r="AB751" s="2239"/>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40"/>
      <c r="C752" s="2241"/>
      <c r="D752" s="2241"/>
      <c r="E752" s="2241"/>
      <c r="F752" s="2242"/>
      <c r="G752" s="2287"/>
      <c r="H752" s="2288"/>
      <c r="I752" s="2288"/>
      <c r="J752" s="2289"/>
      <c r="K752" s="2280"/>
      <c r="L752" s="2281"/>
      <c r="M752" s="2281"/>
      <c r="N752" s="2282"/>
      <c r="O752" s="2237"/>
      <c r="P752" s="2238"/>
      <c r="Q752" s="2238"/>
      <c r="R752" s="2238"/>
      <c r="S752" s="2239"/>
      <c r="T752" s="2026">
        <f t="shared" si="47"/>
        <v>0</v>
      </c>
      <c r="U752" s="2027"/>
      <c r="V752" s="2027"/>
      <c r="W752" s="2027"/>
      <c r="X752" s="2028"/>
      <c r="Y752" s="2237">
        <v>0</v>
      </c>
      <c r="Z752" s="2238"/>
      <c r="AA752" s="2238"/>
      <c r="AB752" s="2239"/>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4" t="s">
        <v>130</v>
      </c>
      <c r="C753" s="2285"/>
      <c r="D753" s="2285"/>
      <c r="E753" s="2285"/>
      <c r="F753" s="2286"/>
      <c r="G753" s="2404">
        <f>SUM(G728:J752)</f>
        <v>266</v>
      </c>
      <c r="H753" s="2405"/>
      <c r="I753" s="2405"/>
      <c r="J753" s="2406"/>
      <c r="O753" s="1585" t="s">
        <v>129</v>
      </c>
      <c r="P753" s="1586"/>
      <c r="Q753" s="1586"/>
      <c r="R753" s="1586"/>
      <c r="S753" s="1587"/>
      <c r="T753" s="2026">
        <f>SUM(T728:X752)</f>
        <v>220937</v>
      </c>
      <c r="U753" s="2027"/>
      <c r="V753" s="2027"/>
      <c r="W753" s="2027"/>
      <c r="X753" s="2028"/>
      <c r="AC753" s="1589" t="s">
        <v>967</v>
      </c>
      <c r="AD753" s="1588"/>
      <c r="AE753" s="1588"/>
      <c r="AF753" s="1588"/>
      <c r="AG753" s="1590"/>
      <c r="AH753" s="2219">
        <f>BI696</f>
        <v>0.54274436090225575</v>
      </c>
      <c r="AI753" s="2220"/>
      <c r="AJ753" s="2220"/>
      <c r="AK753" s="2220"/>
      <c r="AL753" s="2221"/>
      <c r="AM753" s="2219">
        <f>BI728</f>
        <v>0.53773921822306225</v>
      </c>
      <c r="AN753" s="2220"/>
      <c r="AO753" s="22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624</v>
      </c>
      <c r="AG755" s="2270"/>
      <c r="AH755" s="227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91" t="s">
        <v>406</v>
      </c>
      <c r="K768" s="2292"/>
      <c r="L768" s="2292"/>
      <c r="M768" s="2292"/>
      <c r="N768" s="2293"/>
      <c r="O768" s="2358" t="s">
        <v>290</v>
      </c>
      <c r="P768" s="2358"/>
      <c r="Q768" s="2358"/>
      <c r="R768" s="2358"/>
      <c r="S768" s="2358"/>
      <c r="T768" s="2271" t="s">
        <v>2154</v>
      </c>
      <c r="U768" s="2272"/>
      <c r="V768" s="2272"/>
      <c r="W768" s="2273"/>
      <c r="X768" s="2291" t="s">
        <v>476</v>
      </c>
      <c r="Y768" s="2292"/>
      <c r="Z768" s="2292"/>
      <c r="AA768" s="2292"/>
      <c r="AB768" s="2293"/>
      <c r="AC768" s="2291" t="s">
        <v>291</v>
      </c>
      <c r="AD768" s="2292"/>
      <c r="AE768" s="2292"/>
      <c r="AF768" s="2292"/>
      <c r="AG768" s="229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94"/>
      <c r="K769" s="2295"/>
      <c r="L769" s="2295"/>
      <c r="M769" s="2295"/>
      <c r="N769" s="2296"/>
      <c r="O769" s="2358"/>
      <c r="P769" s="2358"/>
      <c r="Q769" s="2358"/>
      <c r="R769" s="2358"/>
      <c r="S769" s="2358"/>
      <c r="T769" s="2274"/>
      <c r="U769" s="2275"/>
      <c r="V769" s="2275"/>
      <c r="W769" s="2276"/>
      <c r="X769" s="2294"/>
      <c r="Y769" s="2295"/>
      <c r="Z769" s="2295"/>
      <c r="AA769" s="2295"/>
      <c r="AB769" s="2296"/>
      <c r="AC769" s="2294"/>
      <c r="AD769" s="2295"/>
      <c r="AE769" s="2295"/>
      <c r="AF769" s="2295"/>
      <c r="AG769" s="229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94"/>
      <c r="K770" s="2295"/>
      <c r="L770" s="2295"/>
      <c r="M770" s="2295"/>
      <c r="N770" s="2296"/>
      <c r="O770" s="2358"/>
      <c r="P770" s="2358"/>
      <c r="Q770" s="2358"/>
      <c r="R770" s="2358"/>
      <c r="S770" s="2358"/>
      <c r="T770" s="2274"/>
      <c r="U770" s="2275"/>
      <c r="V770" s="2275"/>
      <c r="W770" s="2276"/>
      <c r="X770" s="2294"/>
      <c r="Y770" s="2295"/>
      <c r="Z770" s="2295"/>
      <c r="AA770" s="2295"/>
      <c r="AB770" s="2296"/>
      <c r="AC770" s="2294"/>
      <c r="AD770" s="2295"/>
      <c r="AE770" s="2295"/>
      <c r="AF770" s="2295"/>
      <c r="AG770" s="229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97"/>
      <c r="K771" s="2298"/>
      <c r="L771" s="2298"/>
      <c r="M771" s="2298"/>
      <c r="N771" s="2299"/>
      <c r="O771" s="2358"/>
      <c r="P771" s="2358"/>
      <c r="Q771" s="2358"/>
      <c r="R771" s="2358"/>
      <c r="S771" s="2358"/>
      <c r="T771" s="2277"/>
      <c r="U771" s="2278"/>
      <c r="V771" s="2278"/>
      <c r="W771" s="2279"/>
      <c r="X771" s="2297"/>
      <c r="Y771" s="2298"/>
      <c r="Z771" s="2298"/>
      <c r="AA771" s="2298"/>
      <c r="AB771" s="2299"/>
      <c r="AC771" s="2297"/>
      <c r="AD771" s="2298"/>
      <c r="AE771" s="2298"/>
      <c r="AF771" s="2298"/>
      <c r="AG771" s="229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40" t="s">
        <v>168</v>
      </c>
      <c r="K772" s="2241"/>
      <c r="L772" s="2241"/>
      <c r="M772" s="2241"/>
      <c r="N772" s="2242"/>
      <c r="O772" s="2283">
        <v>3</v>
      </c>
      <c r="P772" s="2283"/>
      <c r="Q772" s="2283"/>
      <c r="R772" s="2283"/>
      <c r="S772" s="2283"/>
      <c r="T772" s="2280">
        <v>755</v>
      </c>
      <c r="U772" s="2281"/>
      <c r="V772" s="2281"/>
      <c r="W772" s="2282"/>
      <c r="X772" s="2237"/>
      <c r="Y772" s="2238"/>
      <c r="Z772" s="2238"/>
      <c r="AA772" s="2238"/>
      <c r="AB772" s="223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40"/>
      <c r="K773" s="2241"/>
      <c r="L773" s="2241"/>
      <c r="M773" s="2241"/>
      <c r="N773" s="2242"/>
      <c r="O773" s="2283"/>
      <c r="P773" s="2283"/>
      <c r="Q773" s="2283"/>
      <c r="R773" s="2283"/>
      <c r="S773" s="2283"/>
      <c r="T773" s="2280"/>
      <c r="U773" s="2281"/>
      <c r="V773" s="2281"/>
      <c r="W773" s="2282"/>
      <c r="X773" s="2237"/>
      <c r="Y773" s="2238"/>
      <c r="Z773" s="2238"/>
      <c r="AA773" s="2238"/>
      <c r="AB773" s="223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40"/>
      <c r="K774" s="2241"/>
      <c r="L774" s="2241"/>
      <c r="M774" s="2241"/>
      <c r="N774" s="2242"/>
      <c r="O774" s="2283"/>
      <c r="P774" s="2283"/>
      <c r="Q774" s="2283"/>
      <c r="R774" s="2283"/>
      <c r="S774" s="2283"/>
      <c r="T774" s="2280"/>
      <c r="U774" s="2281"/>
      <c r="V774" s="2281"/>
      <c r="W774" s="2282"/>
      <c r="X774" s="2237"/>
      <c r="Y774" s="2238"/>
      <c r="Z774" s="2238"/>
      <c r="AA774" s="2238"/>
      <c r="AB774" s="223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40"/>
      <c r="K775" s="2241"/>
      <c r="L775" s="2241"/>
      <c r="M775" s="2241"/>
      <c r="N775" s="2242"/>
      <c r="O775" s="2283"/>
      <c r="P775" s="2283"/>
      <c r="Q775" s="2283"/>
      <c r="R775" s="2283"/>
      <c r="S775" s="2283"/>
      <c r="T775" s="2280"/>
      <c r="U775" s="2281"/>
      <c r="V775" s="2281"/>
      <c r="W775" s="2282"/>
      <c r="X775" s="2237"/>
      <c r="Y775" s="2238"/>
      <c r="Z775" s="2238"/>
      <c r="AA775" s="2238"/>
      <c r="AB775" s="223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4" t="s">
        <v>130</v>
      </c>
      <c r="K776" s="2285"/>
      <c r="L776" s="2285"/>
      <c r="M776" s="2285"/>
      <c r="N776" s="2286"/>
      <c r="O776" s="2397">
        <f>SUM(O772:S775)</f>
        <v>3</v>
      </c>
      <c r="P776" s="2398"/>
      <c r="Q776" s="2398"/>
      <c r="R776" s="2398"/>
      <c r="S776" s="2399"/>
      <c r="X776" s="2342" t="s">
        <v>129</v>
      </c>
      <c r="Y776" s="2343"/>
      <c r="Z776" s="2343"/>
      <c r="AA776" s="2343"/>
      <c r="AB776" s="2344"/>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5" t="s">
        <v>704</v>
      </c>
      <c r="K778" s="234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91" t="s">
        <v>406</v>
      </c>
      <c r="K782" s="2292"/>
      <c r="L782" s="2292"/>
      <c r="M782" s="2292"/>
      <c r="N782" s="2293"/>
      <c r="O782" s="2358" t="s">
        <v>290</v>
      </c>
      <c r="P782" s="2358"/>
      <c r="Q782" s="2358"/>
      <c r="R782" s="2358"/>
      <c r="S782" s="2358"/>
      <c r="T782" s="2271" t="s">
        <v>2154</v>
      </c>
      <c r="U782" s="2272"/>
      <c r="V782" s="2272"/>
      <c r="W782" s="2273"/>
      <c r="X782" s="2291" t="s">
        <v>476</v>
      </c>
      <c r="Y782" s="2292"/>
      <c r="Z782" s="2292"/>
      <c r="AA782" s="2292"/>
      <c r="AB782" s="2293"/>
      <c r="AC782" s="2291" t="s">
        <v>291</v>
      </c>
      <c r="AD782" s="2292"/>
      <c r="AE782" s="2292"/>
      <c r="AF782" s="2292"/>
      <c r="AG782" s="2293"/>
      <c r="AH782" s="2408" t="s">
        <v>2394</v>
      </c>
      <c r="AI782" s="2292"/>
      <c r="AJ782" s="2292"/>
      <c r="AK782" s="2292"/>
      <c r="AL782" s="229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94"/>
      <c r="K783" s="2295"/>
      <c r="L783" s="2295"/>
      <c r="M783" s="2295"/>
      <c r="N783" s="2296"/>
      <c r="O783" s="2358"/>
      <c r="P783" s="2358"/>
      <c r="Q783" s="2358"/>
      <c r="R783" s="2358"/>
      <c r="S783" s="2358"/>
      <c r="T783" s="2274"/>
      <c r="U783" s="2275"/>
      <c r="V783" s="2275"/>
      <c r="W783" s="2276"/>
      <c r="X783" s="2294"/>
      <c r="Y783" s="2295"/>
      <c r="Z783" s="2295"/>
      <c r="AA783" s="2295"/>
      <c r="AB783" s="2296"/>
      <c r="AC783" s="2294"/>
      <c r="AD783" s="2295"/>
      <c r="AE783" s="2295"/>
      <c r="AF783" s="2295"/>
      <c r="AG783" s="2296"/>
      <c r="AH783" s="2294"/>
      <c r="AI783" s="2295"/>
      <c r="AJ783" s="2295"/>
      <c r="AK783" s="2295"/>
      <c r="AL783" s="229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94"/>
      <c r="K784" s="2295"/>
      <c r="L784" s="2295"/>
      <c r="M784" s="2295"/>
      <c r="N784" s="2296"/>
      <c r="O784" s="2358"/>
      <c r="P784" s="2358"/>
      <c r="Q784" s="2358"/>
      <c r="R784" s="2358"/>
      <c r="S784" s="2358"/>
      <c r="T784" s="2274"/>
      <c r="U784" s="2275"/>
      <c r="V784" s="2275"/>
      <c r="W784" s="2276"/>
      <c r="X784" s="2294"/>
      <c r="Y784" s="2295"/>
      <c r="Z784" s="2295"/>
      <c r="AA784" s="2295"/>
      <c r="AB784" s="2296"/>
      <c r="AC784" s="2294"/>
      <c r="AD784" s="2295"/>
      <c r="AE784" s="2295"/>
      <c r="AF784" s="2295"/>
      <c r="AG784" s="2296"/>
      <c r="AH784" s="2294"/>
      <c r="AI784" s="2295"/>
      <c r="AJ784" s="2295"/>
      <c r="AK784" s="2295"/>
      <c r="AL784" s="229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97"/>
      <c r="K785" s="2298"/>
      <c r="L785" s="2298"/>
      <c r="M785" s="2298"/>
      <c r="N785" s="2299"/>
      <c r="O785" s="2358"/>
      <c r="P785" s="2358"/>
      <c r="Q785" s="2358"/>
      <c r="R785" s="2358"/>
      <c r="S785" s="2358"/>
      <c r="T785" s="2277"/>
      <c r="U785" s="2278"/>
      <c r="V785" s="2278"/>
      <c r="W785" s="2279"/>
      <c r="X785" s="2297"/>
      <c r="Y785" s="2298"/>
      <c r="Z785" s="2298"/>
      <c r="AA785" s="2298"/>
      <c r="AB785" s="2299"/>
      <c r="AC785" s="2297"/>
      <c r="AD785" s="2298"/>
      <c r="AE785" s="2298"/>
      <c r="AF785" s="2298"/>
      <c r="AG785" s="2299"/>
      <c r="AH785" s="2297"/>
      <c r="AI785" s="2298"/>
      <c r="AJ785" s="2298"/>
      <c r="AK785" s="2298"/>
      <c r="AL785" s="229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40"/>
      <c r="K786" s="2241"/>
      <c r="L786" s="2241"/>
      <c r="M786" s="2241"/>
      <c r="N786" s="2242"/>
      <c r="O786" s="2283"/>
      <c r="P786" s="2283"/>
      <c r="Q786" s="2283"/>
      <c r="R786" s="2283"/>
      <c r="S786" s="2283"/>
      <c r="T786" s="2280"/>
      <c r="U786" s="2281"/>
      <c r="V786" s="2281"/>
      <c r="W786" s="2282"/>
      <c r="X786" s="2237"/>
      <c r="Y786" s="2238"/>
      <c r="Z786" s="2238"/>
      <c r="AA786" s="2238"/>
      <c r="AB786" s="223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40"/>
      <c r="K787" s="2241"/>
      <c r="L787" s="2241"/>
      <c r="M787" s="2241"/>
      <c r="N787" s="2242"/>
      <c r="O787" s="2283"/>
      <c r="P787" s="2283"/>
      <c r="Q787" s="2283"/>
      <c r="R787" s="2283"/>
      <c r="S787" s="2283"/>
      <c r="T787" s="2280"/>
      <c r="U787" s="2281"/>
      <c r="V787" s="2281"/>
      <c r="W787" s="2282"/>
      <c r="X787" s="2237"/>
      <c r="Y787" s="2238"/>
      <c r="Z787" s="2238"/>
      <c r="AA787" s="2238"/>
      <c r="AB787" s="223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40"/>
      <c r="K788" s="2241"/>
      <c r="L788" s="2241"/>
      <c r="M788" s="2241"/>
      <c r="N788" s="2242"/>
      <c r="O788" s="2283"/>
      <c r="P788" s="2283"/>
      <c r="Q788" s="2283"/>
      <c r="R788" s="2283"/>
      <c r="S788" s="2283"/>
      <c r="T788" s="2280"/>
      <c r="U788" s="2281"/>
      <c r="V788" s="2281"/>
      <c r="W788" s="2282"/>
      <c r="X788" s="2237"/>
      <c r="Y788" s="2238"/>
      <c r="Z788" s="2238"/>
      <c r="AA788" s="2238"/>
      <c r="AB788" s="223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40"/>
      <c r="K789" s="2241"/>
      <c r="L789" s="2241"/>
      <c r="M789" s="2241"/>
      <c r="N789" s="2242"/>
      <c r="O789" s="2283"/>
      <c r="P789" s="2283"/>
      <c r="Q789" s="2283"/>
      <c r="R789" s="2283"/>
      <c r="S789" s="2283"/>
      <c r="T789" s="2280"/>
      <c r="U789" s="2281"/>
      <c r="V789" s="2281"/>
      <c r="W789" s="2282"/>
      <c r="X789" s="2237"/>
      <c r="Y789" s="2238"/>
      <c r="Z789" s="2238"/>
      <c r="AA789" s="2238"/>
      <c r="AB789" s="223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40"/>
      <c r="K790" s="2241"/>
      <c r="L790" s="2241"/>
      <c r="M790" s="2241"/>
      <c r="N790" s="2242"/>
      <c r="O790" s="2283"/>
      <c r="P790" s="2283"/>
      <c r="Q790" s="2283"/>
      <c r="R790" s="2283"/>
      <c r="S790" s="2283"/>
      <c r="T790" s="2280"/>
      <c r="U790" s="2281"/>
      <c r="V790" s="2281"/>
      <c r="W790" s="2282"/>
      <c r="X790" s="2237"/>
      <c r="Y790" s="2238"/>
      <c r="Z790" s="2238"/>
      <c r="AA790" s="2238"/>
      <c r="AB790" s="223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40"/>
      <c r="K791" s="2241"/>
      <c r="L791" s="2241"/>
      <c r="M791" s="2241"/>
      <c r="N791" s="2242"/>
      <c r="O791" s="2283"/>
      <c r="P791" s="2283"/>
      <c r="Q791" s="2283"/>
      <c r="R791" s="2283"/>
      <c r="S791" s="2283"/>
      <c r="T791" s="2280"/>
      <c r="U791" s="2281"/>
      <c r="V791" s="2281"/>
      <c r="W791" s="2282"/>
      <c r="X791" s="2237"/>
      <c r="Y791" s="2238"/>
      <c r="Z791" s="2238"/>
      <c r="AA791" s="2238"/>
      <c r="AB791" s="223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40"/>
      <c r="K792" s="2241"/>
      <c r="L792" s="2241"/>
      <c r="M792" s="2241"/>
      <c r="N792" s="2242"/>
      <c r="O792" s="2283"/>
      <c r="P792" s="2283"/>
      <c r="Q792" s="2283"/>
      <c r="R792" s="2283"/>
      <c r="S792" s="2283"/>
      <c r="T792" s="2280"/>
      <c r="U792" s="2281"/>
      <c r="V792" s="2281"/>
      <c r="W792" s="2282"/>
      <c r="X792" s="2237"/>
      <c r="Y792" s="2238"/>
      <c r="Z792" s="2238"/>
      <c r="AA792" s="2238"/>
      <c r="AB792" s="223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40"/>
      <c r="K793" s="2241"/>
      <c r="L793" s="2241"/>
      <c r="M793" s="2241"/>
      <c r="N793" s="2242"/>
      <c r="O793" s="2283"/>
      <c r="P793" s="2283"/>
      <c r="Q793" s="2283"/>
      <c r="R793" s="2283"/>
      <c r="S793" s="2283"/>
      <c r="T793" s="2280"/>
      <c r="U793" s="2281"/>
      <c r="V793" s="2281"/>
      <c r="W793" s="2282"/>
      <c r="X793" s="2237"/>
      <c r="Y793" s="2238"/>
      <c r="Z793" s="2238"/>
      <c r="AA793" s="2238"/>
      <c r="AB793" s="223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40"/>
      <c r="K794" s="2241"/>
      <c r="L794" s="2241"/>
      <c r="M794" s="2241"/>
      <c r="N794" s="2242"/>
      <c r="O794" s="2283"/>
      <c r="P794" s="2283"/>
      <c r="Q794" s="2283"/>
      <c r="R794" s="2283"/>
      <c r="S794" s="2283"/>
      <c r="T794" s="2280"/>
      <c r="U794" s="2281"/>
      <c r="V794" s="2281"/>
      <c r="W794" s="2282"/>
      <c r="X794" s="2237"/>
      <c r="Y794" s="2238"/>
      <c r="Z794" s="2238"/>
      <c r="AA794" s="2238"/>
      <c r="AB794" s="223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40"/>
      <c r="K795" s="2241"/>
      <c r="L795" s="2241"/>
      <c r="M795" s="2241"/>
      <c r="N795" s="2242"/>
      <c r="O795" s="2283"/>
      <c r="P795" s="2283"/>
      <c r="Q795" s="2283"/>
      <c r="R795" s="2283"/>
      <c r="S795" s="2283"/>
      <c r="T795" s="2280"/>
      <c r="U795" s="2281"/>
      <c r="V795" s="2281"/>
      <c r="W795" s="2282"/>
      <c r="X795" s="2237"/>
      <c r="Y795" s="2238"/>
      <c r="Z795" s="2238"/>
      <c r="AA795" s="2238"/>
      <c r="AB795" s="223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4" t="s">
        <v>130</v>
      </c>
      <c r="K796" s="2285"/>
      <c r="L796" s="2285"/>
      <c r="M796" s="2285"/>
      <c r="N796" s="2286"/>
      <c r="O796" s="2396">
        <f>SUM(O786:S795)</f>
        <v>0</v>
      </c>
      <c r="P796" s="2396"/>
      <c r="Q796" s="2396"/>
      <c r="R796" s="2396"/>
      <c r="S796" s="2396"/>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9">
        <f>T753+AC776+AC796</f>
        <v>220937</v>
      </c>
      <c r="Z798" s="2359"/>
      <c r="AA798" s="2359"/>
      <c r="AB798" s="2359"/>
      <c r="AC798" s="235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9">
        <f>(T753+AC776+AC796)*12</f>
        <v>2651244</v>
      </c>
      <c r="Z799" s="2359"/>
      <c r="AA799" s="2359"/>
      <c r="AB799" s="2359"/>
      <c r="AC799" s="2359"/>
      <c r="AZ799" s="58"/>
      <c r="BA799" s="51" t="s">
        <v>665</v>
      </c>
      <c r="BB799" s="51"/>
      <c r="BC799" s="51"/>
      <c r="BD799" s="51"/>
      <c r="BE799" s="51"/>
      <c r="BF799" s="51"/>
      <c r="BG799" s="51"/>
      <c r="BH799" s="51"/>
      <c r="BI799" s="51"/>
      <c r="BJ799" s="51"/>
      <c r="BK799" s="51"/>
      <c r="BL799" s="51"/>
      <c r="BM799" s="51"/>
      <c r="BN799" s="2356" t="s">
        <v>500</v>
      </c>
      <c r="BO799" s="2357"/>
      <c r="BP799" s="58"/>
      <c r="BQ799" s="58"/>
      <c r="BR799" s="58"/>
      <c r="BS799" s="51" t="s">
        <v>667</v>
      </c>
      <c r="BT799" s="51"/>
      <c r="BU799" s="51"/>
      <c r="BV799" s="51"/>
      <c r="BW799" s="51"/>
      <c r="BX799" s="51"/>
      <c r="BY799" s="51"/>
      <c r="BZ799" s="51"/>
      <c r="CA799" s="51"/>
      <c r="CB799" s="2353" t="str">
        <f>T189</f>
        <v>Riverside</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7"/>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26900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4500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v>4500</v>
      </c>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31" t="s">
        <v>2593</v>
      </c>
      <c r="Q814" s="2234"/>
      <c r="R814" s="2234"/>
      <c r="S814" s="2234"/>
      <c r="T814" s="2234"/>
      <c r="U814" s="2234"/>
      <c r="V814" s="2234"/>
      <c r="W814" s="2234"/>
      <c r="X814" s="2234"/>
      <c r="Y814" s="2235"/>
      <c r="Z814" s="2023">
        <v>4450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40350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1">
        <f>Z815+Y799+Z807</f>
        <v>2691594</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0" t="s">
        <v>131</v>
      </c>
      <c r="N821" s="2400"/>
      <c r="O821" s="2400"/>
      <c r="P821" s="2401"/>
      <c r="Q821" s="2332" t="s">
        <v>297</v>
      </c>
      <c r="R821" s="2332"/>
      <c r="S821" s="2332"/>
      <c r="T821" s="2332"/>
      <c r="U821" s="2332" t="s">
        <v>298</v>
      </c>
      <c r="V821" s="2332"/>
      <c r="W821" s="2332"/>
      <c r="X821" s="2332"/>
      <c r="Y821" s="2332" t="s">
        <v>299</v>
      </c>
      <c r="Z821" s="2332"/>
      <c r="AA821" s="2332"/>
      <c r="AB821" s="2332"/>
      <c r="AC821" s="2332" t="s">
        <v>370</v>
      </c>
      <c r="AD821" s="2332"/>
      <c r="AE821" s="2332"/>
      <c r="AF821" s="2332"/>
      <c r="AG821" s="2290" t="s">
        <v>343</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2"/>
      <c r="N822" s="2402"/>
      <c r="O822" s="2402"/>
      <c r="P822" s="2403"/>
      <c r="Q822" s="2332"/>
      <c r="R822" s="2332"/>
      <c r="S822" s="2332"/>
      <c r="T822" s="2332"/>
      <c r="U822" s="2332"/>
      <c r="V822" s="2332"/>
      <c r="W822" s="2332"/>
      <c r="X822" s="2332"/>
      <c r="Y822" s="2332"/>
      <c r="Z822" s="2332"/>
      <c r="AA822" s="2332"/>
      <c r="AB822" s="2332"/>
      <c r="AC822" s="2332"/>
      <c r="AD822" s="2332"/>
      <c r="AE822" s="2332"/>
      <c r="AF822" s="2332"/>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65" t="s">
        <v>43</v>
      </c>
      <c r="D823" s="2266"/>
      <c r="E823" s="2266"/>
      <c r="F823" s="2266"/>
      <c r="G823" s="2266"/>
      <c r="H823" s="2266"/>
      <c r="I823" s="80"/>
      <c r="J823" s="80"/>
      <c r="K823" s="80"/>
      <c r="L823" s="81"/>
      <c r="M823" s="2204"/>
      <c r="N823" s="2204"/>
      <c r="O823" s="2204"/>
      <c r="P823" s="2204"/>
      <c r="Q823" s="2204">
        <v>9</v>
      </c>
      <c r="R823" s="2204"/>
      <c r="S823" s="2204"/>
      <c r="T823" s="2204"/>
      <c r="U823" s="2204">
        <v>11</v>
      </c>
      <c r="V823" s="2204"/>
      <c r="W823" s="2204"/>
      <c r="X823" s="2204"/>
      <c r="Y823" s="2204">
        <v>13</v>
      </c>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67" t="s">
        <v>44</v>
      </c>
      <c r="D824" s="2268"/>
      <c r="E824" s="2268"/>
      <c r="F824" s="2268"/>
      <c r="G824" s="2268"/>
      <c r="H824" s="2268"/>
      <c r="I824" s="77"/>
      <c r="J824" s="77"/>
      <c r="K824" s="77"/>
      <c r="L824" s="78"/>
      <c r="M824" s="2204"/>
      <c r="N824" s="2204"/>
      <c r="O824" s="2204"/>
      <c r="P824" s="2204"/>
      <c r="Q824" s="2204">
        <v>11</v>
      </c>
      <c r="R824" s="2204"/>
      <c r="S824" s="2204"/>
      <c r="T824" s="2204"/>
      <c r="U824" s="2204">
        <v>14</v>
      </c>
      <c r="V824" s="2204"/>
      <c r="W824" s="2204"/>
      <c r="X824" s="2204"/>
      <c r="Y824" s="2204">
        <v>17</v>
      </c>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67" t="s">
        <v>45</v>
      </c>
      <c r="D825" s="2268"/>
      <c r="E825" s="2268"/>
      <c r="F825" s="2268"/>
      <c r="G825" s="2268"/>
      <c r="H825" s="2268"/>
      <c r="I825" s="96"/>
      <c r="J825" s="96"/>
      <c r="K825" s="96"/>
      <c r="L825" s="97"/>
      <c r="M825" s="2204"/>
      <c r="N825" s="2204"/>
      <c r="O825" s="2204"/>
      <c r="P825" s="2204"/>
      <c r="Q825" s="2204">
        <v>5</v>
      </c>
      <c r="R825" s="2204"/>
      <c r="S825" s="2204"/>
      <c r="T825" s="2204"/>
      <c r="U825" s="2204">
        <v>7</v>
      </c>
      <c r="V825" s="2204"/>
      <c r="W825" s="2204"/>
      <c r="X825" s="2204"/>
      <c r="Y825" s="2204">
        <v>9</v>
      </c>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67" t="s">
        <v>818</v>
      </c>
      <c r="D826" s="2268"/>
      <c r="E826" s="2268"/>
      <c r="F826" s="2268"/>
      <c r="G826" s="2268"/>
      <c r="H826" s="2268"/>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67" t="s">
        <v>490</v>
      </c>
      <c r="D827" s="2268"/>
      <c r="E827" s="2268"/>
      <c r="F827" s="2268"/>
      <c r="G827" s="2268"/>
      <c r="H827" s="2268"/>
      <c r="I827" s="96"/>
      <c r="J827" s="96"/>
      <c r="K827" s="96"/>
      <c r="L827" s="97"/>
      <c r="M827" s="2204"/>
      <c r="N827" s="2204"/>
      <c r="O827" s="2204"/>
      <c r="P827" s="2204"/>
      <c r="Q827" s="2204">
        <v>18</v>
      </c>
      <c r="R827" s="2204"/>
      <c r="S827" s="2204"/>
      <c r="T827" s="2204"/>
      <c r="U827" s="2204">
        <v>24</v>
      </c>
      <c r="V827" s="2204"/>
      <c r="W827" s="2204"/>
      <c r="X827" s="2204"/>
      <c r="Y827" s="2204">
        <v>31</v>
      </c>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1" t="s">
        <v>839</v>
      </c>
      <c r="D828" s="2268"/>
      <c r="E828" s="2268"/>
      <c r="F828" s="2268"/>
      <c r="G828" s="2268"/>
      <c r="H828" s="2268"/>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045" t="s">
        <v>2675</v>
      </c>
      <c r="G829" s="2217"/>
      <c r="H829" s="2217"/>
      <c r="I829" s="2217"/>
      <c r="J829" s="2217"/>
      <c r="K829" s="2217"/>
      <c r="L829" s="2218"/>
      <c r="M829" s="2204"/>
      <c r="N829" s="2204"/>
      <c r="O829" s="2204"/>
      <c r="P829" s="2204"/>
      <c r="Q829" s="2204">
        <f>8+20</f>
        <v>28</v>
      </c>
      <c r="R829" s="2204"/>
      <c r="S829" s="2204"/>
      <c r="T829" s="2204"/>
      <c r="U829" s="2204">
        <f>11+20</f>
        <v>31</v>
      </c>
      <c r="V829" s="2204"/>
      <c r="W829" s="2204"/>
      <c r="X829" s="2204"/>
      <c r="Y829" s="2204">
        <f>14+20</f>
        <v>34</v>
      </c>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4" t="s">
        <v>129</v>
      </c>
      <c r="D830" s="2285"/>
      <c r="E830" s="2285"/>
      <c r="F830" s="2285"/>
      <c r="G830" s="2285"/>
      <c r="H830" s="2285"/>
      <c r="I830" s="2285"/>
      <c r="J830" s="2285"/>
      <c r="K830" s="2285"/>
      <c r="L830" s="2286"/>
      <c r="M830" s="2300">
        <f>SUM(M823:P829)</f>
        <v>0</v>
      </c>
      <c r="N830" s="2300"/>
      <c r="O830" s="2300"/>
      <c r="P830" s="2300"/>
      <c r="Q830" s="2300">
        <f>SUM(Q823:T829)</f>
        <v>71</v>
      </c>
      <c r="R830" s="2300"/>
      <c r="S830" s="2300"/>
      <c r="T830" s="2300"/>
      <c r="U830" s="2300">
        <f>SUM(U823:X829)</f>
        <v>87</v>
      </c>
      <c r="V830" s="2300"/>
      <c r="W830" s="2300"/>
      <c r="X830" s="2300"/>
      <c r="Y830" s="2300">
        <f>SUM(Y823:AB829)</f>
        <v>104</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2676</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4">
        <v>3200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4">
        <v>2000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4">
        <v>8000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45" t="s">
        <v>2594</v>
      </c>
      <c r="N844" s="2217"/>
      <c r="O844" s="2217"/>
      <c r="P844" s="2217"/>
      <c r="Q844" s="2217"/>
      <c r="R844" s="2217"/>
      <c r="S844" s="2217"/>
      <c r="T844" s="2217"/>
      <c r="U844" s="2217"/>
      <c r="V844" s="2218"/>
      <c r="W844" s="2044">
        <v>12980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1">
        <f>SUM(W840:AC844)</f>
        <v>26180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284" t="s">
        <v>354</v>
      </c>
      <c r="K847" s="2285"/>
      <c r="L847" s="2285"/>
      <c r="M847" s="2285"/>
      <c r="N847" s="2285"/>
      <c r="O847" s="2285"/>
      <c r="P847" s="2285"/>
      <c r="Q847" s="2285"/>
      <c r="R847" s="2285"/>
      <c r="S847" s="2285"/>
      <c r="T847" s="2285"/>
      <c r="U847" s="2285"/>
      <c r="V847" s="2286"/>
      <c r="W847" s="2023">
        <v>81800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5">
        <v>200</v>
      </c>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5">
        <v>3000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5">
        <v>46500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5">
        <v>186400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1">
        <f>SUM(W849:AC852)</f>
        <v>236100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0</v>
      </c>
      <c r="BA854" s="2395"/>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214">
        <v>129120</v>
      </c>
      <c r="X855" s="2215"/>
      <c r="Y855" s="2215"/>
      <c r="Z855" s="2215"/>
      <c r="AA855" s="2215"/>
      <c r="AB855" s="2215"/>
      <c r="AC855" s="221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86">
        <v>4.5</v>
      </c>
      <c r="U856" s="2057"/>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214">
        <v>106500</v>
      </c>
      <c r="X857" s="2215"/>
      <c r="Y857" s="2215"/>
      <c r="Z857" s="2215"/>
      <c r="AA857" s="2215"/>
      <c r="AB857" s="2215"/>
      <c r="AC857" s="221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86">
        <v>3</v>
      </c>
      <c r="U858" s="2057"/>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45" t="s">
        <v>2595</v>
      </c>
      <c r="N859" s="2217"/>
      <c r="O859" s="2217"/>
      <c r="P859" s="2217"/>
      <c r="Q859" s="2217"/>
      <c r="R859" s="2217"/>
      <c r="S859" s="2217"/>
      <c r="T859" s="2217"/>
      <c r="U859" s="2217"/>
      <c r="V859" s="2218"/>
      <c r="W859" s="2214">
        <v>56200</v>
      </c>
      <c r="X859" s="2215"/>
      <c r="Y859" s="2215"/>
      <c r="Z859" s="2215"/>
      <c r="AA859" s="2215"/>
      <c r="AB859" s="2215"/>
      <c r="AC859" s="221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1">
        <f>SUM(W855:AC859)</f>
        <v>291820</v>
      </c>
      <c r="X860" s="2202"/>
      <c r="Y860" s="2202"/>
      <c r="Z860" s="2202"/>
      <c r="AA860" s="2202"/>
      <c r="AB860" s="2202"/>
      <c r="AC860" s="22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214">
        <v>121050</v>
      </c>
      <c r="X861" s="2215"/>
      <c r="Y861" s="2215"/>
      <c r="Z861" s="2215"/>
      <c r="AA861" s="2215"/>
      <c r="AB861" s="2215"/>
      <c r="AC861" s="221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044">
        <v>13450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044">
        <v>159750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044">
        <v>79900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044">
        <v>3200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044">
        <v>66700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044"/>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45" t="s">
        <v>2596</v>
      </c>
      <c r="N869" s="2217"/>
      <c r="O869" s="2217"/>
      <c r="P869" s="2217"/>
      <c r="Q869" s="2217"/>
      <c r="R869" s="2217"/>
      <c r="S869" s="2217"/>
      <c r="T869" s="2217"/>
      <c r="U869" s="2217"/>
      <c r="V869" s="2218"/>
      <c r="W869" s="2044">
        <v>133100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359">
        <f>SUM(W863:AC869)</f>
        <v>456100</v>
      </c>
      <c r="X870" s="2359"/>
      <c r="Y870" s="2359"/>
      <c r="Z870" s="2359"/>
      <c r="AA870" s="2359"/>
      <c r="AB870" s="2359"/>
      <c r="AC870" s="235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045" t="s">
        <v>2597</v>
      </c>
      <c r="N872" s="2217"/>
      <c r="O872" s="2217"/>
      <c r="P872" s="2217"/>
      <c r="Q872" s="2217"/>
      <c r="R872" s="2217"/>
      <c r="S872" s="2217"/>
      <c r="T872" s="2217"/>
      <c r="U872" s="2217"/>
      <c r="V872" s="2218"/>
      <c r="W872" s="2023">
        <v>350</v>
      </c>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045" t="s">
        <v>2598</v>
      </c>
      <c r="N873" s="2217"/>
      <c r="O873" s="2217"/>
      <c r="P873" s="2217"/>
      <c r="Q873" s="2217"/>
      <c r="R873" s="2217"/>
      <c r="S873" s="2217"/>
      <c r="T873" s="2217"/>
      <c r="U873" s="2217"/>
      <c r="V873" s="2218"/>
      <c r="W873" s="2023">
        <v>800</v>
      </c>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36" t="s">
        <v>342</v>
      </c>
      <c r="N874" s="2217"/>
      <c r="O874" s="2217"/>
      <c r="P874" s="2217"/>
      <c r="Q874" s="2217"/>
      <c r="R874" s="2217"/>
      <c r="S874" s="2217"/>
      <c r="T874" s="2217"/>
      <c r="U874" s="2217"/>
      <c r="V874" s="2218"/>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36" t="s">
        <v>342</v>
      </c>
      <c r="N875" s="2217"/>
      <c r="O875" s="2217"/>
      <c r="P875" s="2217"/>
      <c r="Q875" s="2217"/>
      <c r="R875" s="2217"/>
      <c r="S875" s="2217"/>
      <c r="T875" s="2217"/>
      <c r="U875" s="2217"/>
      <c r="V875" s="2218"/>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36" t="s">
        <v>342</v>
      </c>
      <c r="N876" s="2217"/>
      <c r="O876" s="2217"/>
      <c r="P876" s="2217"/>
      <c r="Q876" s="2217"/>
      <c r="R876" s="2217"/>
      <c r="S876" s="2217"/>
      <c r="T876" s="2217"/>
      <c r="U876" s="2217"/>
      <c r="V876" s="2218"/>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91">
        <f>SUM(W872:AC876)</f>
        <v>1150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92">
        <f>W845+W853+W860+W861+W870+W877+W847</f>
        <v>1214200</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4">
        <f>O796+O776+G753</f>
        <v>269</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9">
        <f>IF(ISERROR((ROUNDDOWN(AC881/AC882,0))),0,(ROUNDDOWN(AC881/AC882,0)))</f>
        <v>4513</v>
      </c>
      <c r="AD883" s="2359"/>
      <c r="AE883" s="2359"/>
      <c r="AF883" s="2359"/>
      <c r="AG883" s="2359"/>
      <c r="AH883" s="235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209">
        <v>589139</v>
      </c>
      <c r="AD884" s="2210"/>
      <c r="AE884" s="2210"/>
      <c r="AF884" s="2210"/>
      <c r="AG884" s="2210"/>
      <c r="AH884" s="22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4">
        <v>24000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67250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18100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8" t="s">
        <v>2635</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4">
        <v>8000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8" t="s">
        <v>1033</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91">
        <f>Z896-(Z897+Z898)</f>
        <v>0</v>
      </c>
      <c r="AA899" s="2192"/>
      <c r="AB899" s="2192"/>
      <c r="AC899" s="2192"/>
      <c r="AD899" s="2192"/>
      <c r="AE899" s="219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3"/>
      <c r="BE902" s="239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5"/>
      <c r="BE903" s="233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5"/>
      <c r="BE904" s="233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5"/>
      <c r="BE905" s="233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3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4"/>
      <c r="BE908" s="2394"/>
      <c r="BF908" s="239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5"/>
      <c r="BE909" s="233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3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99" t="s">
        <v>848</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6"/>
      <c r="BB912" s="127"/>
      <c r="BC912" s="127"/>
      <c r="BD912" s="2389"/>
      <c r="BE912" s="233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93" t="s">
        <v>877</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0" t="s">
        <v>409</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194" t="s">
        <v>576</v>
      </c>
      <c r="V915" s="2195"/>
      <c r="W915" s="2195"/>
      <c r="X915" s="2195"/>
      <c r="Y915" s="2195"/>
      <c r="Z915" s="2196"/>
      <c r="AA915" s="2185">
        <v>44000000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194" t="s">
        <v>576</v>
      </c>
      <c r="V916" s="2195"/>
      <c r="W916" s="2195"/>
      <c r="X916" s="2195"/>
      <c r="Y916" s="2195"/>
      <c r="Z916" s="2196"/>
      <c r="AA916" s="2185">
        <v>16000000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194" t="s">
        <v>624</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194" t="s">
        <v>624</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194" t="s">
        <v>624</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194" t="s">
        <v>624</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194" t="s">
        <v>624</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194" t="s">
        <v>624</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194" t="s">
        <v>624</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194" t="s">
        <v>624</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194" t="s">
        <v>624</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194" t="s">
        <v>624</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194" t="s">
        <v>624</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194" t="s">
        <v>624</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194" t="s">
        <v>624</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194" t="s">
        <v>704</v>
      </c>
      <c r="Q930" s="2195"/>
      <c r="R930" s="2195"/>
      <c r="S930" s="2195"/>
      <c r="T930" s="2196"/>
      <c r="U930" s="2194" t="s">
        <v>624</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31" t="s">
        <v>342</v>
      </c>
      <c r="J931" s="2232"/>
      <c r="K931" s="2232"/>
      <c r="L931" s="2232"/>
      <c r="M931" s="2232"/>
      <c r="N931" s="2232"/>
      <c r="O931" s="2232"/>
      <c r="P931" s="2232"/>
      <c r="Q931" s="2232"/>
      <c r="R931" s="2232"/>
      <c r="S931" s="2232"/>
      <c r="T931" s="2233"/>
      <c r="U931" s="2194" t="s">
        <v>624</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31" t="s">
        <v>2677</v>
      </c>
      <c r="J932" s="2234"/>
      <c r="K932" s="2234"/>
      <c r="L932" s="2234"/>
      <c r="M932" s="2234"/>
      <c r="N932" s="2234"/>
      <c r="O932" s="2234"/>
      <c r="P932" s="2234"/>
      <c r="Q932" s="2234"/>
      <c r="R932" s="2234"/>
      <c r="S932" s="2234"/>
      <c r="T932" s="2235"/>
      <c r="U932" s="2194" t="s">
        <v>576</v>
      </c>
      <c r="V932" s="2195"/>
      <c r="W932" s="2195"/>
      <c r="X932" s="2195"/>
      <c r="Y932" s="2195"/>
      <c r="Z932" s="2196"/>
      <c r="AA932" s="2185">
        <v>6030000</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231" t="s">
        <v>2669</v>
      </c>
      <c r="J933" s="2234"/>
      <c r="K933" s="2234"/>
      <c r="L933" s="2234"/>
      <c r="M933" s="2234"/>
      <c r="N933" s="2234"/>
      <c r="O933" s="2234"/>
      <c r="P933" s="2234"/>
      <c r="Q933" s="2234"/>
      <c r="R933" s="2234"/>
      <c r="S933" s="2234"/>
      <c r="T933" s="2235"/>
      <c r="U933" s="2194" t="s">
        <v>704</v>
      </c>
      <c r="V933" s="2195"/>
      <c r="W933" s="2195"/>
      <c r="X933" s="2195"/>
      <c r="Y933" s="2195"/>
      <c r="Z933" s="2196"/>
      <c r="AA933" s="2185">
        <v>361228</v>
      </c>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31" t="s">
        <v>342</v>
      </c>
      <c r="J934" s="2234"/>
      <c r="K934" s="2234"/>
      <c r="L934" s="2234"/>
      <c r="M934" s="2234"/>
      <c r="N934" s="2234"/>
      <c r="O934" s="2234"/>
      <c r="P934" s="2234"/>
      <c r="Q934" s="2234"/>
      <c r="R934" s="2234"/>
      <c r="S934" s="2234"/>
      <c r="T934" s="2235"/>
      <c r="U934" s="2194" t="s">
        <v>624</v>
      </c>
      <c r="V934" s="2195"/>
      <c r="W934" s="2195"/>
      <c r="X934" s="2195"/>
      <c r="Y934" s="2195"/>
      <c r="Z934" s="2196"/>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62"/>
      <c r="N939" s="2189"/>
      <c r="O939" s="2189"/>
      <c r="P939" s="2189"/>
      <c r="Q939" s="2189"/>
      <c r="R939" s="2189"/>
      <c r="S939" s="2190"/>
      <c r="U939" s="103" t="s">
        <v>11</v>
      </c>
      <c r="V939" s="77"/>
      <c r="W939" s="77"/>
      <c r="X939" s="77"/>
      <c r="Y939" s="77"/>
      <c r="Z939" s="77"/>
      <c r="AA939" s="77"/>
      <c r="AB939" s="77"/>
      <c r="AC939" s="77"/>
      <c r="AD939" s="78"/>
      <c r="AE939" s="2362"/>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68" t="s">
        <v>315</v>
      </c>
      <c r="K941" s="2369"/>
      <c r="L941" s="2369"/>
      <c r="M941" s="2369"/>
      <c r="N941" s="2369"/>
      <c r="O941" s="2369"/>
      <c r="P941" s="2369"/>
      <c r="Q941" s="2369"/>
      <c r="R941" s="2369"/>
      <c r="S941" s="2370"/>
      <c r="U941" s="103" t="s">
        <v>943</v>
      </c>
      <c r="V941" s="77"/>
      <c r="W941" s="77"/>
      <c r="AB941" s="2368" t="s">
        <v>315</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22"/>
      <c r="N942" s="2223"/>
      <c r="O942" s="2223"/>
      <c r="P942" s="2223"/>
      <c r="Q942" s="2223"/>
      <c r="R942" s="2223"/>
      <c r="S942" s="2224"/>
      <c r="U942" s="103" t="s">
        <v>13</v>
      </c>
      <c r="V942" s="77"/>
      <c r="W942" s="77"/>
      <c r="X942" s="77"/>
      <c r="Y942" s="77"/>
      <c r="Z942" s="77"/>
      <c r="AA942" s="77"/>
      <c r="AB942" s="77"/>
      <c r="AC942" s="77"/>
      <c r="AD942" s="78"/>
      <c r="AE942" s="2388"/>
      <c r="AF942" s="2223"/>
      <c r="AG942" s="2223"/>
      <c r="AH942" s="2223"/>
      <c r="AI942" s="2223"/>
      <c r="AJ942" s="2223"/>
      <c r="AK942" s="22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085"/>
      <c r="N946" s="2086"/>
      <c r="O946" s="2086"/>
      <c r="P946" s="2086"/>
      <c r="Q946" s="2086"/>
      <c r="R946" s="2086"/>
      <c r="S946" s="2087"/>
      <c r="U946" s="103" t="s">
        <v>603</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211"/>
      <c r="N951" s="2212"/>
      <c r="O951" s="2212"/>
      <c r="P951" s="2212"/>
      <c r="Q951" s="2212"/>
      <c r="R951" s="2212"/>
      <c r="S951" s="2213"/>
      <c r="T951" s="103" t="s">
        <v>846</v>
      </c>
      <c r="U951" s="77"/>
      <c r="V951" s="77"/>
      <c r="W951" s="77"/>
      <c r="X951" s="77"/>
      <c r="Y951" s="77"/>
      <c r="Z951" s="78"/>
      <c r="AA951" s="2211"/>
      <c r="AB951" s="2212"/>
      <c r="AC951" s="2212"/>
      <c r="AD951" s="2212"/>
      <c r="AE951" s="2212"/>
      <c r="AF951" s="2212"/>
      <c r="AG951" s="22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211"/>
      <c r="N952" s="2212"/>
      <c r="O952" s="2212"/>
      <c r="P952" s="2212"/>
      <c r="Q952" s="2212"/>
      <c r="R952" s="2212"/>
      <c r="S952" s="2213"/>
      <c r="T952" s="103" t="s">
        <v>845</v>
      </c>
      <c r="U952" s="77"/>
      <c r="V952" s="77"/>
      <c r="W952" s="77"/>
      <c r="X952" s="77"/>
      <c r="Y952" s="77"/>
      <c r="Z952" s="78"/>
      <c r="AA952" s="2211"/>
      <c r="AB952" s="2212"/>
      <c r="AC952" s="2212"/>
      <c r="AD952" s="2212"/>
      <c r="AE952" s="2212"/>
      <c r="AF952" s="2212"/>
      <c r="AG952" s="22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73" t="s">
        <v>624</v>
      </c>
      <c r="N953" s="2374"/>
      <c r="O953" s="2374"/>
      <c r="P953" s="2374"/>
      <c r="Q953" s="2374"/>
      <c r="R953" s="2374"/>
      <c r="S953" s="2375"/>
      <c r="T953" s="76" t="s">
        <v>345</v>
      </c>
      <c r="U953" s="77"/>
      <c r="V953" s="77"/>
      <c r="W953" s="77"/>
      <c r="X953" s="77"/>
      <c r="Y953" s="77"/>
      <c r="Z953" s="78"/>
      <c r="AA953" s="2211"/>
      <c r="AB953" s="2212"/>
      <c r="AC953" s="2212"/>
      <c r="AD953" s="2212"/>
      <c r="AE953" s="2212"/>
      <c r="AF953" s="2212"/>
      <c r="AG953" s="22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211"/>
      <c r="N954" s="2212"/>
      <c r="O954" s="2212"/>
      <c r="P954" s="2212"/>
      <c r="Q954" s="2212"/>
      <c r="R954" s="2212"/>
      <c r="S954" s="2213"/>
      <c r="T954" s="76" t="s">
        <v>346</v>
      </c>
      <c r="U954" s="77"/>
      <c r="V954" s="77"/>
      <c r="W954" s="77"/>
      <c r="X954" s="77"/>
      <c r="Y954" s="77"/>
      <c r="Z954" s="78"/>
      <c r="AA954" s="2211"/>
      <c r="AB954" s="2212"/>
      <c r="AC954" s="2212"/>
      <c r="AD954" s="2212"/>
      <c r="AE954" s="2212"/>
      <c r="AF954" s="2212"/>
      <c r="AG954" s="22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211"/>
      <c r="N955" s="2212"/>
      <c r="O955" s="2212"/>
      <c r="P955" s="2212"/>
      <c r="Q955" s="2212"/>
      <c r="R955" s="2212"/>
      <c r="S955" s="2213"/>
      <c r="T955" s="76" t="s">
        <v>393</v>
      </c>
      <c r="U955" s="77"/>
      <c r="V955" s="77"/>
      <c r="W955" s="77"/>
      <c r="X955" s="77"/>
      <c r="Y955" s="77"/>
      <c r="Z955" s="78"/>
      <c r="AA955" s="2211"/>
      <c r="AB955" s="2212"/>
      <c r="AC955" s="2212"/>
      <c r="AD955" s="2212"/>
      <c r="AE955" s="2212"/>
      <c r="AF955" s="2212"/>
      <c r="AG955" s="22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76" t="s">
        <v>315</v>
      </c>
      <c r="N956" s="2377"/>
      <c r="O956" s="2377"/>
      <c r="P956" s="2377"/>
      <c r="Q956" s="2377"/>
      <c r="R956" s="2377"/>
      <c r="S956" s="2378"/>
      <c r="T956" s="2228"/>
      <c r="U956" s="2229"/>
      <c r="V956" s="2229"/>
      <c r="W956" s="2229"/>
      <c r="X956" s="2229"/>
      <c r="Y956" s="2229"/>
      <c r="Z956" s="2230"/>
      <c r="AA956" s="2211"/>
      <c r="AB956" s="2212"/>
      <c r="AC956" s="2212"/>
      <c r="AD956" s="2212"/>
      <c r="AE956" s="2212"/>
      <c r="AF956" s="2212"/>
      <c r="AG956" s="22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211"/>
      <c r="N957" s="2212"/>
      <c r="O957" s="2212"/>
      <c r="P957" s="2212"/>
      <c r="Q957" s="2212"/>
      <c r="R957" s="2212"/>
      <c r="S957" s="2213"/>
      <c r="T957" s="2228"/>
      <c r="U957" s="2229"/>
      <c r="V957" s="2229"/>
      <c r="W957" s="2229"/>
      <c r="X957" s="2229"/>
      <c r="Y957" s="2229"/>
      <c r="Z957" s="2230"/>
      <c r="AA957" s="2211"/>
      <c r="AB957" s="2212"/>
      <c r="AC957" s="2212"/>
      <c r="AD957" s="2212"/>
      <c r="AE957" s="2212"/>
      <c r="AF957" s="2212"/>
      <c r="AG957" s="22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363" t="s">
        <v>704</v>
      </c>
      <c r="P958" s="2364"/>
      <c r="Q958" s="139"/>
      <c r="R958" s="139"/>
      <c r="S958" s="140"/>
      <c r="T958" s="71" t="s">
        <v>174</v>
      </c>
      <c r="U958" s="72"/>
      <c r="V958" s="72"/>
      <c r="W958" s="2236" t="s">
        <v>342</v>
      </c>
      <c r="X958" s="2217"/>
      <c r="Y958" s="2217"/>
      <c r="Z958" s="2217"/>
      <c r="AA958" s="2217"/>
      <c r="AB958" s="2217"/>
      <c r="AC958" s="2217"/>
      <c r="AD958" s="2217"/>
      <c r="AE958" s="2217"/>
      <c r="AF958" s="2217"/>
      <c r="AG958" s="22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65" t="s">
        <v>34</v>
      </c>
      <c r="G959" s="2266"/>
      <c r="H959" s="2266"/>
      <c r="I959" s="2266"/>
      <c r="J959" s="2266"/>
      <c r="K959" s="2266"/>
      <c r="L959" s="2266"/>
      <c r="M959" s="2211"/>
      <c r="N959" s="2212"/>
      <c r="O959" s="2212"/>
      <c r="P959" s="2212"/>
      <c r="Q959" s="2212"/>
      <c r="R959" s="2212"/>
      <c r="S959" s="2213"/>
      <c r="T959" s="79"/>
      <c r="U959" s="80"/>
      <c r="V959" s="80"/>
      <c r="W959" s="80"/>
      <c r="X959" s="80"/>
      <c r="Y959" s="80"/>
      <c r="Z959" s="188" t="s">
        <v>139</v>
      </c>
      <c r="AA959" s="2225"/>
      <c r="AB959" s="2226"/>
      <c r="AC959" s="2226"/>
      <c r="AD959" s="2226"/>
      <c r="AE959" s="2226"/>
      <c r="AF959" s="2226"/>
      <c r="AG959" s="22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41" t="s">
        <v>579</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34" t="s">
        <v>671</v>
      </c>
      <c r="E968" s="2135"/>
      <c r="F968" s="2135"/>
      <c r="G968" s="2135"/>
      <c r="H968" s="2135"/>
      <c r="I968" s="2135"/>
      <c r="J968" s="2135"/>
      <c r="K968" s="2135"/>
      <c r="L968" s="2135"/>
      <c r="M968" s="2135"/>
      <c r="N968" s="2135"/>
      <c r="O968" s="2135"/>
      <c r="P968" s="2135"/>
      <c r="Q968" s="2136"/>
      <c r="R968" s="2134" t="s">
        <v>672</v>
      </c>
      <c r="S968" s="2135"/>
      <c r="T968" s="2135"/>
      <c r="U968" s="2135"/>
      <c r="V968" s="2135"/>
      <c r="W968" s="2135"/>
      <c r="X968" s="2135"/>
      <c r="Y968" s="2135"/>
      <c r="Z968" s="2135"/>
      <c r="AA968" s="2136"/>
      <c r="AB968" s="2134" t="s">
        <v>673</v>
      </c>
      <c r="AC968" s="2135"/>
      <c r="AD968" s="2135"/>
      <c r="AE968" s="2135"/>
      <c r="AF968" s="2135"/>
      <c r="AG968" s="2135"/>
      <c r="AH968" s="2135"/>
      <c r="AI968" s="2136"/>
      <c r="AJ968" s="2134" t="s">
        <v>674</v>
      </c>
      <c r="AK968" s="2135"/>
      <c r="AL968" s="2135"/>
      <c r="AM968" s="2135"/>
      <c r="AN968" s="2135"/>
      <c r="AO968" s="2135"/>
      <c r="AP968" s="2135"/>
      <c r="AQ968" s="213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98" t="s">
        <v>666</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228930</v>
      </c>
      <c r="S969" s="2197"/>
      <c r="T969" s="2197"/>
      <c r="U969" s="2197"/>
      <c r="V969" s="2197"/>
      <c r="W969" s="2197"/>
      <c r="X969" s="2197"/>
      <c r="Y969" s="2197"/>
      <c r="Z969" s="2197"/>
      <c r="AA969" s="2197"/>
      <c r="AB969" s="2082">
        <f>BN663</f>
        <v>0</v>
      </c>
      <c r="AC969" s="2083"/>
      <c r="AD969" s="2083"/>
      <c r="AE969" s="2083"/>
      <c r="AF969" s="2083"/>
      <c r="AG969" s="2083"/>
      <c r="AH969" s="2083"/>
      <c r="AI969" s="2084"/>
      <c r="AJ969" s="2179">
        <f>IF(ISERROR((R969*AB969)),0,(R969*AB969))</f>
        <v>0</v>
      </c>
      <c r="AK969" s="2180"/>
      <c r="AL969" s="2180"/>
      <c r="AM969" s="2180"/>
      <c r="AN969" s="2180"/>
      <c r="AO969" s="2180"/>
      <c r="AP969" s="2180"/>
      <c r="AQ969" s="21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98" t="s">
        <v>333</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263954</v>
      </c>
      <c r="S970" s="2197"/>
      <c r="T970" s="2197"/>
      <c r="U970" s="2197"/>
      <c r="V970" s="2197"/>
      <c r="W970" s="2197"/>
      <c r="X970" s="2197"/>
      <c r="Y970" s="2197"/>
      <c r="Z970" s="2197"/>
      <c r="AA970" s="2197"/>
      <c r="AB970" s="2082">
        <f>BS663</f>
        <v>131</v>
      </c>
      <c r="AC970" s="2083"/>
      <c r="AD970" s="2083"/>
      <c r="AE970" s="2083"/>
      <c r="AF970" s="2083"/>
      <c r="AG970" s="2083"/>
      <c r="AH970" s="2083"/>
      <c r="AI970" s="2084"/>
      <c r="AJ970" s="2179">
        <f>IF(ISERROR((R970*AB970)),0,(R970*AB970))</f>
        <v>34577974</v>
      </c>
      <c r="AK970" s="2180"/>
      <c r="AL970" s="2180"/>
      <c r="AM970" s="2180"/>
      <c r="AN970" s="2180"/>
      <c r="AO970" s="2180"/>
      <c r="AP970" s="2180"/>
      <c r="AQ970" s="21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318400</v>
      </c>
      <c r="S971" s="2197"/>
      <c r="T971" s="2197"/>
      <c r="U971" s="2197"/>
      <c r="V971" s="2197"/>
      <c r="W971" s="2197"/>
      <c r="X971" s="2197"/>
      <c r="Y971" s="2197"/>
      <c r="Z971" s="2197"/>
      <c r="AA971" s="2197"/>
      <c r="AB971" s="2082">
        <f>BX663</f>
        <v>70</v>
      </c>
      <c r="AC971" s="2083"/>
      <c r="AD971" s="2083"/>
      <c r="AE971" s="2083"/>
      <c r="AF971" s="2083"/>
      <c r="AG971" s="2083"/>
      <c r="AH971" s="2083"/>
      <c r="AI971" s="2084"/>
      <c r="AJ971" s="2179">
        <f>IF(ISERROR((R971*AB971)),0,(R971*AB971))</f>
        <v>22288000</v>
      </c>
      <c r="AK971" s="2180"/>
      <c r="AL971" s="2180"/>
      <c r="AM971" s="2180"/>
      <c r="AN971" s="2180"/>
      <c r="AO971" s="2180"/>
      <c r="AP971" s="2180"/>
      <c r="AQ971" s="21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407552</v>
      </c>
      <c r="S972" s="2197"/>
      <c r="T972" s="2197"/>
      <c r="U972" s="2197"/>
      <c r="V972" s="2197"/>
      <c r="W972" s="2197"/>
      <c r="X972" s="2197"/>
      <c r="Y972" s="2197"/>
      <c r="Z972" s="2197"/>
      <c r="AA972" s="2197"/>
      <c r="AB972" s="2082">
        <f>CC663</f>
        <v>68</v>
      </c>
      <c r="AC972" s="2083"/>
      <c r="AD972" s="2083"/>
      <c r="AE972" s="2083"/>
      <c r="AF972" s="2083"/>
      <c r="AG972" s="2083"/>
      <c r="AH972" s="2083"/>
      <c r="AI972" s="2084"/>
      <c r="AJ972" s="2179">
        <f>IF(ISERROR((R972*AB972)),0,(R972*AB972))</f>
        <v>27713536</v>
      </c>
      <c r="AK972" s="2180"/>
      <c r="AL972" s="2180"/>
      <c r="AM972" s="2180"/>
      <c r="AN972" s="2180"/>
      <c r="AO972" s="2180"/>
      <c r="AP972" s="2180"/>
      <c r="AQ972" s="21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98" t="s">
        <v>491</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454038</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37" t="s">
        <v>847</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269</v>
      </c>
      <c r="AC974" s="2083"/>
      <c r="AD974" s="2083"/>
      <c r="AE974" s="2083"/>
      <c r="AF974" s="2083"/>
      <c r="AG974" s="2083"/>
      <c r="AH974" s="2083"/>
      <c r="AI974" s="2084"/>
      <c r="AJ974" s="2179"/>
      <c r="AK974" s="2180"/>
      <c r="AL974" s="2180"/>
      <c r="AM974" s="2180"/>
      <c r="AN974" s="2180"/>
      <c r="AO974" s="2180"/>
      <c r="AP974" s="2180"/>
      <c r="AQ974" s="21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6" t="s">
        <v>543</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84579510</v>
      </c>
      <c r="AK975" s="2180"/>
      <c r="AL975" s="2180"/>
      <c r="AM975" s="2180"/>
      <c r="AN975" s="2180"/>
      <c r="AO975" s="2180"/>
      <c r="AP975" s="2180"/>
      <c r="AQ975" s="21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701</v>
      </c>
      <c r="AG976" s="2073"/>
      <c r="AH976" s="2073"/>
      <c r="AI976" s="2074"/>
      <c r="AJ976" s="2182"/>
      <c r="AK976" s="2183"/>
      <c r="AL976" s="2183"/>
      <c r="AM976" s="2183"/>
      <c r="AN976" s="2183"/>
      <c r="AO976" s="2183"/>
      <c r="AP976" s="2183"/>
      <c r="AQ976" s="21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079" t="s">
        <v>1428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704</v>
      </c>
      <c r="AH977" s="2076"/>
      <c r="AI977" s="125"/>
      <c r="AJ977" s="2116">
        <f>ROUND(IF(AND(AG977="yes",D979&gt;0),AJ975*0.2,0),0)</f>
        <v>0</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40" t="s">
        <v>1429</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07" t="s">
        <v>1528</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704</v>
      </c>
      <c r="AH980" s="2078"/>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1526</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107" t="s">
        <v>2169</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704</v>
      </c>
      <c r="AH986" s="2078"/>
      <c r="AI986" s="125"/>
      <c r="AJ986" s="2116">
        <f>ROUND(IF(AG986="yes",AJ975*0.1,0),0)</f>
        <v>0</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70" t="s">
        <v>1527</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266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107" t="s">
        <v>1529</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704</v>
      </c>
      <c r="AH990" s="2078"/>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49" t="s">
        <v>1530</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107" t="s">
        <v>1531</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704</v>
      </c>
      <c r="AH992" s="2078"/>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70" t="s">
        <v>1532</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8" customHeight="1">
      <c r="A995" s="51"/>
      <c r="B995" s="117"/>
      <c r="C995" s="118" t="s">
        <v>223</v>
      </c>
      <c r="D995" s="2079" t="s">
        <v>1533</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704</v>
      </c>
      <c r="AH995" s="2078"/>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70" t="s">
        <v>1534</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8"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0">
        <f>IF(A1044="Yes",0.05,0)</f>
        <v>0</v>
      </c>
    </row>
    <row r="998" spans="1:96" ht="15.0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0">
        <f>IF(A1050="Yes",0.02,0)</f>
        <v>0</v>
      </c>
    </row>
    <row r="999" spans="1:96" s="719" customFormat="1" ht="15.05" customHeight="1">
      <c r="A999" s="51"/>
      <c r="B999" s="117"/>
      <c r="C999" s="118" t="s">
        <v>228</v>
      </c>
      <c r="D999" s="2164" t="s">
        <v>1535</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704</v>
      </c>
      <c r="AH999" s="2078"/>
      <c r="AI999" s="125"/>
      <c r="AJ999" s="2125"/>
      <c r="AK999" s="2126"/>
      <c r="AL999" s="2126"/>
      <c r="AM999" s="2126"/>
      <c r="AN999" s="2126"/>
      <c r="AO999" s="2126"/>
      <c r="AP999" s="2126"/>
      <c r="AQ999" s="2127"/>
      <c r="AR999" s="1583"/>
      <c r="AS999" s="1583"/>
      <c r="AT999" s="1583"/>
      <c r="AU999" s="1583"/>
      <c r="AV999" s="1583"/>
      <c r="AW999" s="1583"/>
      <c r="AX999" s="1583"/>
      <c r="AY999" s="1583"/>
      <c r="BA999" s="320">
        <f>IF(A1056="Yes",0.04,0)</f>
        <v>0</v>
      </c>
      <c r="CR999" s="25"/>
    </row>
    <row r="1000" spans="1:96" ht="12.9">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3"/>
      <c r="AS1000" s="1583"/>
      <c r="AT1000" s="1583"/>
      <c r="AU1000" s="1583"/>
      <c r="AV1000" s="1583"/>
      <c r="AW1000" s="1583"/>
      <c r="AX1000" s="1583"/>
      <c r="AY1000" s="1583"/>
      <c r="BA1000" s="320">
        <f>IF(A1063="Yes",0.04,0)</f>
        <v>0</v>
      </c>
    </row>
    <row r="1001" spans="1:96" ht="12.8" customHeight="1">
      <c r="A1001" s="51"/>
      <c r="B1001" s="119"/>
      <c r="C1001" s="122"/>
      <c r="D1001" s="2170" t="s">
        <v>1536</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3"/>
      <c r="AS1001" s="1583"/>
      <c r="AT1001" s="1583"/>
      <c r="AU1001" s="1583"/>
      <c r="AV1001" s="1583"/>
      <c r="AW1001" s="1583"/>
      <c r="AX1001" s="1583"/>
      <c r="AY1001" s="1583"/>
      <c r="BA1001" s="320">
        <f>IF(A1066="Yes",0.01,0)</f>
        <v>0</v>
      </c>
    </row>
    <row r="1002" spans="1:96" ht="12.8"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173" t="s">
        <v>624</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107" t="s">
        <v>1537</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576</v>
      </c>
      <c r="AH1004" s="2078"/>
      <c r="AI1004" s="125"/>
      <c r="AJ1004" s="2125">
        <f>4439907-361228</f>
        <v>4078679</v>
      </c>
      <c r="AK1004" s="2126"/>
      <c r="AL1004" s="2126"/>
      <c r="AM1004" s="2126"/>
      <c r="AN1004" s="2126"/>
      <c r="AO1004" s="2126"/>
      <c r="AP1004" s="2126"/>
      <c r="AQ1004" s="2127"/>
      <c r="AR1004" s="1583"/>
      <c r="AS1004" s="1583"/>
      <c r="AT1004" s="1583"/>
      <c r="AU1004" s="1583"/>
      <c r="AV1004" s="1583"/>
      <c r="AW1004" s="1583"/>
      <c r="AX1004" s="1583"/>
      <c r="AY1004" s="1583"/>
      <c r="BA1004" s="320">
        <f>IF(A1078="Yes",0.02,0)</f>
        <v>0</v>
      </c>
    </row>
    <row r="1005" spans="1:96" ht="12.8" customHeight="1">
      <c r="A1005" s="51"/>
      <c r="B1005" s="110"/>
      <c r="C1005" s="111"/>
      <c r="D1005" s="2170" t="s">
        <v>2176</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3"/>
      <c r="AS1005" s="1583"/>
      <c r="AT1005" s="1583"/>
      <c r="AU1005" s="1583"/>
      <c r="AV1005" s="1583"/>
      <c r="AW1005" s="1583"/>
      <c r="AX1005" s="1583"/>
      <c r="AY1005" s="1583"/>
      <c r="BA1005" s="321">
        <f>IF(A1082="Yes",0.02,0)</f>
        <v>0</v>
      </c>
    </row>
    <row r="1006" spans="1:96" ht="12.8"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8"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8" customHeight="1">
      <c r="A1008" s="51"/>
      <c r="B1008" s="117"/>
      <c r="C1008" s="118" t="s">
        <v>239</v>
      </c>
      <c r="D1008" s="2079" t="s">
        <v>1538</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704</v>
      </c>
      <c r="AH1008" s="2078"/>
      <c r="AI1008" s="125"/>
      <c r="AJ1008" s="2116">
        <f>ROUND(IF(AG1008="yes",(AJ975*0.1),0),0)</f>
        <v>0</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8" customHeight="1">
      <c r="A1009" s="51"/>
      <c r="B1009" s="110"/>
      <c r="C1009" s="111"/>
      <c r="D1009" s="2170" t="s">
        <v>1539</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8"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8" customHeight="1">
      <c r="A1011" s="51"/>
      <c r="B1011" s="110"/>
      <c r="C1011" s="531" t="s">
        <v>723</v>
      </c>
      <c r="D1011" s="2107" t="s">
        <v>2172</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704</v>
      </c>
      <c r="AH1011" s="2078"/>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8" customHeight="1">
      <c r="A1012" s="51"/>
      <c r="B1012" s="110"/>
      <c r="C1012" s="111"/>
      <c r="D1012" s="2110" t="s">
        <v>2173</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8"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8"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8" customHeight="1">
      <c r="A1015" s="51"/>
      <c r="B1015" s="110"/>
      <c r="C1015" s="531" t="s">
        <v>723</v>
      </c>
      <c r="D1015" s="2079" t="s">
        <v>2174</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1" t="s">
        <v>704</v>
      </c>
      <c r="AH1015" s="2252"/>
      <c r="AI1015" s="121"/>
      <c r="AJ1015" s="2116">
        <f>ROUND(IF(AG1015="yes",(AJ975*0.1),0),0)</f>
        <v>0</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8" customHeight="1">
      <c r="A1016" s="51"/>
      <c r="B1016" s="110"/>
      <c r="C1016" s="111"/>
      <c r="D1016" s="2110" t="s">
        <v>2175</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8"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8"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8"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8" customHeight="1">
      <c r="A1020" s="51"/>
      <c r="B1020" s="117"/>
      <c r="C1020" s="198" t="s">
        <v>1114</v>
      </c>
      <c r="D1020" s="2107" t="s">
        <v>1540</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576</v>
      </c>
      <c r="AH1020" s="2078"/>
      <c r="AI1020" s="125"/>
      <c r="AJ1020" s="2116">
        <f>ROUND(IF(AG1020="yes",(AJ975*0.1),0),0)</f>
        <v>8457951</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8" customHeight="1">
      <c r="A1021" s="51"/>
      <c r="B1021" s="110"/>
      <c r="C1021" s="111"/>
      <c r="D1021" s="2170" t="s">
        <v>1541</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8"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8"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8" customHeight="1">
      <c r="A1024" s="51"/>
      <c r="B1024" s="117"/>
      <c r="C1024" s="198" t="s">
        <v>2170</v>
      </c>
      <c r="D1024" s="2079" t="s">
        <v>2391</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9" t="str">
        <f>IF(X1027&gt;0,"Yes","No")</f>
        <v>No</v>
      </c>
      <c r="AH1024" s="2250"/>
      <c r="AI1024" s="125"/>
      <c r="AJ1024" s="2253">
        <f>IF((X1027=0),0,BA989*AJ975)</f>
        <v>0</v>
      </c>
      <c r="AK1024" s="2254"/>
      <c r="AL1024" s="2254"/>
      <c r="AM1024" s="2254"/>
      <c r="AN1024" s="2254"/>
      <c r="AO1024" s="2254"/>
      <c r="AP1024" s="2254"/>
      <c r="AQ1024" s="2255"/>
      <c r="AR1024" s="1583"/>
      <c r="AS1024" s="1583"/>
      <c r="AT1024" s="1583"/>
      <c r="AU1024" s="1583"/>
      <c r="AV1024" s="1583"/>
      <c r="AW1024" s="1583"/>
      <c r="AX1024" s="1583"/>
      <c r="AY1024" s="1583"/>
    </row>
    <row r="1025" spans="1:96" ht="12.8" customHeight="1">
      <c r="A1025" s="51"/>
      <c r="B1025" s="110"/>
      <c r="C1025" s="702"/>
      <c r="D1025" s="2170" t="s">
        <v>1543</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56"/>
      <c r="AK1025" s="2257"/>
      <c r="AL1025" s="2257"/>
      <c r="AM1025" s="2257"/>
      <c r="AN1025" s="2257"/>
      <c r="AO1025" s="2257"/>
      <c r="AP1025" s="2257"/>
      <c r="AQ1025" s="2258"/>
      <c r="AR1025" s="1583"/>
      <c r="AS1025" s="1583"/>
      <c r="AT1025" s="1583"/>
      <c r="AU1025" s="1583"/>
      <c r="AV1025" s="1583"/>
      <c r="AW1025" s="1583"/>
      <c r="AX1025" s="1583"/>
      <c r="AY1025" s="1583"/>
    </row>
    <row r="1026" spans="1:96" ht="12.8"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56"/>
      <c r="AK1026" s="2257"/>
      <c r="AL1026" s="2257"/>
      <c r="AM1026" s="2257"/>
      <c r="AN1026" s="2257"/>
      <c r="AO1026" s="2257"/>
      <c r="AP1026" s="2257"/>
      <c r="AQ1026" s="2258"/>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247">
        <f>BA987</f>
        <v>266</v>
      </c>
      <c r="J1027" s="2248"/>
      <c r="K1027" s="11"/>
      <c r="L1027" s="200"/>
      <c r="M1027" s="200"/>
      <c r="N1027" s="200"/>
      <c r="O1027" s="200"/>
      <c r="P1027" s="200"/>
      <c r="Q1027" s="200"/>
      <c r="R1027" s="200"/>
      <c r="S1027" s="200"/>
      <c r="T1027" s="200"/>
      <c r="U1027" s="200"/>
      <c r="V1027" s="201" t="s">
        <v>1049</v>
      </c>
      <c r="W1027" s="80"/>
      <c r="X1027" s="2245">
        <f>BG635</f>
        <v>0</v>
      </c>
      <c r="Y1027" s="2246"/>
      <c r="Z1027" s="80"/>
      <c r="AA1027" s="80"/>
      <c r="AB1027" s="80"/>
      <c r="AC1027" s="80"/>
      <c r="AD1027" s="80"/>
      <c r="AE1027" s="81"/>
      <c r="AF1027" s="1622"/>
      <c r="AG1027" s="1623"/>
      <c r="AH1027" s="1623"/>
      <c r="AI1027" s="1624"/>
      <c r="AJ1027" s="2259"/>
      <c r="AK1027" s="2260"/>
      <c r="AL1027" s="2260"/>
      <c r="AM1027" s="2260"/>
      <c r="AN1027" s="2260"/>
      <c r="AO1027" s="2260"/>
      <c r="AP1027" s="2260"/>
      <c r="AQ1027" s="2261"/>
      <c r="AR1027" s="1583"/>
      <c r="AS1027" s="1583"/>
      <c r="AT1027" s="1583"/>
      <c r="AU1027" s="1583"/>
      <c r="AV1027" s="1583"/>
      <c r="AW1027" s="1583"/>
      <c r="AX1027" s="1583"/>
      <c r="AY1027" s="1583"/>
      <c r="CR1027" s="25"/>
    </row>
    <row r="1028" spans="1:96" ht="12.8" customHeight="1">
      <c r="A1028" s="51"/>
      <c r="B1028" s="117"/>
      <c r="C1028" s="198" t="s">
        <v>2171</v>
      </c>
      <c r="D1028" s="2107" t="s">
        <v>2392</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9" t="str">
        <f>IF(X1031&gt;0,"Yes","No")</f>
        <v>Yes</v>
      </c>
      <c r="AH1028" s="2250"/>
      <c r="AI1028" s="121"/>
      <c r="AJ1028" s="2253">
        <f>IF((X1031=0),0,(2*BA990)*AJ975)</f>
        <v>50747706</v>
      </c>
      <c r="AK1028" s="2254"/>
      <c r="AL1028" s="2254"/>
      <c r="AM1028" s="2254"/>
      <c r="AN1028" s="2254"/>
      <c r="AO1028" s="2254"/>
      <c r="AP1028" s="2254"/>
      <c r="AQ1028" s="2255"/>
      <c r="AR1028" s="1583"/>
      <c r="AS1028" s="1583"/>
      <c r="AT1028" s="1583"/>
      <c r="AU1028" s="1583"/>
      <c r="AV1028" s="1583"/>
      <c r="AW1028" s="1583"/>
      <c r="AX1028" s="1583"/>
      <c r="AY1028" s="1583"/>
    </row>
    <row r="1029" spans="1:96" ht="12.8" customHeight="1">
      <c r="A1029" s="51"/>
      <c r="B1029" s="110"/>
      <c r="C1029" s="702"/>
      <c r="D1029" s="2170" t="s">
        <v>1542</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56"/>
      <c r="AK1029" s="2257"/>
      <c r="AL1029" s="2257"/>
      <c r="AM1029" s="2257"/>
      <c r="AN1029" s="2257"/>
      <c r="AO1029" s="2257"/>
      <c r="AP1029" s="2257"/>
      <c r="AQ1029" s="2258"/>
      <c r="AR1029" s="1583"/>
      <c r="AS1029" s="1583"/>
      <c r="AT1029" s="1583"/>
      <c r="AU1029" s="1583"/>
      <c r="AV1029" s="1583"/>
      <c r="AW1029" s="1583"/>
      <c r="AX1029" s="1583"/>
      <c r="AY1029" s="1583"/>
    </row>
    <row r="1030" spans="1:96" ht="12.8"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9"/>
      <c r="AG1030" s="1620"/>
      <c r="AH1030" s="1620"/>
      <c r="AI1030" s="1621"/>
      <c r="AJ1030" s="2256"/>
      <c r="AK1030" s="2257"/>
      <c r="AL1030" s="2257"/>
      <c r="AM1030" s="2257"/>
      <c r="AN1030" s="2257"/>
      <c r="AO1030" s="2257"/>
      <c r="AP1030" s="2257"/>
      <c r="AQ1030" s="2258"/>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247">
        <f>BA987</f>
        <v>266</v>
      </c>
      <c r="J1031" s="2248"/>
      <c r="K1031" s="51"/>
      <c r="L1031" s="200"/>
      <c r="M1031" s="200"/>
      <c r="N1031" s="200"/>
      <c r="O1031" s="200"/>
      <c r="P1031" s="200"/>
      <c r="Q1031" s="200"/>
      <c r="R1031" s="200"/>
      <c r="S1031" s="200"/>
      <c r="T1031" s="200"/>
      <c r="U1031" s="200"/>
      <c r="V1031" s="201" t="s">
        <v>1050</v>
      </c>
      <c r="X1031" s="2245">
        <f>BK635</f>
        <v>81</v>
      </c>
      <c r="Y1031" s="2246"/>
      <c r="AF1031" s="1622"/>
      <c r="AG1031" s="1623"/>
      <c r="AH1031" s="1623"/>
      <c r="AI1031" s="1624"/>
      <c r="AJ1031" s="2259"/>
      <c r="AK1031" s="2260"/>
      <c r="AL1031" s="2260"/>
      <c r="AM1031" s="2260"/>
      <c r="AN1031" s="2260"/>
      <c r="AO1031" s="2260"/>
      <c r="AP1031" s="2260"/>
      <c r="AQ1031" s="2261"/>
      <c r="AR1031" s="1583"/>
      <c r="AS1031" s="1583"/>
      <c r="AT1031" s="1583"/>
      <c r="AU1031" s="1583"/>
      <c r="AV1031" s="1583"/>
      <c r="AW1031" s="1583"/>
      <c r="AX1031" s="1583"/>
      <c r="AY1031" s="1583"/>
      <c r="CR1031" s="25"/>
    </row>
    <row r="1032" spans="1:96" ht="12.8" customHeight="1">
      <c r="A1032" s="51"/>
      <c r="B1032" s="158"/>
      <c r="C1032" s="159"/>
      <c r="D1032" s="2243" t="s">
        <v>544</v>
      </c>
      <c r="E1032" s="2243"/>
      <c r="F1032" s="2243"/>
      <c r="G1032" s="2243"/>
      <c r="H1032" s="2243"/>
      <c r="I1032" s="2243"/>
      <c r="J1032" s="2243"/>
      <c r="K1032" s="2243"/>
      <c r="L1032" s="2243"/>
      <c r="M1032" s="2243"/>
      <c r="N1032" s="2243"/>
      <c r="O1032" s="2243"/>
      <c r="P1032" s="2243"/>
      <c r="Q1032" s="2243"/>
      <c r="R1032" s="2243"/>
      <c r="S1032" s="2243"/>
      <c r="T1032" s="2243"/>
      <c r="U1032" s="2243"/>
      <c r="V1032" s="2243"/>
      <c r="W1032" s="2243"/>
      <c r="X1032" s="2243"/>
      <c r="Y1032" s="2243"/>
      <c r="Z1032" s="2243"/>
      <c r="AA1032" s="2243"/>
      <c r="AB1032" s="2243"/>
      <c r="AC1032" s="2243"/>
      <c r="AD1032" s="2243"/>
      <c r="AE1032" s="2243"/>
      <c r="AF1032" s="2243"/>
      <c r="AG1032" s="2243"/>
      <c r="AH1032" s="2243"/>
      <c r="AI1032" s="2244"/>
      <c r="AJ1032" s="2262">
        <f>SUM(AJ975:AQ1031)</f>
        <v>147863846</v>
      </c>
      <c r="AK1032" s="2263"/>
      <c r="AL1032" s="2263"/>
      <c r="AM1032" s="2263"/>
      <c r="AN1032" s="2263"/>
      <c r="AO1032" s="2263"/>
      <c r="AP1032" s="2263"/>
      <c r="AQ1032" s="22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1" t="s">
        <v>1929</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6">
        <f>R971</f>
        <v>318400</v>
      </c>
      <c r="AE1035" s="2469"/>
      <c r="AF1035" s="2469"/>
      <c r="AG1035" s="2469"/>
      <c r="AH1035" s="2469"/>
      <c r="AI1035" s="2469"/>
      <c r="AJ1035" s="2469"/>
      <c r="AK1035" s="246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0">
        <f>MEDIAN((BR809:BR866))</f>
        <v>364800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7" t="s">
        <v>1931</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-0.12719298245614036</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1" t="s">
        <v>850</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2" t="s">
        <v>624</v>
      </c>
      <c r="B1044" s="2032"/>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2" t="s">
        <v>624</v>
      </c>
      <c r="B1050" s="2032"/>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2" t="s">
        <v>624</v>
      </c>
      <c r="B1056" s="2032"/>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2" t="s">
        <v>624</v>
      </c>
      <c r="B1063" s="2032"/>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2" t="s">
        <v>624</v>
      </c>
      <c r="B1066" s="2032"/>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2" t="s">
        <v>624</v>
      </c>
      <c r="B1071" s="2032"/>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2" t="s">
        <v>624</v>
      </c>
      <c r="B1074" s="2032"/>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2" t="s">
        <v>624</v>
      </c>
      <c r="B1078" s="2032"/>
      <c r="C1078" s="318">
        <v>8</v>
      </c>
      <c r="D1078" s="2338" t="s">
        <v>2166</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5"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5"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1.95"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5" customHeight="1">
      <c r="A1082" s="2032" t="s">
        <v>624</v>
      </c>
      <c r="B1082" s="2032"/>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66" t="s">
        <v>654</v>
      </c>
      <c r="G1" s="2567"/>
      <c r="H1" s="2567"/>
      <c r="I1" s="2567"/>
      <c r="J1" s="2567"/>
      <c r="K1" s="2567"/>
      <c r="L1" s="2567"/>
      <c r="M1" s="2567"/>
      <c r="N1" s="2567"/>
      <c r="O1" s="2567"/>
      <c r="P1" s="2567"/>
      <c r="Q1" s="2567"/>
      <c r="R1" s="2568"/>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2)City of Palm Desert - Housing Auth. Loan</v>
      </c>
      <c r="H2" s="209" t="str">
        <f>Application!B639&amp;Application!C639</f>
        <v>3)CVAG - TUMF Fee Waiver</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4500000</v>
      </c>
      <c r="C4" s="217">
        <v>4500000</v>
      </c>
      <c r="D4" s="217"/>
      <c r="E4" s="217"/>
      <c r="F4" s="217"/>
      <c r="G4" s="217">
        <v>4500000</v>
      </c>
      <c r="H4" s="217"/>
      <c r="I4" s="217"/>
      <c r="J4" s="217"/>
      <c r="K4" s="217"/>
      <c r="L4" s="217"/>
      <c r="M4" s="217"/>
      <c r="N4" s="217"/>
      <c r="O4" s="217"/>
      <c r="P4" s="217"/>
      <c r="Q4" s="217"/>
      <c r="R4" s="879">
        <f>SUM(E4:Q4)</f>
        <v>4500000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4500000</v>
      </c>
      <c r="C8" s="216">
        <f t="shared" ref="C8:Q8" si="0">SUM(C4:C7)</f>
        <v>4500000</v>
      </c>
      <c r="D8" s="216">
        <f t="shared" si="0"/>
        <v>0</v>
      </c>
      <c r="E8" s="216">
        <f t="shared" si="0"/>
        <v>0</v>
      </c>
      <c r="F8" s="216">
        <f t="shared" si="0"/>
        <v>0</v>
      </c>
      <c r="G8" s="216">
        <f t="shared" si="0"/>
        <v>4500000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4500000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2659524</v>
      </c>
      <c r="C10" s="217">
        <v>2659524</v>
      </c>
      <c r="D10" s="217"/>
      <c r="E10" s="217">
        <v>2659524</v>
      </c>
      <c r="F10" s="217"/>
      <c r="G10" s="217"/>
      <c r="H10" s="217"/>
      <c r="I10" s="217"/>
      <c r="J10" s="217"/>
      <c r="K10" s="217"/>
      <c r="L10" s="217"/>
      <c r="M10" s="217"/>
      <c r="N10" s="217"/>
      <c r="O10" s="217"/>
      <c r="P10" s="217"/>
      <c r="Q10" s="217"/>
      <c r="R10" s="879">
        <f>SUM(E10:Q10)</f>
        <v>2659524</v>
      </c>
      <c r="S10" s="217">
        <f>R10</f>
        <v>2659524</v>
      </c>
      <c r="T10" s="217"/>
      <c r="U10" s="213"/>
    </row>
    <row r="11" spans="1:21" s="214" customFormat="1">
      <c r="A11" s="219" t="s">
        <v>629</v>
      </c>
      <c r="B11" s="216">
        <f>SUM(C11:D11)</f>
        <v>2659524</v>
      </c>
      <c r="C11" s="216">
        <f t="shared" ref="C11:Q11" si="1">SUM(C9:C10)</f>
        <v>2659524</v>
      </c>
      <c r="D11" s="216">
        <f t="shared" si="1"/>
        <v>0</v>
      </c>
      <c r="E11" s="216">
        <f t="shared" si="1"/>
        <v>2659524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2659524</v>
      </c>
      <c r="S11" s="218"/>
      <c r="T11" s="220">
        <f>SUM(T9:T10)</f>
        <v>0</v>
      </c>
      <c r="U11" s="213"/>
    </row>
    <row r="12" spans="1:21" s="214" customFormat="1">
      <c r="A12" s="219" t="s">
        <v>89</v>
      </c>
      <c r="B12" s="216">
        <f t="shared" ref="B12:Q12" si="2">SUM(B8+B11)</f>
        <v>7159524</v>
      </c>
      <c r="C12" s="216">
        <f t="shared" si="2"/>
        <v>7159524</v>
      </c>
      <c r="D12" s="216">
        <f t="shared" si="2"/>
        <v>0</v>
      </c>
      <c r="E12" s="216">
        <f t="shared" si="2"/>
        <v>2659524</v>
      </c>
      <c r="F12" s="216">
        <f t="shared" si="2"/>
        <v>0</v>
      </c>
      <c r="G12" s="216">
        <f t="shared" si="2"/>
        <v>4500000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7159524</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4035000</v>
      </c>
      <c r="C29" s="217">
        <v>4035000</v>
      </c>
      <c r="D29" s="217"/>
      <c r="E29" s="217">
        <v>4035000</v>
      </c>
      <c r="F29" s="217"/>
      <c r="G29" s="217"/>
      <c r="H29" s="217"/>
      <c r="I29" s="217"/>
      <c r="J29" s="217"/>
      <c r="K29" s="217"/>
      <c r="L29" s="217"/>
      <c r="M29" s="217"/>
      <c r="N29" s="217"/>
      <c r="O29" s="217"/>
      <c r="P29" s="217"/>
      <c r="Q29" s="217"/>
      <c r="R29" s="879">
        <f t="shared" ref="R29:R37" si="7">SUM(E29:Q29)</f>
        <v>4035000</v>
      </c>
      <c r="S29" s="217">
        <f>R29</f>
        <v>4035000</v>
      </c>
      <c r="T29" s="217"/>
      <c r="U29" s="213"/>
    </row>
    <row r="30" spans="1:21" s="214" customFormat="1">
      <c r="A30" s="215" t="s">
        <v>632</v>
      </c>
      <c r="B30" s="216">
        <f t="shared" si="6"/>
        <v>39372974</v>
      </c>
      <c r="C30" s="217">
        <v>39372974</v>
      </c>
      <c r="D30" s="217"/>
      <c r="E30" s="217">
        <v>18842974</v>
      </c>
      <c r="F30" s="217">
        <v>19000000</v>
      </c>
      <c r="G30" s="217">
        <v>1530000</v>
      </c>
      <c r="H30" s="217"/>
      <c r="I30" s="217"/>
      <c r="J30" s="217"/>
      <c r="K30" s="217"/>
      <c r="L30" s="217"/>
      <c r="M30" s="217"/>
      <c r="N30" s="217"/>
      <c r="O30" s="217"/>
      <c r="P30" s="217"/>
      <c r="Q30" s="217"/>
      <c r="R30" s="879">
        <f t="shared" si="7"/>
        <v>39372974</v>
      </c>
      <c r="S30" s="217">
        <f>R30</f>
        <v>39372974</v>
      </c>
      <c r="T30" s="217"/>
      <c r="U30" s="213"/>
    </row>
    <row r="31" spans="1:21" s="214" customFormat="1">
      <c r="A31" s="215" t="s">
        <v>633</v>
      </c>
      <c r="B31" s="216">
        <f t="shared" si="6"/>
        <v>2764050</v>
      </c>
      <c r="C31" s="217">
        <v>2764050</v>
      </c>
      <c r="D31" s="217"/>
      <c r="E31" s="217">
        <v>2764050</v>
      </c>
      <c r="F31" s="217"/>
      <c r="G31" s="217"/>
      <c r="H31" s="217"/>
      <c r="I31" s="217"/>
      <c r="J31" s="217"/>
      <c r="K31" s="217"/>
      <c r="L31" s="217"/>
      <c r="M31" s="217"/>
      <c r="N31" s="217"/>
      <c r="O31" s="217"/>
      <c r="P31" s="217"/>
      <c r="Q31" s="217"/>
      <c r="R31" s="879">
        <f t="shared" si="7"/>
        <v>2764050</v>
      </c>
      <c r="S31" s="217">
        <f>R31</f>
        <v>2764050</v>
      </c>
      <c r="T31" s="217"/>
      <c r="U31" s="213"/>
    </row>
    <row r="32" spans="1:21" s="214" customFormat="1">
      <c r="A32" s="215" t="s">
        <v>142</v>
      </c>
      <c r="B32" s="216">
        <f t="shared" si="6"/>
        <v>976631</v>
      </c>
      <c r="C32" s="217">
        <v>976631</v>
      </c>
      <c r="D32" s="217"/>
      <c r="E32" s="217">
        <v>976631</v>
      </c>
      <c r="F32" s="217"/>
      <c r="G32" s="217"/>
      <c r="H32" s="217"/>
      <c r="I32" s="217"/>
      <c r="J32" s="217"/>
      <c r="K32" s="217"/>
      <c r="L32" s="217"/>
      <c r="M32" s="217"/>
      <c r="N32" s="217"/>
      <c r="O32" s="217"/>
      <c r="P32" s="217"/>
      <c r="Q32" s="217"/>
      <c r="R32" s="879">
        <f t="shared" si="7"/>
        <v>976631</v>
      </c>
      <c r="S32" s="217">
        <f>R32</f>
        <v>976631</v>
      </c>
      <c r="T32" s="217"/>
      <c r="U32" s="213"/>
    </row>
    <row r="33" spans="1:21" s="214" customFormat="1">
      <c r="A33" s="215" t="s">
        <v>143</v>
      </c>
      <c r="B33" s="216">
        <f t="shared" si="6"/>
        <v>2929893</v>
      </c>
      <c r="C33" s="217">
        <v>2929893</v>
      </c>
      <c r="D33" s="217"/>
      <c r="E33" s="217">
        <v>2929893</v>
      </c>
      <c r="F33" s="217"/>
      <c r="G33" s="217"/>
      <c r="H33" s="217"/>
      <c r="I33" s="217"/>
      <c r="J33" s="217"/>
      <c r="K33" s="217"/>
      <c r="L33" s="217"/>
      <c r="M33" s="217"/>
      <c r="N33" s="217"/>
      <c r="O33" s="217"/>
      <c r="P33" s="217"/>
      <c r="Q33" s="217"/>
      <c r="R33" s="879">
        <f t="shared" si="7"/>
        <v>2929893</v>
      </c>
      <c r="S33" s="217">
        <f>R33</f>
        <v>2929893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436100</v>
      </c>
      <c r="C35" s="217">
        <v>436100</v>
      </c>
      <c r="D35" s="217"/>
      <c r="E35" s="217">
        <v>436100</v>
      </c>
      <c r="F35" s="217"/>
      <c r="G35" s="217"/>
      <c r="H35" s="217"/>
      <c r="I35" s="217"/>
      <c r="J35" s="217"/>
      <c r="K35" s="217"/>
      <c r="L35" s="217"/>
      <c r="M35" s="217"/>
      <c r="N35" s="217"/>
      <c r="O35" s="217"/>
      <c r="P35" s="217"/>
      <c r="Q35" s="217"/>
      <c r="R35" s="879">
        <f t="shared" si="7"/>
        <v>436100</v>
      </c>
      <c r="S35" s="217">
        <f>R35</f>
        <v>436100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50514648</v>
      </c>
      <c r="C38" s="216">
        <f>SUM(C29:C37)</f>
        <v>50514648</v>
      </c>
      <c r="D38" s="216">
        <f t="shared" ref="D38:Q38" si="8">SUM(D29:D37)</f>
        <v>0</v>
      </c>
      <c r="E38" s="216">
        <f t="shared" si="8"/>
        <v>29984648</v>
      </c>
      <c r="F38" s="216">
        <f t="shared" si="8"/>
        <v>19000000</v>
      </c>
      <c r="G38" s="216">
        <f t="shared" si="8"/>
        <v>1530000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50514648</v>
      </c>
      <c r="S38" s="220">
        <f>SUM(S29:S37)</f>
        <v>50514648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9">
        <f>SUM(E40:Q40)</f>
        <v>600000</v>
      </c>
      <c r="S40" s="217">
        <f>R40</f>
        <v>600000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9">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2520000</v>
      </c>
      <c r="C45" s="217">
        <f>1760000+760000</f>
        <v>2520000</v>
      </c>
      <c r="D45" s="217"/>
      <c r="E45" s="217">
        <f>1760000+760000</f>
        <v>2520000</v>
      </c>
      <c r="F45" s="217"/>
      <c r="G45" s="217"/>
      <c r="H45" s="217"/>
      <c r="I45" s="217"/>
      <c r="J45" s="217"/>
      <c r="K45" s="217"/>
      <c r="L45" s="217"/>
      <c r="M45" s="217"/>
      <c r="N45" s="217"/>
      <c r="O45" s="217"/>
      <c r="P45" s="217"/>
      <c r="Q45" s="217"/>
      <c r="R45" s="879">
        <f t="shared" ref="R45:R53" si="11">SUM(E45:Q45)</f>
        <v>2520000</v>
      </c>
      <c r="S45" s="217">
        <f>R45</f>
        <v>2520000</v>
      </c>
      <c r="T45" s="217"/>
      <c r="U45" s="213"/>
    </row>
    <row r="46" spans="1:21" s="214" customFormat="1">
      <c r="A46" s="215" t="s">
        <v>156</v>
      </c>
      <c r="B46" s="216">
        <f t="shared" si="10"/>
        <v>330000</v>
      </c>
      <c r="C46" s="217">
        <v>330000</v>
      </c>
      <c r="D46" s="217"/>
      <c r="E46" s="217">
        <v>330000</v>
      </c>
      <c r="F46" s="217"/>
      <c r="G46" s="217"/>
      <c r="H46" s="217"/>
      <c r="I46" s="217"/>
      <c r="J46" s="217"/>
      <c r="K46" s="217"/>
      <c r="L46" s="217"/>
      <c r="M46" s="217"/>
      <c r="N46" s="217"/>
      <c r="O46" s="217"/>
      <c r="P46" s="217"/>
      <c r="Q46" s="217"/>
      <c r="R46" s="879">
        <f t="shared" si="11"/>
        <v>330000</v>
      </c>
      <c r="S46" s="217">
        <f>R46</f>
        <v>330000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400000</v>
      </c>
      <c r="C52" s="217">
        <v>400000</v>
      </c>
      <c r="D52" s="217"/>
      <c r="E52" s="217">
        <v>400000</v>
      </c>
      <c r="F52" s="217"/>
      <c r="G52" s="217"/>
      <c r="H52" s="217"/>
      <c r="I52" s="217"/>
      <c r="J52" s="217"/>
      <c r="K52" s="217"/>
      <c r="L52" s="217"/>
      <c r="M52" s="217"/>
      <c r="N52" s="217"/>
      <c r="O52" s="217"/>
      <c r="P52" s="217"/>
      <c r="Q52" s="217"/>
      <c r="R52" s="879">
        <f t="shared" si="11"/>
        <v>400000</v>
      </c>
      <c r="S52" s="217">
        <f>R52</f>
        <v>400000</v>
      </c>
      <c r="T52" s="217"/>
      <c r="U52" s="213"/>
    </row>
    <row r="53" spans="1:21" s="214" customFormat="1">
      <c r="A53" s="1857" t="s">
        <v>2599</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3700000</v>
      </c>
      <c r="C54" s="220">
        <f t="shared" ref="C54:T54" si="12">SUM(C45:C53)</f>
        <v>3700000</v>
      </c>
      <c r="D54" s="220">
        <f t="shared" si="12"/>
        <v>0</v>
      </c>
      <c r="E54" s="220">
        <f t="shared" si="12"/>
        <v>3700000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3700000</v>
      </c>
      <c r="S54" s="220">
        <f t="shared" si="12"/>
        <v>3700000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95000</v>
      </c>
      <c r="C56" s="217">
        <v>95000</v>
      </c>
      <c r="D56" s="217"/>
      <c r="E56" s="217">
        <v>95000</v>
      </c>
      <c r="F56" s="217"/>
      <c r="G56" s="217"/>
      <c r="H56" s="217"/>
      <c r="I56" s="217"/>
      <c r="J56" s="217"/>
      <c r="K56" s="217"/>
      <c r="L56" s="217"/>
      <c r="M56" s="217"/>
      <c r="N56" s="217"/>
      <c r="O56" s="217"/>
      <c r="P56" s="217"/>
      <c r="Q56" s="217"/>
      <c r="R56" s="879">
        <f t="shared" ref="R56:R61" si="14">SUM(E56:Q56)</f>
        <v>95000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2600</v>
      </c>
      <c r="B61" s="216">
        <f t="shared" si="13"/>
        <v>80000</v>
      </c>
      <c r="C61" s="217">
        <v>80000</v>
      </c>
      <c r="D61" s="217"/>
      <c r="E61" s="217">
        <v>80000</v>
      </c>
      <c r="F61" s="217"/>
      <c r="G61" s="217"/>
      <c r="H61" s="217"/>
      <c r="I61" s="217"/>
      <c r="J61" s="217"/>
      <c r="K61" s="217"/>
      <c r="L61" s="217"/>
      <c r="M61" s="217"/>
      <c r="N61" s="217"/>
      <c r="O61" s="217"/>
      <c r="P61" s="217"/>
      <c r="Q61" s="217"/>
      <c r="R61" s="879">
        <f t="shared" si="14"/>
        <v>80000</v>
      </c>
      <c r="S61" s="218"/>
      <c r="T61" s="218"/>
      <c r="U61" s="213"/>
    </row>
    <row r="62" spans="1:21" s="214" customFormat="1" ht="13.7" customHeight="1">
      <c r="A62" s="219" t="s">
        <v>308</v>
      </c>
      <c r="B62" s="216">
        <f>SUM(C62:D62)</f>
        <v>225000</v>
      </c>
      <c r="C62" s="216">
        <f t="shared" ref="C62:R62" si="15">SUM(C56:C61)</f>
        <v>225000</v>
      </c>
      <c r="D62" s="216">
        <f t="shared" si="15"/>
        <v>0</v>
      </c>
      <c r="E62" s="216">
        <f t="shared" si="15"/>
        <v>225000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225000</v>
      </c>
      <c r="S62" s="218"/>
      <c r="T62" s="218"/>
      <c r="U62" s="213"/>
    </row>
    <row r="63" spans="1:21" s="214" customFormat="1">
      <c r="A63" s="225" t="s">
        <v>309</v>
      </c>
      <c r="B63" s="216">
        <f t="shared" ref="B63:R63" si="16">SUM(B8+B11+B13+B14+B15+B26+B27+B38+B42+B43+B54+B62)</f>
        <v>62589172</v>
      </c>
      <c r="C63" s="216">
        <f t="shared" si="16"/>
        <v>62589172</v>
      </c>
      <c r="D63" s="216">
        <f t="shared" si="16"/>
        <v>0</v>
      </c>
      <c r="E63" s="216">
        <f t="shared" si="16"/>
        <v>37559172</v>
      </c>
      <c r="F63" s="216">
        <f t="shared" si="16"/>
        <v>19000000</v>
      </c>
      <c r="G63" s="216">
        <f t="shared" si="16"/>
        <v>6030000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62589172</v>
      </c>
      <c r="S63" s="216">
        <f>SUM(S10+S13+S14+S15+S26+S27+S38+S42+S43+S54)</f>
        <v>57864172</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589139</v>
      </c>
      <c r="C75" s="217">
        <v>589139</v>
      </c>
      <c r="D75" s="217"/>
      <c r="E75" s="217">
        <v>589139</v>
      </c>
      <c r="F75" s="217"/>
      <c r="G75" s="217"/>
      <c r="H75" s="217"/>
      <c r="I75" s="217"/>
      <c r="J75" s="217"/>
      <c r="K75" s="217"/>
      <c r="L75" s="217"/>
      <c r="M75" s="217"/>
      <c r="N75" s="217"/>
      <c r="O75" s="217"/>
      <c r="P75" s="217"/>
      <c r="Q75" s="217"/>
      <c r="R75" s="879">
        <f>SUM(E75:Q75)</f>
        <v>589139</v>
      </c>
      <c r="S75" s="218"/>
      <c r="T75" s="218"/>
      <c r="U75" s="213"/>
    </row>
    <row r="76" spans="1:21" s="214" customFormat="1">
      <c r="A76" s="1857" t="s">
        <v>2601</v>
      </c>
      <c r="B76" s="216">
        <f>SUM(C76+D76)</f>
        <v>250000</v>
      </c>
      <c r="C76" s="217">
        <v>250000</v>
      </c>
      <c r="D76" s="217"/>
      <c r="E76" s="217">
        <v>250000</v>
      </c>
      <c r="F76" s="217"/>
      <c r="G76" s="217"/>
      <c r="H76" s="217"/>
      <c r="I76" s="217"/>
      <c r="J76" s="217"/>
      <c r="K76" s="217"/>
      <c r="L76" s="217"/>
      <c r="M76" s="217"/>
      <c r="N76" s="217"/>
      <c r="O76" s="217"/>
      <c r="P76" s="217"/>
      <c r="Q76" s="217"/>
      <c r="R76" s="879">
        <f>SUM(E76:Q76)</f>
        <v>250000</v>
      </c>
      <c r="S76" s="218"/>
      <c r="T76" s="218"/>
      <c r="U76" s="213"/>
    </row>
    <row r="77" spans="1:21" s="214" customFormat="1">
      <c r="A77" s="219" t="s">
        <v>639</v>
      </c>
      <c r="B77" s="216">
        <f>SUM(C77:D77)</f>
        <v>839139</v>
      </c>
      <c r="C77" s="216">
        <f>SUM(C72:C76)</f>
        <v>839139</v>
      </c>
      <c r="D77" s="216">
        <f>SUM(D72:D76)</f>
        <v>0</v>
      </c>
      <c r="E77" s="216">
        <f t="shared" ref="E77:Q77" si="20">SUM(E72:E76)</f>
        <v>839139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839139</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3000000</v>
      </c>
      <c r="C79" s="217">
        <v>3000000</v>
      </c>
      <c r="D79" s="217"/>
      <c r="E79" s="217">
        <v>3000000</v>
      </c>
      <c r="F79" s="217"/>
      <c r="G79" s="217"/>
      <c r="H79" s="217"/>
      <c r="I79" s="217"/>
      <c r="J79" s="217"/>
      <c r="K79" s="217"/>
      <c r="L79" s="217"/>
      <c r="M79" s="217"/>
      <c r="N79" s="217"/>
      <c r="O79" s="217"/>
      <c r="P79" s="217"/>
      <c r="Q79" s="217"/>
      <c r="R79" s="879">
        <f>SUM(E79:Q79)</f>
        <v>3000000</v>
      </c>
      <c r="S79" s="217">
        <f>R79</f>
        <v>3000000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f>R80</f>
        <v>500000</v>
      </c>
      <c r="T80" s="217"/>
      <c r="U80" s="213"/>
    </row>
    <row r="81" spans="1:21" s="214" customFormat="1">
      <c r="A81" s="219" t="s">
        <v>1416</v>
      </c>
      <c r="B81" s="216">
        <f>SUM(C81:D81)</f>
        <v>3500000</v>
      </c>
      <c r="C81" s="859">
        <f>SUM(C79:C80)</f>
        <v>3500000</v>
      </c>
      <c r="D81" s="859">
        <f t="shared" ref="D81:T81" si="21">SUM(D79:D80)</f>
        <v>0</v>
      </c>
      <c r="E81" s="859">
        <f t="shared" si="21"/>
        <v>3500000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3500000</v>
      </c>
      <c r="S81" s="859">
        <f t="shared" si="21"/>
        <v>3500000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150612</v>
      </c>
      <c r="C83" s="217">
        <v>150612</v>
      </c>
      <c r="D83" s="217"/>
      <c r="E83" s="217">
        <v>150612</v>
      </c>
      <c r="F83" s="217"/>
      <c r="G83" s="217"/>
      <c r="H83" s="217"/>
      <c r="I83" s="217"/>
      <c r="J83" s="217"/>
      <c r="K83" s="217"/>
      <c r="L83" s="217"/>
      <c r="M83" s="217"/>
      <c r="N83" s="217"/>
      <c r="O83" s="217"/>
      <c r="P83" s="217"/>
      <c r="Q83" s="217"/>
      <c r="R83" s="879">
        <f t="shared" ref="R83:R95" si="23">SUM(E83:Q83)</f>
        <v>150612</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4439908</v>
      </c>
      <c r="C85" s="217">
        <v>4439908</v>
      </c>
      <c r="D85" s="217"/>
      <c r="E85" s="217">
        <v>4078680</v>
      </c>
      <c r="F85" s="217"/>
      <c r="G85" s="217"/>
      <c r="H85" s="217">
        <v>361228</v>
      </c>
      <c r="I85" s="217"/>
      <c r="J85" s="217"/>
      <c r="K85" s="217"/>
      <c r="L85" s="217"/>
      <c r="M85" s="217"/>
      <c r="N85" s="217"/>
      <c r="O85" s="217"/>
      <c r="P85" s="217"/>
      <c r="Q85" s="217"/>
      <c r="R85" s="879">
        <f t="shared" si="23"/>
        <v>4439908</v>
      </c>
      <c r="S85" s="217">
        <f>R85</f>
        <v>4439908</v>
      </c>
      <c r="T85" s="217"/>
      <c r="U85" s="213"/>
    </row>
    <row r="86" spans="1:21" s="214" customFormat="1">
      <c r="A86" s="215" t="s">
        <v>825</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183517</v>
      </c>
      <c r="C88" s="217">
        <v>183517</v>
      </c>
      <c r="D88" s="217"/>
      <c r="E88" s="217">
        <v>183517</v>
      </c>
      <c r="F88" s="217"/>
      <c r="G88" s="217"/>
      <c r="H88" s="217"/>
      <c r="I88" s="217"/>
      <c r="J88" s="217"/>
      <c r="K88" s="217"/>
      <c r="L88" s="217"/>
      <c r="M88" s="217"/>
      <c r="N88" s="217"/>
      <c r="O88" s="217"/>
      <c r="P88" s="217"/>
      <c r="Q88" s="217"/>
      <c r="R88" s="879">
        <f t="shared" si="23"/>
        <v>183517</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15000</v>
      </c>
      <c r="C91" s="217">
        <v>15000</v>
      </c>
      <c r="D91" s="217"/>
      <c r="E91" s="217">
        <v>15000</v>
      </c>
      <c r="F91" s="217"/>
      <c r="G91" s="217"/>
      <c r="H91" s="217"/>
      <c r="I91" s="217"/>
      <c r="J91" s="217"/>
      <c r="K91" s="217"/>
      <c r="L91" s="217"/>
      <c r="M91" s="217"/>
      <c r="N91" s="217"/>
      <c r="O91" s="217"/>
      <c r="P91" s="217"/>
      <c r="Q91" s="217"/>
      <c r="R91" s="879">
        <f t="shared" si="23"/>
        <v>15000</v>
      </c>
      <c r="S91" s="217">
        <f>R91</f>
        <v>15000</v>
      </c>
      <c r="T91" s="217"/>
      <c r="U91" s="213"/>
    </row>
    <row r="92" spans="1:21" s="214" customFormat="1">
      <c r="A92" s="1809" t="s">
        <v>1418</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5324037</v>
      </c>
      <c r="C96" s="216">
        <f t="shared" ref="C96:R96" si="24">SUM(C83:C95)</f>
        <v>5324037</v>
      </c>
      <c r="D96" s="216">
        <f t="shared" si="24"/>
        <v>0</v>
      </c>
      <c r="E96" s="216">
        <f t="shared" si="24"/>
        <v>4962809</v>
      </c>
      <c r="F96" s="216">
        <f t="shared" si="24"/>
        <v>0</v>
      </c>
      <c r="G96" s="216">
        <f t="shared" si="24"/>
        <v>0</v>
      </c>
      <c r="H96" s="216">
        <f t="shared" si="24"/>
        <v>361228</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5324037</v>
      </c>
      <c r="S96" s="220">
        <f>SUM(S84:S87,S89:S95)</f>
        <v>4989908</v>
      </c>
      <c r="T96" s="216">
        <f>SUM(T84:T87,T89:T95)</f>
        <v>0</v>
      </c>
      <c r="U96" s="213"/>
    </row>
    <row r="97" spans="1:21" s="214" customFormat="1">
      <c r="A97" s="219" t="s">
        <v>831</v>
      </c>
      <c r="B97" s="216">
        <f>SUM(C97:D97)</f>
        <v>72352348</v>
      </c>
      <c r="C97" s="216">
        <f t="shared" ref="C97:R97" si="25">SUM(C63+C70+C77+C81+C96)</f>
        <v>72352348</v>
      </c>
      <c r="D97" s="216">
        <f t="shared" si="25"/>
        <v>0</v>
      </c>
      <c r="E97" s="216">
        <f t="shared" si="25"/>
        <v>46961120</v>
      </c>
      <c r="F97" s="216">
        <f t="shared" si="25"/>
        <v>19000000</v>
      </c>
      <c r="G97" s="216">
        <f t="shared" si="25"/>
        <v>6030000</v>
      </c>
      <c r="H97" s="216">
        <f t="shared" si="25"/>
        <v>361228</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72352348</v>
      </c>
      <c r="S97" s="216">
        <f>SUM(S63+S70+S81+S96)</f>
        <v>66454080</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9968112</v>
      </c>
      <c r="C99" s="1702">
        <v>9968112</v>
      </c>
      <c r="D99" s="1702"/>
      <c r="E99" s="1702">
        <v>4968112</v>
      </c>
      <c r="F99" s="217"/>
      <c r="G99" s="217"/>
      <c r="H99" s="217"/>
      <c r="I99" s="217">
        <v>5000000</v>
      </c>
      <c r="J99" s="217"/>
      <c r="K99" s="217"/>
      <c r="L99" s="217"/>
      <c r="M99" s="217"/>
      <c r="N99" s="217"/>
      <c r="O99" s="217"/>
      <c r="P99" s="217"/>
      <c r="Q99" s="217"/>
      <c r="R99" s="879">
        <f t="shared" ref="R99:R103" si="26">SUM(E99:Q99)</f>
        <v>9968112</v>
      </c>
      <c r="S99" s="217">
        <f>R99</f>
        <v>9968112</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9968112</v>
      </c>
      <c r="C104" s="216">
        <f>SUM(C99:C103)</f>
        <v>9968112</v>
      </c>
      <c r="D104" s="216">
        <f t="shared" ref="D104:T104" si="28">SUM(D99:D103)</f>
        <v>0</v>
      </c>
      <c r="E104" s="216">
        <f t="shared" si="28"/>
        <v>4968112</v>
      </c>
      <c r="F104" s="216">
        <f t="shared" si="28"/>
        <v>0</v>
      </c>
      <c r="G104" s="216">
        <f t="shared" si="28"/>
        <v>0</v>
      </c>
      <c r="H104" s="216">
        <f t="shared" si="28"/>
        <v>0</v>
      </c>
      <c r="I104" s="216">
        <f t="shared" si="28"/>
        <v>5000000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9968112</v>
      </c>
      <c r="S104" s="220">
        <f t="shared" si="28"/>
        <v>9968112</v>
      </c>
      <c r="T104" s="220">
        <f t="shared" si="28"/>
        <v>0</v>
      </c>
      <c r="U104" s="213"/>
    </row>
    <row r="105" spans="1:21" s="214" customFormat="1">
      <c r="A105" s="219" t="s">
        <v>836</v>
      </c>
      <c r="B105" s="220">
        <f>SUM(C105:D105)</f>
        <v>82320460</v>
      </c>
      <c r="C105" s="220">
        <f t="shared" ref="C105:R105" si="29">SUM(C97+C104)</f>
        <v>82320460</v>
      </c>
      <c r="D105" s="220">
        <f t="shared" si="29"/>
        <v>0</v>
      </c>
      <c r="E105" s="220">
        <f t="shared" si="29"/>
        <v>51929232</v>
      </c>
      <c r="F105" s="220">
        <f t="shared" si="29"/>
        <v>19000000</v>
      </c>
      <c r="G105" s="220">
        <f t="shared" si="29"/>
        <v>6030000</v>
      </c>
      <c r="H105" s="220">
        <f t="shared" si="29"/>
        <v>361228</v>
      </c>
      <c r="I105" s="220">
        <f t="shared" si="29"/>
        <v>5000000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82320460</v>
      </c>
      <c r="S105" s="220">
        <f>S97+S104</f>
        <v>76422192</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76422192</v>
      </c>
      <c r="T107" s="234">
        <f>T105+T106</f>
        <v>0</v>
      </c>
    </row>
    <row r="108" spans="1:21" s="300" customFormat="1">
      <c r="A108" s="233" t="s">
        <v>942</v>
      </c>
      <c r="B108" s="228"/>
      <c r="C108" s="228"/>
      <c r="D108" s="228"/>
      <c r="E108" s="464">
        <f>Application!AO650</f>
        <v>51929232</v>
      </c>
      <c r="F108" s="464">
        <f>Application!AO637</f>
        <v>19000000</v>
      </c>
      <c r="G108" s="464">
        <f>Application!AO638</f>
        <v>6030000</v>
      </c>
      <c r="H108" s="464">
        <f>Application!AO639</f>
        <v>361228</v>
      </c>
      <c r="I108" s="464">
        <f>Application!AO640</f>
        <v>5000000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2" t="s">
        <v>1093</v>
      </c>
      <c r="E122" s="2572"/>
      <c r="F122" s="2572"/>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5" t="s">
        <v>1436</v>
      </c>
      <c r="E123" s="2576"/>
      <c r="F123" s="2576"/>
      <c r="G123" s="2576"/>
      <c r="H123" s="2576"/>
      <c r="I123" s="2576"/>
      <c r="J123" s="2576"/>
      <c r="K123" s="2576"/>
      <c r="L123" s="2576"/>
      <c r="M123" s="2576"/>
      <c r="N123" s="2576"/>
      <c r="O123" s="2576"/>
      <c r="P123" s="2576"/>
      <c r="Q123" s="2576"/>
      <c r="R123" s="2576"/>
      <c r="S123" s="2576"/>
      <c r="T123" s="514"/>
      <c r="U123" s="516"/>
    </row>
    <row r="124" spans="1:21" ht="12.9">
      <c r="A124" s="513" t="s">
        <v>1095</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2.9">
      <c r="A125" s="513" t="s">
        <v>1096</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69"/>
      <c r="E128" s="2569"/>
      <c r="F128" s="2569"/>
      <c r="G128" s="2569"/>
      <c r="H128" s="2569"/>
      <c r="I128" s="513"/>
      <c r="J128" s="2570"/>
      <c r="K128" s="2570"/>
      <c r="L128" s="513"/>
      <c r="M128" s="513"/>
      <c r="N128" s="513"/>
      <c r="O128" s="513"/>
      <c r="P128" s="513"/>
      <c r="Q128" s="513"/>
      <c r="R128" s="513"/>
      <c r="S128" s="513"/>
      <c r="T128" s="514"/>
      <c r="U128" s="516"/>
    </row>
    <row r="129" spans="1:21" ht="12.9">
      <c r="A129" s="513" t="s">
        <v>307</v>
      </c>
      <c r="B129" s="523"/>
      <c r="C129" s="513"/>
      <c r="D129" s="2571" t="s">
        <v>1100</v>
      </c>
      <c r="E129" s="2571"/>
      <c r="F129" s="2571"/>
      <c r="G129" s="2571"/>
      <c r="H129" s="2571"/>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553"/>
      <c r="E131" s="2553"/>
      <c r="F131" s="2553"/>
      <c r="G131" s="2553"/>
      <c r="H131" s="2553"/>
      <c r="I131" s="513"/>
      <c r="J131" s="2553"/>
      <c r="K131" s="2553"/>
      <c r="L131" s="2553"/>
      <c r="M131" s="2553"/>
      <c r="N131" s="513"/>
      <c r="O131" s="513"/>
      <c r="P131" s="513"/>
      <c r="Q131" s="513"/>
      <c r="R131" s="513"/>
      <c r="S131" s="513"/>
      <c r="T131" s="514"/>
      <c r="U131" s="516"/>
    </row>
    <row r="132" spans="1:21" ht="11.95" customHeight="1">
      <c r="A132" s="527"/>
      <c r="B132" s="513"/>
      <c r="C132" s="513"/>
      <c r="D132" s="2577" t="s">
        <v>1103</v>
      </c>
      <c r="E132" s="2577"/>
      <c r="F132" s="2577"/>
      <c r="G132" s="2577"/>
      <c r="H132" s="2577"/>
      <c r="I132" s="513"/>
      <c r="J132" s="2577" t="s">
        <v>1104</v>
      </c>
      <c r="K132" s="2577"/>
      <c r="L132" s="2577"/>
      <c r="M132" s="2577"/>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8"/>
      <c r="B138" s="2579"/>
      <c r="C138" s="2579"/>
      <c r="D138" s="518"/>
      <c r="E138" s="2570"/>
      <c r="F138" s="2570"/>
      <c r="G138" s="513"/>
      <c r="H138" s="513"/>
      <c r="I138" s="513"/>
      <c r="J138" s="513"/>
      <c r="K138" s="513"/>
      <c r="L138" s="513"/>
      <c r="M138" s="513"/>
      <c r="N138" s="513"/>
      <c r="O138" s="513"/>
      <c r="P138" s="513"/>
      <c r="Q138" s="513"/>
      <c r="R138" s="513"/>
      <c r="S138" s="513"/>
      <c r="T138" s="520"/>
      <c r="U138" s="521"/>
    </row>
    <row r="139" spans="1:21" ht="13.45">
      <c r="A139" s="2573" t="s">
        <v>1107</v>
      </c>
      <c r="B139" s="2574"/>
      <c r="C139" s="2574"/>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6" t="s">
        <v>1439</v>
      </c>
      <c r="B1" s="2587"/>
      <c r="C1" s="2587"/>
      <c r="D1" s="2587"/>
      <c r="E1" s="2587"/>
      <c r="F1" s="2587"/>
      <c r="G1" s="2587"/>
      <c r="H1" s="2587"/>
      <c r="I1" s="2587"/>
      <c r="J1" s="2588"/>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4500000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4500000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2659524</v>
      </c>
      <c r="C10" s="566"/>
      <c r="D10" s="566"/>
      <c r="E10" s="565">
        <f>'Sources and Uses Budget'!S10</f>
        <v>2659524</v>
      </c>
      <c r="F10" s="566"/>
      <c r="G10" s="566"/>
      <c r="H10" s="565">
        <f>'Sources and Uses Budget'!T10</f>
        <v>0</v>
      </c>
      <c r="I10" s="566"/>
      <c r="J10" s="566"/>
      <c r="K10" s="563"/>
    </row>
    <row r="11" spans="1:11" s="564" customFormat="1">
      <c r="A11" s="569" t="s">
        <v>629</v>
      </c>
      <c r="B11" s="565">
        <f>'Sources and Uses Budget'!C11</f>
        <v>2659524</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7159524</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4035000</v>
      </c>
      <c r="C29" s="566"/>
      <c r="D29" s="566"/>
      <c r="E29" s="565">
        <f>'Sources and Uses Budget'!S29</f>
        <v>4035000</v>
      </c>
      <c r="F29" s="566"/>
      <c r="G29" s="566"/>
      <c r="H29" s="565">
        <f>'Sources and Uses Budget'!T29</f>
        <v>0</v>
      </c>
      <c r="I29" s="566"/>
      <c r="J29" s="566"/>
      <c r="K29" s="563"/>
    </row>
    <row r="30" spans="1:11" s="564" customFormat="1">
      <c r="A30" s="215" t="s">
        <v>632</v>
      </c>
      <c r="B30" s="565">
        <f>'Sources and Uses Budget'!C30</f>
        <v>39372974</v>
      </c>
      <c r="C30" s="566"/>
      <c r="D30" s="566"/>
      <c r="E30" s="565">
        <f>'Sources and Uses Budget'!S30</f>
        <v>39372974</v>
      </c>
      <c r="F30" s="566"/>
      <c r="G30" s="566"/>
      <c r="H30" s="565">
        <f>'Sources and Uses Budget'!T30</f>
        <v>0</v>
      </c>
      <c r="I30" s="566"/>
      <c r="J30" s="566"/>
      <c r="K30" s="563"/>
    </row>
    <row r="31" spans="1:11" s="564" customFormat="1">
      <c r="A31" s="215" t="s">
        <v>633</v>
      </c>
      <c r="B31" s="565">
        <f>'Sources and Uses Budget'!C31</f>
        <v>2764050</v>
      </c>
      <c r="C31" s="566"/>
      <c r="D31" s="566"/>
      <c r="E31" s="565">
        <f>'Sources and Uses Budget'!S31</f>
        <v>2764050</v>
      </c>
      <c r="F31" s="566"/>
      <c r="G31" s="566"/>
      <c r="H31" s="565">
        <f>'Sources and Uses Budget'!T31</f>
        <v>0</v>
      </c>
      <c r="I31" s="566"/>
      <c r="J31" s="566"/>
      <c r="K31" s="563"/>
    </row>
    <row r="32" spans="1:11" s="564" customFormat="1">
      <c r="A32" s="215" t="s">
        <v>142</v>
      </c>
      <c r="B32" s="565">
        <f>'Sources and Uses Budget'!C32</f>
        <v>976631</v>
      </c>
      <c r="C32" s="566"/>
      <c r="D32" s="566"/>
      <c r="E32" s="565">
        <f>'Sources and Uses Budget'!S32</f>
        <v>976631</v>
      </c>
      <c r="F32" s="566"/>
      <c r="G32" s="566"/>
      <c r="H32" s="565">
        <f>'Sources and Uses Budget'!T32</f>
        <v>0</v>
      </c>
      <c r="I32" s="566"/>
      <c r="J32" s="566"/>
      <c r="K32" s="563"/>
    </row>
    <row r="33" spans="1:11" s="564" customFormat="1">
      <c r="A33" s="215" t="s">
        <v>143</v>
      </c>
      <c r="B33" s="565">
        <f>'Sources and Uses Budget'!C33</f>
        <v>2929893</v>
      </c>
      <c r="C33" s="566"/>
      <c r="D33" s="566"/>
      <c r="E33" s="565">
        <f>'Sources and Uses Budget'!S33</f>
        <v>2929893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436100</v>
      </c>
      <c r="C35" s="566"/>
      <c r="D35" s="566"/>
      <c r="E35" s="565">
        <f>'Sources and Uses Budget'!S35</f>
        <v>436100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50514648</v>
      </c>
      <c r="C38" s="565">
        <f>SUM(C29:C37)</f>
        <v>0</v>
      </c>
      <c r="D38" s="565">
        <f>SUM(D29:D37)</f>
        <v>0</v>
      </c>
      <c r="E38" s="565">
        <f>'Sources and Uses Budget'!S38</f>
        <v>50514648</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600000</v>
      </c>
      <c r="C40" s="566"/>
      <c r="D40" s="566"/>
      <c r="E40" s="565">
        <f>'Sources and Uses Budget'!S40</f>
        <v>600000</v>
      </c>
      <c r="F40" s="566"/>
      <c r="G40" s="566"/>
      <c r="H40" s="565">
        <f>'Sources and Uses Budget'!T40</f>
        <v>0</v>
      </c>
      <c r="I40" s="566"/>
      <c r="J40" s="566"/>
      <c r="K40" s="563"/>
    </row>
    <row r="41" spans="1:11" s="564" customFormat="1">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2520000</v>
      </c>
      <c r="C45" s="566"/>
      <c r="D45" s="566"/>
      <c r="E45" s="565">
        <f>'Sources and Uses Budget'!S45</f>
        <v>2520000</v>
      </c>
      <c r="F45" s="566"/>
      <c r="G45" s="566"/>
      <c r="H45" s="565">
        <f>'Sources and Uses Budget'!T45</f>
        <v>0</v>
      </c>
      <c r="I45" s="566"/>
      <c r="J45" s="566"/>
      <c r="K45" s="563"/>
    </row>
    <row r="46" spans="1:11" s="564" customFormat="1">
      <c r="A46" s="568" t="s">
        <v>156</v>
      </c>
      <c r="B46" s="565">
        <f>'Sources and Uses Budget'!C46</f>
        <v>330000</v>
      </c>
      <c r="C46" s="566"/>
      <c r="D46" s="566"/>
      <c r="E46" s="565">
        <f>'Sources and Uses Budget'!S46</f>
        <v>330000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400000</v>
      </c>
      <c r="C52" s="566"/>
      <c r="D52" s="566"/>
      <c r="E52" s="565">
        <f>'Sources and Uses Budget'!S52</f>
        <v>400000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3700000</v>
      </c>
      <c r="C54" s="572">
        <f>SUM(C45:C53)</f>
        <v>0</v>
      </c>
      <c r="D54" s="572">
        <f>SUM(D45:D53)</f>
        <v>0</v>
      </c>
      <c r="E54" s="565">
        <f>'Sources and Uses Budget'!S54</f>
        <v>3700000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95000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80000</v>
      </c>
      <c r="C61" s="566"/>
      <c r="D61" s="566"/>
      <c r="E61" s="567"/>
      <c r="F61" s="567"/>
      <c r="G61" s="567"/>
      <c r="H61" s="567"/>
      <c r="I61" s="567"/>
      <c r="J61" s="567"/>
      <c r="K61" s="563"/>
    </row>
    <row r="62" spans="1:11" s="564" customFormat="1" ht="13.7" customHeight="1">
      <c r="A62" s="569" t="s">
        <v>308</v>
      </c>
      <c r="B62" s="565">
        <f>'Sources and Uses Budget'!C62</f>
        <v>225000</v>
      </c>
      <c r="C62" s="565">
        <f>SUM(C56:C61)</f>
        <v>0</v>
      </c>
      <c r="D62" s="565">
        <f>SUM(D56:D61)</f>
        <v>0</v>
      </c>
      <c r="E62" s="567"/>
      <c r="F62" s="567"/>
      <c r="G62" s="567"/>
      <c r="H62" s="567"/>
      <c r="I62" s="567"/>
      <c r="J62" s="567"/>
      <c r="K62" s="563"/>
    </row>
    <row r="63" spans="1:11" s="564" customFormat="1">
      <c r="A63" s="576" t="s">
        <v>309</v>
      </c>
      <c r="B63" s="565">
        <f>'Sources and Uses Budget'!C63</f>
        <v>62589172</v>
      </c>
      <c r="C63" s="565">
        <f>SUM(C8+C11+C13+C14+C15+C26+C27+C38+C42+C43+C54+C62)</f>
        <v>0</v>
      </c>
      <c r="D63" s="565">
        <f>SUM(D8+D11+D13+D14+D15+D26+D27+D38+D42+D43+D54+D62)</f>
        <v>0</v>
      </c>
      <c r="E63" s="565">
        <f>'Sources and Uses Budget'!S63</f>
        <v>57864172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589139</v>
      </c>
      <c r="C75" s="566"/>
      <c r="D75" s="566"/>
      <c r="E75" s="567"/>
      <c r="F75" s="567"/>
      <c r="G75" s="567"/>
      <c r="H75" s="567"/>
      <c r="I75" s="567"/>
      <c r="J75" s="567"/>
      <c r="K75" s="563"/>
    </row>
    <row r="76" spans="1:11" s="564" customFormat="1">
      <c r="A76" s="571" t="str">
        <f>'Sources and Uses Budget'!$A76</f>
        <v>Post Construction Interest</v>
      </c>
      <c r="B76" s="565">
        <f>'Sources and Uses Budget'!C76</f>
        <v>250000</v>
      </c>
      <c r="C76" s="566"/>
      <c r="D76" s="566"/>
      <c r="E76" s="567"/>
      <c r="F76" s="567"/>
      <c r="G76" s="567"/>
      <c r="H76" s="567"/>
      <c r="I76" s="567"/>
      <c r="J76" s="567"/>
      <c r="K76" s="563"/>
    </row>
    <row r="77" spans="1:11" s="564" customFormat="1">
      <c r="A77" s="569" t="s">
        <v>639</v>
      </c>
      <c r="B77" s="565">
        <f>'Sources and Uses Budget'!C77</f>
        <v>839139</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3000000</v>
      </c>
      <c r="C79" s="566"/>
      <c r="D79" s="566"/>
      <c r="E79" s="565">
        <f>'Sources and Uses Budget'!S79</f>
        <v>3000000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1416</v>
      </c>
      <c r="B81" s="565">
        <f>'Sources and Uses Budget'!C81</f>
        <v>3500000</v>
      </c>
      <c r="C81" s="565">
        <f>SUM(C79:C80)</f>
        <v>0</v>
      </c>
      <c r="D81" s="565">
        <f>SUM(D79:D80)</f>
        <v>0</v>
      </c>
      <c r="E81" s="565">
        <f>'Sources and Uses Budget'!S81</f>
        <v>3500000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150612</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4439908</v>
      </c>
      <c r="C85" s="566"/>
      <c r="D85" s="566"/>
      <c r="E85" s="565">
        <f>'Sources and Uses Budget'!S85</f>
        <v>4439908</v>
      </c>
      <c r="F85" s="566"/>
      <c r="G85" s="566"/>
      <c r="H85" s="565">
        <f>'Sources and Uses Budget'!T85</f>
        <v>0</v>
      </c>
      <c r="I85" s="566"/>
      <c r="J85" s="566"/>
      <c r="K85" s="563"/>
    </row>
    <row r="86" spans="1:11" s="564" customFormat="1">
      <c r="A86" s="215" t="s">
        <v>825</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183517</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8" t="s">
        <v>1418</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5324037</v>
      </c>
      <c r="C96" s="565">
        <f>SUM(C83:C95)</f>
        <v>0</v>
      </c>
      <c r="D96" s="565">
        <f>SUM(D83:D95)</f>
        <v>0</v>
      </c>
      <c r="E96" s="565">
        <f>'Sources and Uses Budget'!S96</f>
        <v>4989908</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72352348</v>
      </c>
      <c r="C97" s="565">
        <f>SUM(C63+C70+C77+C81+C96)</f>
        <v>0</v>
      </c>
      <c r="D97" s="565">
        <f>SUM(D63+D70+D77+D81+D96)</f>
        <v>0</v>
      </c>
      <c r="E97" s="565">
        <f>'Sources and Uses Budget'!S97</f>
        <v>66454080</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9968112</v>
      </c>
      <c r="C99" s="566"/>
      <c r="D99" s="566"/>
      <c r="E99" s="565">
        <f>'Sources and Uses Budget'!S99</f>
        <v>9968112</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9968112</v>
      </c>
      <c r="C104" s="565">
        <f>SUM(C99:C103)</f>
        <v>0</v>
      </c>
      <c r="D104" s="565">
        <f>SUM(D99:D103)</f>
        <v>0</v>
      </c>
      <c r="E104" s="565">
        <f>'Sources and Uses Budget'!S104</f>
        <v>9968112</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82320460</v>
      </c>
      <c r="C105" s="572">
        <f>SUM(C97+C104)</f>
        <v>0</v>
      </c>
      <c r="D105" s="572">
        <f>SUM(D97+D104)</f>
        <v>0</v>
      </c>
      <c r="E105" s="565">
        <f>'Sources and Uses Budget'!S105</f>
        <v>76422192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76422192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9">
      <c r="A125" s="594"/>
      <c r="B125" s="593"/>
      <c r="C125" s="594"/>
      <c r="D125" s="2581"/>
      <c r="E125" s="2581"/>
      <c r="F125" s="2581"/>
      <c r="G125" s="2581"/>
      <c r="H125" s="2581"/>
      <c r="I125" s="2581"/>
      <c r="J125" s="583"/>
      <c r="K125" s="563"/>
    </row>
    <row r="126" spans="1:11" s="564" customFormat="1" ht="12.9">
      <c r="A126" s="594"/>
      <c r="B126" s="593"/>
      <c r="C126" s="594"/>
      <c r="D126" s="2581"/>
      <c r="E126" s="2581"/>
      <c r="F126" s="2581"/>
      <c r="G126" s="2581"/>
      <c r="H126" s="2581"/>
      <c r="I126" s="2581"/>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2"/>
      <c r="B139" s="2583"/>
      <c r="C139" s="2583"/>
      <c r="D139" s="606"/>
      <c r="E139" s="594"/>
      <c r="F139" s="594"/>
      <c r="G139" s="594"/>
    </row>
    <row r="140" spans="1:11" ht="11.95" customHeight="1">
      <c r="A140" s="2584"/>
      <c r="B140" s="2585"/>
      <c r="C140" s="2585"/>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1" t="s">
        <v>2030</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2031</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7" t="str">
        <f>IF(Application!H18="","",Application!H18)</f>
        <v>Vitalia Apartments</v>
      </c>
      <c r="M4" s="2978"/>
      <c r="N4" s="2978"/>
      <c r="O4" s="2978"/>
      <c r="P4" s="2978"/>
      <c r="Q4" s="2978"/>
      <c r="R4" s="2978"/>
      <c r="S4" s="2978"/>
      <c r="T4" s="2978"/>
      <c r="U4" s="2978"/>
      <c r="V4" s="2978"/>
      <c r="W4" s="2978"/>
      <c r="X4" s="2978"/>
      <c r="Y4" s="2978"/>
      <c r="Z4" s="2978"/>
      <c r="AA4" s="2978"/>
      <c r="AB4" s="2978"/>
      <c r="AC4" s="2979"/>
      <c r="AD4" s="1529"/>
      <c r="AE4" s="1529"/>
      <c r="AF4" s="2682" t="s">
        <v>2032</v>
      </c>
      <c r="AG4" s="2683"/>
      <c r="AH4" s="2683"/>
      <c r="AI4" s="2683"/>
      <c r="AJ4" s="2683"/>
      <c r="AK4" s="2683"/>
      <c r="AL4" s="2683"/>
      <c r="AM4" s="2683"/>
      <c r="AN4" s="2683"/>
      <c r="AO4" s="2683"/>
      <c r="AP4" s="2980">
        <v>44197</v>
      </c>
      <c r="AQ4" s="2950"/>
      <c r="AR4" s="2950"/>
      <c r="AS4" s="2950"/>
      <c r="AT4" s="2950"/>
      <c r="AU4" s="295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9" t="s">
        <v>2033</v>
      </c>
      <c r="AG5" s="2700"/>
      <c r="AH5" s="2700"/>
      <c r="AI5" s="2700"/>
      <c r="AJ5" s="2700"/>
      <c r="AK5" s="2700"/>
      <c r="AL5" s="2700"/>
      <c r="AM5" s="2700"/>
      <c r="AN5" s="2700"/>
      <c r="AO5" s="2700"/>
      <c r="AP5" s="2980">
        <v>44197</v>
      </c>
      <c r="AQ5" s="2950"/>
      <c r="AR5" s="2950"/>
      <c r="AS5" s="2950"/>
      <c r="AT5" s="2950"/>
      <c r="AU5" s="2951"/>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6" t="str">
        <f>IF(Application!H16="","",Application!H16)</f>
        <v>Central Valley Coalition for Affordable Housing, a California Nonprofit Public Benefit Corporation</v>
      </c>
      <c r="M6" s="2957"/>
      <c r="N6" s="2957"/>
      <c r="O6" s="2957"/>
      <c r="P6" s="2957"/>
      <c r="Q6" s="2957"/>
      <c r="R6" s="2957"/>
      <c r="S6" s="2957"/>
      <c r="T6" s="2957"/>
      <c r="U6" s="2957"/>
      <c r="V6" s="2957"/>
      <c r="W6" s="2957"/>
      <c r="X6" s="2957"/>
      <c r="Y6" s="2957"/>
      <c r="Z6" s="2957"/>
      <c r="AA6" s="2957"/>
      <c r="AB6" s="2957"/>
      <c r="AC6" s="295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9" t="str">
        <f>Application!T196</f>
        <v>No</v>
      </c>
      <c r="AC8" s="2960"/>
      <c r="AD8" s="296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962" t="e">
        <f>VLOOKUP("CalHFA Permanent Loan",Application!C564:AS575,37,TRUE)</f>
        <v>#N/A</v>
      </c>
      <c r="O10" s="2963"/>
      <c r="P10" s="2963"/>
      <c r="Q10" s="2963"/>
      <c r="R10" s="2963"/>
      <c r="S10" s="2963"/>
      <c r="T10" s="2964"/>
      <c r="U10" s="1529"/>
      <c r="V10" s="1529"/>
      <c r="W10" s="1529"/>
      <c r="X10" s="2684" t="s">
        <v>2038</v>
      </c>
      <c r="Y10" s="2685"/>
      <c r="Z10" s="2685"/>
      <c r="AA10" s="2685"/>
      <c r="AB10" s="2685"/>
      <c r="AC10" s="2685"/>
      <c r="AD10" s="2685"/>
      <c r="AE10" s="2685"/>
      <c r="AF10" s="2685"/>
      <c r="AG10" s="2685"/>
      <c r="AH10" s="2685"/>
      <c r="AI10" s="2685"/>
      <c r="AJ10" s="2685"/>
      <c r="AK10" s="2686"/>
      <c r="AL10" s="2984">
        <f>Application!W471</f>
        <v>41</v>
      </c>
      <c r="AM10" s="2985"/>
      <c r="AN10" s="2985"/>
      <c r="AO10" s="2985"/>
      <c r="AP10" s="2986"/>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965">
        <f>Application!AA925</f>
        <v>0</v>
      </c>
      <c r="O11" s="2966"/>
      <c r="P11" s="2966"/>
      <c r="Q11" s="2966"/>
      <c r="R11" s="2966"/>
      <c r="S11" s="2966"/>
      <c r="T11" s="2967"/>
      <c r="U11" s="1529"/>
      <c r="V11" s="1529"/>
      <c r="W11" s="1529"/>
      <c r="X11" s="2968" t="s">
        <v>2040</v>
      </c>
      <c r="Y11" s="2969"/>
      <c r="Z11" s="2969"/>
      <c r="AA11" s="2969"/>
      <c r="AB11" s="2969"/>
      <c r="AC11" s="2969"/>
      <c r="AD11" s="2969"/>
      <c r="AE11" s="2969"/>
      <c r="AF11" s="2969"/>
      <c r="AG11" s="2969"/>
      <c r="AH11" s="2969"/>
      <c r="AI11" s="2969"/>
      <c r="AJ11" s="2969"/>
      <c r="AK11" s="2970"/>
      <c r="AL11" s="2981">
        <v>44197</v>
      </c>
      <c r="AM11" s="2982"/>
      <c r="AN11" s="2982"/>
      <c r="AO11" s="2982"/>
      <c r="AP11" s="2983"/>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4" t="s">
        <v>2041</v>
      </c>
      <c r="Y12" s="2685"/>
      <c r="Z12" s="2685"/>
      <c r="AA12" s="2685"/>
      <c r="AB12" s="2685"/>
      <c r="AC12" s="2685"/>
      <c r="AD12" s="2685"/>
      <c r="AE12" s="2685"/>
      <c r="AF12" s="2685"/>
      <c r="AG12" s="2685"/>
      <c r="AH12" s="2685"/>
      <c r="AI12" s="2685"/>
      <c r="AJ12" s="2685"/>
      <c r="AK12" s="2686"/>
      <c r="AL12" s="2981">
        <v>44197</v>
      </c>
      <c r="AM12" s="2982"/>
      <c r="AN12" s="2982"/>
      <c r="AO12" s="2982"/>
      <c r="AP12" s="2983"/>
      <c r="AQ12" s="1532"/>
      <c r="AR12" s="1532"/>
      <c r="AS12" s="1532"/>
      <c r="AT12" s="1532"/>
      <c r="AU12" s="1532"/>
      <c r="AV12" s="1529"/>
      <c r="AW12" s="1529"/>
      <c r="AX12" s="1529"/>
      <c r="AY12" s="1529"/>
      <c r="AZ12" s="1529"/>
      <c r="BA12" s="1529"/>
      <c r="BB12" s="1529"/>
      <c r="BC12" s="1529"/>
      <c r="BD12" s="1529"/>
      <c r="BE12" s="1535"/>
    </row>
    <row r="13" spans="1:58" ht="14.55" thickBot="1">
      <c r="A13" s="1818"/>
      <c r="B13" s="2684" t="s">
        <v>2042</v>
      </c>
      <c r="C13" s="2685"/>
      <c r="D13" s="2685"/>
      <c r="E13" s="2685"/>
      <c r="F13" s="2685"/>
      <c r="G13" s="2685"/>
      <c r="H13" s="2685"/>
      <c r="I13" s="2685"/>
      <c r="J13" s="2685"/>
      <c r="K13" s="2685"/>
      <c r="L13" s="2685"/>
      <c r="M13" s="2685"/>
      <c r="N13" s="2685"/>
      <c r="O13" s="2685"/>
      <c r="P13" s="2686"/>
      <c r="Q13" s="2949" t="s">
        <v>2036</v>
      </c>
      <c r="R13" s="2950"/>
      <c r="S13" s="2950"/>
      <c r="T13" s="295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2" t="s">
        <v>2043</v>
      </c>
      <c r="C15" s="2952"/>
      <c r="D15" s="2952"/>
      <c r="E15" s="2952"/>
      <c r="F15" s="2952"/>
      <c r="G15" s="2952"/>
      <c r="H15" s="2952"/>
      <c r="I15" s="2952"/>
      <c r="J15" s="2952"/>
      <c r="K15" s="2952"/>
      <c r="L15" s="2953"/>
      <c r="M15" s="2682" t="s">
        <v>2044</v>
      </c>
      <c r="N15" s="2683"/>
      <c r="O15" s="2683"/>
      <c r="P15" s="2683"/>
      <c r="Q15" s="2683"/>
      <c r="R15" s="2683"/>
      <c r="S15" s="2954" t="str">
        <f>IF(Application!AB214="","",Application!AB214)</f>
        <v/>
      </c>
      <c r="T15" s="2954"/>
      <c r="U15" s="2954"/>
      <c r="V15" s="2954"/>
      <c r="W15" s="295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3" t="s">
        <v>2045</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9"/>
      <c r="BA17" s="1529"/>
      <c r="BB17" s="1529"/>
      <c r="BC17" s="1529"/>
      <c r="BD17" s="1529"/>
      <c r="BE17" s="1535"/>
      <c r="BF17" s="1527"/>
    </row>
    <row r="18" spans="1:58" ht="15.75" customHeight="1">
      <c r="A18" s="1818"/>
      <c r="B18" s="2945" t="s">
        <v>2046</v>
      </c>
      <c r="C18" s="2946"/>
      <c r="D18" s="2946"/>
      <c r="E18" s="2946"/>
      <c r="F18" s="2946"/>
      <c r="G18" s="2946"/>
      <c r="H18" s="2946"/>
      <c r="I18" s="2947"/>
      <c r="J18" s="2931" t="s">
        <v>1878</v>
      </c>
      <c r="K18" s="2932"/>
      <c r="L18" s="2932"/>
      <c r="M18" s="2932"/>
      <c r="N18" s="2932"/>
      <c r="O18" s="2933"/>
      <c r="P18" s="2931" t="s">
        <v>332</v>
      </c>
      <c r="Q18" s="2932"/>
      <c r="R18" s="2932"/>
      <c r="S18" s="2932"/>
      <c r="T18" s="2932"/>
      <c r="U18" s="2933"/>
      <c r="V18" s="2931" t="s">
        <v>333</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2047</v>
      </c>
      <c r="AU18" s="2932"/>
      <c r="AV18" s="2932"/>
      <c r="AW18" s="2932"/>
      <c r="AX18" s="2932"/>
      <c r="AY18" s="2948"/>
      <c r="AZ18" s="1529"/>
      <c r="BA18" s="1529"/>
      <c r="BB18" s="1529"/>
      <c r="BC18" s="1529"/>
      <c r="BD18" s="1529"/>
      <c r="BE18" s="1535"/>
    </row>
    <row r="19" spans="1:58" ht="14">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6"/>
      <c r="BA19" s="1529"/>
      <c r="BB19" s="1529"/>
      <c r="BC19" s="1529"/>
      <c r="BD19" s="1529"/>
      <c r="BE19" s="1535"/>
    </row>
    <row r="20" spans="1:58" ht="15.05" customHeight="1">
      <c r="A20" s="1818"/>
      <c r="B20" s="2943">
        <v>0.3</v>
      </c>
      <c r="C20" s="2944"/>
      <c r="D20" s="2944"/>
      <c r="E20" s="2944"/>
      <c r="F20" s="2944"/>
      <c r="G20" s="2944"/>
      <c r="H20" s="2944"/>
      <c r="I20" s="2944"/>
      <c r="J20" s="2931">
        <f t="shared" ref="J20:J27" si="1">SUM(P20:AS20)</f>
        <v>81</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39</v>
      </c>
      <c r="W20" s="2938"/>
      <c r="X20" s="2938"/>
      <c r="Y20" s="2938"/>
      <c r="Z20" s="2938"/>
      <c r="AA20" s="2939"/>
      <c r="AB20" s="2937" cm="1">
        <f t="array" ref="AB20">SUMPRODUCT((Application!$B$728:$B$752 = 'CalHFA Addendum'!AB$18)*(Application!$AH$728:$AH$752 = 'CalHFA Addendum'!$B20),Application!$G$728:$G$752)</f>
        <v>21</v>
      </c>
      <c r="AC20" s="2938"/>
      <c r="AD20" s="2938"/>
      <c r="AE20" s="2938"/>
      <c r="AF20" s="2938"/>
      <c r="AG20" s="2939"/>
      <c r="AH20" s="2937" cm="1">
        <f t="array" ref="AH20">SUMPRODUCT((Application!$B$728:$B$752 = 'CalHFA Addendum'!AH$18)*(Application!$AH$728:$AH$752 = 'CalHFA Addendum'!$B20),Application!$G$728:$G$752)</f>
        <v>21</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0.59558823529411764</v>
      </c>
      <c r="AU20" s="2941"/>
      <c r="AV20" s="2941"/>
      <c r="AW20" s="2941"/>
      <c r="AX20" s="2941"/>
      <c r="AY20" s="2942"/>
      <c r="AZ20" s="1529"/>
      <c r="BA20" s="1529"/>
      <c r="BB20" s="1529"/>
      <c r="BC20" s="1529"/>
      <c r="BD20" s="1529"/>
      <c r="BE20" s="1535"/>
    </row>
    <row r="21" spans="1:58" ht="14">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9"/>
      <c r="BA21" s="1529"/>
      <c r="BB21" s="1529"/>
      <c r="BC21" s="1529"/>
      <c r="BD21" s="1529"/>
      <c r="BE21" s="1535"/>
    </row>
    <row r="22" spans="1:58" ht="14">
      <c r="A22" s="1818"/>
      <c r="B22" s="2943">
        <v>0.5</v>
      </c>
      <c r="C22" s="2944"/>
      <c r="D22" s="2944"/>
      <c r="E22" s="2944"/>
      <c r="F22" s="2944"/>
      <c r="G22" s="2944"/>
      <c r="H22" s="2944"/>
      <c r="I22" s="2944"/>
      <c r="J22" s="2931">
        <f t="shared" si="1"/>
        <v>0</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0</v>
      </c>
      <c r="W22" s="2938"/>
      <c r="X22" s="2938"/>
      <c r="Y22" s="2938"/>
      <c r="Z22" s="2938"/>
      <c r="AA22" s="2939"/>
      <c r="AB22" s="2937" cm="1">
        <f t="array" ref="AB22">SUMPRODUCT((Application!$B$728:$B$752 = 'CalHFA Addendum'!AB$18)*(Application!$AH$728:$AH$752 = 'CalHFA Addendum'!$B22),Application!$G$728:$G$752)</f>
        <v>0</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v>
      </c>
      <c r="AU22" s="2941"/>
      <c r="AV22" s="2941"/>
      <c r="AW22" s="2941"/>
      <c r="AX22" s="2941"/>
      <c r="AY22" s="2942"/>
      <c r="AZ22" s="1529"/>
      <c r="BA22" s="1529"/>
      <c r="BB22" s="1529"/>
      <c r="BC22" s="1529"/>
      <c r="BD22" s="1529"/>
      <c r="BE22" s="1535"/>
    </row>
    <row r="23" spans="1:58" ht="14">
      <c r="A23" s="1818"/>
      <c r="B23" s="2943">
        <v>0.6</v>
      </c>
      <c r="C23" s="2944"/>
      <c r="D23" s="2944"/>
      <c r="E23" s="2944"/>
      <c r="F23" s="2944"/>
      <c r="G23" s="2944"/>
      <c r="H23" s="2944"/>
      <c r="I23" s="2944"/>
      <c r="J23" s="2931">
        <f t="shared" si="1"/>
        <v>0</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0</v>
      </c>
      <c r="W23" s="2938"/>
      <c r="X23" s="2938"/>
      <c r="Y23" s="2938"/>
      <c r="Z23" s="2938"/>
      <c r="AA23" s="2939"/>
      <c r="AB23" s="2937" cm="1">
        <f t="array" ref="AB23">SUMPRODUCT((Application!$B$728:$B$752 = 'CalHFA Addendum'!AB$18)*(Application!$AH$728:$AH$752 = 'CalHFA Addendum'!$B23),Application!$G$728:$G$752)</f>
        <v>0</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v>
      </c>
      <c r="AU23" s="2941"/>
      <c r="AV23" s="2941"/>
      <c r="AW23" s="2941"/>
      <c r="AX23" s="2941"/>
      <c r="AY23" s="2942"/>
      <c r="AZ23" s="1529"/>
      <c r="BA23" s="1529"/>
      <c r="BB23" s="1529"/>
      <c r="BC23" s="1529"/>
      <c r="BD23" s="1529"/>
      <c r="BE23" s="1535"/>
    </row>
    <row r="24" spans="1:58" ht="14">
      <c r="A24" s="1818"/>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29"/>
      <c r="BA24" s="1529"/>
      <c r="BB24" s="1529"/>
      <c r="BC24" s="1529"/>
      <c r="BD24" s="1529"/>
      <c r="BE24" s="1535"/>
    </row>
    <row r="25" spans="1:58" ht="14">
      <c r="A25" s="1818"/>
      <c r="B25" s="2943">
        <v>0.8</v>
      </c>
      <c r="C25" s="2944"/>
      <c r="D25" s="2944"/>
      <c r="E25" s="2944"/>
      <c r="F25" s="2944"/>
      <c r="G25" s="2944"/>
      <c r="H25" s="2944"/>
      <c r="I25" s="2944"/>
      <c r="J25" s="2931">
        <f t="shared" si="1"/>
        <v>52</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27</v>
      </c>
      <c r="W25" s="2938"/>
      <c r="X25" s="2938"/>
      <c r="Y25" s="2938"/>
      <c r="Z25" s="2938"/>
      <c r="AA25" s="2939"/>
      <c r="AB25" s="2937" cm="1">
        <f t="array" ref="AB25">SUMPRODUCT((Application!$B$728:$B$752 = 'CalHFA Addendum'!AB$18)*(Application!$AH$728:$AH$752 = 'CalHFA Addendum'!$B25),Application!$G$728:$G$752)</f>
        <v>12</v>
      </c>
      <c r="AC25" s="2938"/>
      <c r="AD25" s="2938"/>
      <c r="AE25" s="2938"/>
      <c r="AF25" s="2938"/>
      <c r="AG25" s="2939"/>
      <c r="AH25" s="2937" cm="1">
        <f t="array" ref="AH25">SUMPRODUCT((Application!$B$728:$B$752 = 'CalHFA Addendum'!AH$18)*(Application!$AH$728:$AH$752 = 'CalHFA Addendum'!$B25),Application!$G$728:$G$752)</f>
        <v>13</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0.38235294117647056</v>
      </c>
      <c r="AU25" s="2941"/>
      <c r="AV25" s="2941"/>
      <c r="AW25" s="2941"/>
      <c r="AX25" s="2941"/>
      <c r="AY25" s="2942"/>
      <c r="AZ25" s="1529"/>
      <c r="BA25" s="1529"/>
      <c r="BB25" s="1529"/>
      <c r="BC25" s="1529"/>
      <c r="BD25" s="1529"/>
      <c r="BE25" s="1535"/>
    </row>
    <row r="26" spans="1:58" ht="14">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9"/>
      <c r="BA26" s="1529"/>
      <c r="BB26" s="1529"/>
      <c r="BC26" s="1529"/>
      <c r="BD26" s="1529"/>
      <c r="BE26" s="1535"/>
    </row>
    <row r="27" spans="1:58" ht="14">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9"/>
      <c r="BA27" s="1529"/>
      <c r="BB27" s="1529"/>
      <c r="BC27" s="1529"/>
      <c r="BD27" s="1529"/>
      <c r="BE27" s="1535"/>
      <c r="BF27" s="1700"/>
    </row>
    <row r="28" spans="1:58" ht="14.55" thickBot="1">
      <c r="A28" s="1818"/>
      <c r="B28" s="2928" t="s">
        <v>2048</v>
      </c>
      <c r="C28" s="2929"/>
      <c r="D28" s="2929"/>
      <c r="E28" s="2929"/>
      <c r="F28" s="2929"/>
      <c r="G28" s="2929"/>
      <c r="H28" s="2929"/>
      <c r="I28" s="2930"/>
      <c r="J28" s="2931">
        <f t="shared" ref="J28" si="2">SUM(P28:AS28)</f>
        <v>3</v>
      </c>
      <c r="K28" s="2932"/>
      <c r="L28" s="2932"/>
      <c r="M28" s="2932"/>
      <c r="N28" s="2932"/>
      <c r="O28" s="2933"/>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3</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2.2058823529411766E-2</v>
      </c>
      <c r="AU28" s="2941"/>
      <c r="AV28" s="2941"/>
      <c r="AW28" s="2941"/>
      <c r="AX28" s="2941"/>
      <c r="AY28" s="2942"/>
      <c r="AZ28" s="1529"/>
      <c r="BA28" s="1529"/>
      <c r="BB28" s="1529"/>
      <c r="BC28" s="1529"/>
      <c r="BD28" s="1529"/>
      <c r="BE28" s="1535"/>
    </row>
    <row r="29" spans="1:58" ht="14.55" thickBot="1">
      <c r="A29" s="1818"/>
      <c r="B29" s="2921" t="s">
        <v>1878</v>
      </c>
      <c r="C29" s="2922"/>
      <c r="D29" s="2922"/>
      <c r="E29" s="2922"/>
      <c r="F29" s="2922"/>
      <c r="G29" s="2922"/>
      <c r="H29" s="2922"/>
      <c r="I29" s="2923"/>
      <c r="J29" s="2924">
        <f>SUM(J19:O28)</f>
        <v>136</v>
      </c>
      <c r="K29" s="2922"/>
      <c r="L29" s="2922"/>
      <c r="M29" s="2922"/>
      <c r="N29" s="2922"/>
      <c r="O29" s="2923"/>
      <c r="P29" s="2924">
        <f>SUM(P19:U28)</f>
        <v>0</v>
      </c>
      <c r="Q29" s="2922"/>
      <c r="R29" s="2922"/>
      <c r="S29" s="2922"/>
      <c r="T29" s="2922"/>
      <c r="U29" s="2923"/>
      <c r="V29" s="2924">
        <f>SUM(V19:AA28)</f>
        <v>66</v>
      </c>
      <c r="W29" s="2922"/>
      <c r="X29" s="2922"/>
      <c r="Y29" s="2922"/>
      <c r="Z29" s="2922"/>
      <c r="AA29" s="2923"/>
      <c r="AB29" s="2924">
        <f>SUM(AB19:AG28)</f>
        <v>36</v>
      </c>
      <c r="AC29" s="2922"/>
      <c r="AD29" s="2922"/>
      <c r="AE29" s="2922"/>
      <c r="AF29" s="2922"/>
      <c r="AG29" s="2923"/>
      <c r="AH29" s="2924">
        <f>SUM(AH19:AM28)</f>
        <v>34</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1" t="s">
        <v>2049</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9"/>
      <c r="BB31" s="1529"/>
      <c r="BC31" s="1529"/>
      <c r="BD31" s="1529"/>
      <c r="BE31" s="1535"/>
    </row>
    <row r="32" spans="1:58" ht="14.55" thickBot="1">
      <c r="A32" s="1818"/>
      <c r="B32" s="2904" t="s">
        <v>2050</v>
      </c>
      <c r="C32" s="2905"/>
      <c r="D32" s="2905"/>
      <c r="E32" s="2905"/>
      <c r="F32" s="2905"/>
      <c r="G32" s="2905"/>
      <c r="H32" s="2905"/>
      <c r="I32" s="2906"/>
      <c r="J32" s="2908" t="s">
        <v>2051</v>
      </c>
      <c r="K32" s="2909"/>
      <c r="L32" s="2909"/>
      <c r="M32" s="2910"/>
      <c r="N32" s="2908" t="s">
        <v>2052</v>
      </c>
      <c r="O32" s="2909"/>
      <c r="P32" s="2909"/>
      <c r="Q32" s="2909"/>
      <c r="R32" s="2912" t="s">
        <v>2053</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9"/>
      <c r="BB32" s="1529"/>
      <c r="BC32" s="1529"/>
      <c r="BD32" s="1529"/>
      <c r="BE32" s="1535"/>
    </row>
    <row r="33" spans="1:58" ht="15.05" customHeight="1">
      <c r="A33" s="1818"/>
      <c r="B33" s="2907"/>
      <c r="C33" s="2905"/>
      <c r="D33" s="2905"/>
      <c r="E33" s="2905"/>
      <c r="F33" s="2905"/>
      <c r="G33" s="2905"/>
      <c r="H33" s="2905"/>
      <c r="I33" s="2906"/>
      <c r="J33" s="2911"/>
      <c r="K33" s="2909"/>
      <c r="L33" s="2909"/>
      <c r="M33" s="2910"/>
      <c r="N33" s="2911"/>
      <c r="O33" s="2909"/>
      <c r="P33" s="2909"/>
      <c r="Q33" s="2909"/>
      <c r="R33" s="2915" t="s">
        <v>2054</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6"/>
      <c r="BB33" s="1529"/>
      <c r="BC33" s="1529"/>
      <c r="BD33" s="1529"/>
      <c r="BE33" s="1535"/>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6"/>
      <c r="BB34" s="1529"/>
      <c r="BC34" s="1529"/>
      <c r="BD34" s="1529"/>
      <c r="BE34" s="1535"/>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2055</v>
      </c>
      <c r="AP35" s="2888"/>
      <c r="AQ35" s="2888"/>
      <c r="AR35" s="2888"/>
      <c r="AS35" s="2888"/>
      <c r="AT35" s="2889"/>
      <c r="AU35" s="2887" t="s">
        <v>2056</v>
      </c>
      <c r="AV35" s="2888"/>
      <c r="AW35" s="2888"/>
      <c r="AX35" s="2888"/>
      <c r="AY35" s="2888"/>
      <c r="AZ35" s="2889"/>
      <c r="BA35" s="1536"/>
      <c r="BB35" s="1529"/>
      <c r="BC35" s="1529"/>
      <c r="BD35" s="1529"/>
      <c r="BE35" s="1535"/>
      <c r="BF35" s="1527"/>
    </row>
    <row r="36" spans="1:58" ht="15.75" customHeight="1">
      <c r="A36" s="1818"/>
      <c r="B36" s="2890" t="s">
        <v>2057</v>
      </c>
      <c r="C36" s="2891"/>
      <c r="D36" s="2891"/>
      <c r="E36" s="2891"/>
      <c r="F36" s="2891"/>
      <c r="G36" s="2891"/>
      <c r="H36" s="2891"/>
      <c r="I36" s="2892"/>
      <c r="J36" s="2893" t="s">
        <v>2058</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0.7279411764705882</v>
      </c>
      <c r="AV36" s="2859"/>
      <c r="AW36" s="2859"/>
      <c r="AX36" s="2859"/>
      <c r="AY36" s="2859"/>
      <c r="AZ36" s="2859"/>
      <c r="BA36" s="1529"/>
      <c r="BB36" s="1529"/>
      <c r="BC36" s="1529"/>
      <c r="BD36" s="1529"/>
      <c r="BE36" s="1535"/>
      <c r="BF36" s="1527"/>
    </row>
    <row r="37" spans="1:58" ht="15.75" customHeight="1">
      <c r="A37" s="1818"/>
      <c r="B37" s="2879" t="s">
        <v>2059</v>
      </c>
      <c r="C37" s="2880"/>
      <c r="D37" s="2880"/>
      <c r="E37" s="2880"/>
      <c r="F37" s="2880"/>
      <c r="G37" s="2880"/>
      <c r="H37" s="2880"/>
      <c r="I37" s="2881"/>
      <c r="J37" s="2882" t="s">
        <v>2060</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9"/>
      <c r="BB37" s="1529"/>
      <c r="BC37" s="1529"/>
      <c r="BD37" s="1529"/>
      <c r="BE37" s="1535"/>
      <c r="BF37" s="1527"/>
    </row>
    <row r="38" spans="1:58" ht="15.75" customHeight="1">
      <c r="A38" s="1818"/>
      <c r="B38" s="2879" t="s">
        <v>2061</v>
      </c>
      <c r="C38" s="2880"/>
      <c r="D38" s="2880"/>
      <c r="E38" s="2880"/>
      <c r="F38" s="2880"/>
      <c r="G38" s="2880"/>
      <c r="H38" s="2880"/>
      <c r="I38" s="2881"/>
      <c r="J38" s="2882" t="s">
        <v>2062</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9"/>
      <c r="BB38" s="1529"/>
      <c r="BC38" s="1529"/>
      <c r="BD38" s="1529"/>
      <c r="BE38" s="1535"/>
      <c r="BF38" s="1527"/>
    </row>
    <row r="39" spans="1:58" ht="15.75" customHeight="1">
      <c r="A39" s="1818"/>
      <c r="B39" s="2879" t="s">
        <v>2063</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9"/>
      <c r="BB39" s="1529"/>
      <c r="BC39" s="1529"/>
      <c r="BD39" s="1529"/>
      <c r="BE39" s="1535"/>
    </row>
    <row r="40" spans="1:58" ht="15.75" customHeight="1">
      <c r="A40" s="1818"/>
      <c r="B40" s="2879" t="s">
        <v>2063</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9"/>
      <c r="BB40" s="1529"/>
      <c r="BC40" s="1529"/>
      <c r="BD40" s="1529"/>
      <c r="BE40" s="1535"/>
    </row>
    <row r="41" spans="1:58" ht="15.75" customHeight="1">
      <c r="A41" s="1818"/>
      <c r="B41" s="2876" t="s">
        <v>2064</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9"/>
      <c r="BB41" s="1529"/>
      <c r="BC41" s="1529"/>
      <c r="BD41" s="1529"/>
      <c r="BE41" s="1535"/>
    </row>
    <row r="42" spans="1:58" ht="15.75" customHeight="1">
      <c r="A42" s="1818"/>
      <c r="B42" s="2876" t="s">
        <v>2064</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9"/>
      <c r="BB42" s="1529"/>
      <c r="BC42" s="1529"/>
      <c r="BD42" s="1529"/>
      <c r="BE42" s="1535"/>
    </row>
    <row r="43" spans="1:58" ht="15.75" customHeight="1">
      <c r="A43" s="1818"/>
      <c r="B43" s="2873" t="s">
        <v>2065</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9"/>
      <c r="BB43" s="1529"/>
      <c r="BC43" s="1529"/>
      <c r="BD43" s="1529"/>
      <c r="BE43" s="1535"/>
    </row>
    <row r="44" spans="1:58" ht="15.75" customHeight="1">
      <c r="A44" s="1818"/>
      <c r="B44" s="2873" t="s">
        <v>2066</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9"/>
      <c r="BB44" s="1529"/>
      <c r="BC44" s="1529"/>
      <c r="BD44" s="1529"/>
      <c r="BE44" s="1535"/>
    </row>
    <row r="45" spans="1:58" ht="15.75" customHeight="1">
      <c r="A45" s="1818"/>
      <c r="B45" s="2865" t="s">
        <v>2067</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9"/>
      <c r="BB45" s="1529"/>
      <c r="BC45" s="1529"/>
      <c r="BD45" s="1529"/>
      <c r="BE45" s="1535"/>
    </row>
    <row r="46" spans="1:58" ht="15.75" customHeight="1">
      <c r="A46" s="1818"/>
      <c r="B46" s="2865" t="s">
        <v>2068</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9"/>
      <c r="BB46" s="1529"/>
      <c r="BC46" s="1529"/>
      <c r="BD46" s="1529"/>
      <c r="BE46" s="1535"/>
    </row>
    <row r="47" spans="1:58" ht="15.75" customHeight="1" thickBot="1">
      <c r="A47" s="1818"/>
      <c r="B47" s="2860" t="s">
        <v>307</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5" t="s">
        <v>2071</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8" t="s">
        <v>2072</v>
      </c>
      <c r="C51" s="2849"/>
      <c r="D51" s="2849"/>
      <c r="E51" s="2849"/>
      <c r="F51" s="2849"/>
      <c r="G51" s="2849"/>
      <c r="H51" s="2849"/>
      <c r="I51" s="2850"/>
      <c r="J51" s="2848" t="s">
        <v>2073</v>
      </c>
      <c r="K51" s="2849"/>
      <c r="L51" s="2849"/>
      <c r="M51" s="2849"/>
      <c r="N51" s="2849"/>
      <c r="O51" s="2849"/>
      <c r="P51" s="2849"/>
      <c r="Q51" s="2850"/>
      <c r="R51" s="2851" t="s">
        <v>2074</v>
      </c>
      <c r="S51" s="2852"/>
      <c r="T51" s="2852"/>
      <c r="U51" s="2852"/>
      <c r="V51" s="2852"/>
      <c r="W51" s="2852"/>
      <c r="X51" s="2852"/>
      <c r="Y51" s="2853"/>
      <c r="Z51" s="2854" t="s">
        <v>2075</v>
      </c>
      <c r="AA51" s="2855"/>
      <c r="AB51" s="2855"/>
      <c r="AC51" s="2855"/>
      <c r="AD51" s="2855"/>
      <c r="AE51" s="2855"/>
      <c r="AF51" s="2855"/>
      <c r="AG51" s="2856"/>
      <c r="AH51" s="2854" t="s">
        <v>2076</v>
      </c>
      <c r="AI51" s="2855"/>
      <c r="AJ51" s="2855"/>
      <c r="AK51" s="2855"/>
      <c r="AL51" s="2855"/>
      <c r="AM51" s="2855"/>
      <c r="AN51" s="2855"/>
      <c r="AO51" s="28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0" t="s">
        <v>1878</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5" t="s">
        <v>2072</v>
      </c>
      <c r="C59" s="2836"/>
      <c r="D59" s="2836"/>
      <c r="E59" s="2836"/>
      <c r="F59" s="2836"/>
      <c r="G59" s="2836"/>
      <c r="H59" s="2836"/>
      <c r="I59" s="2837"/>
      <c r="J59" s="2680" t="s">
        <v>2077</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9"/>
      <c r="AY59" s="1529"/>
      <c r="AZ59" s="1529"/>
      <c r="BA59" s="1529"/>
      <c r="BB59" s="1529"/>
      <c r="BC59" s="1529"/>
      <c r="BD59" s="1529"/>
      <c r="BE59" s="1535"/>
    </row>
    <row r="60" spans="1:58" ht="15.75" customHeight="1">
      <c r="A60" s="1818"/>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9"/>
      <c r="AY60" s="1529"/>
      <c r="AZ60" s="1529"/>
      <c r="BA60" s="1529"/>
      <c r="BB60" s="1529"/>
      <c r="BC60" s="1529"/>
      <c r="BD60" s="1529"/>
      <c r="BE60" s="1535"/>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9"/>
      <c r="AY61" s="1529"/>
      <c r="AZ61" s="1529"/>
      <c r="BA61" s="1529"/>
      <c r="BB61" s="1529"/>
      <c r="BC61" s="1529"/>
      <c r="BD61" s="1529"/>
      <c r="BE61" s="1535"/>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9"/>
      <c r="AY62" s="1529"/>
      <c r="AZ62" s="1529"/>
      <c r="BA62" s="1529"/>
      <c r="BB62" s="1529"/>
      <c r="BC62" s="1529"/>
      <c r="BD62" s="1529"/>
      <c r="BE62" s="1535"/>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9"/>
      <c r="AY63" s="1529"/>
      <c r="AZ63" s="1529"/>
      <c r="BA63" s="1529"/>
      <c r="BB63" s="1529"/>
      <c r="BC63" s="1529"/>
      <c r="BD63" s="1529"/>
      <c r="BE63" s="1535"/>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3" t="s">
        <v>2079</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9"/>
      <c r="AC68" s="2816" t="s">
        <v>2080</v>
      </c>
      <c r="AD68" s="2817"/>
      <c r="AE68" s="2817"/>
      <c r="AF68" s="2817"/>
      <c r="AG68" s="2817"/>
      <c r="AH68" s="2817"/>
      <c r="AI68" s="2817"/>
      <c r="AJ68" s="2817"/>
      <c r="AK68" s="2817"/>
      <c r="AL68" s="2817"/>
      <c r="AM68" s="2817"/>
      <c r="AN68" s="2817"/>
      <c r="AO68" s="2817"/>
      <c r="AP68" s="2817"/>
      <c r="AQ68" s="2817"/>
      <c r="AR68" s="2817"/>
      <c r="AS68" s="2817"/>
      <c r="AT68" s="2817"/>
      <c r="AU68" s="2817"/>
      <c r="AV68" s="2818" t="s">
        <v>2036</v>
      </c>
      <c r="AW68" s="2818"/>
      <c r="AX68" s="2818"/>
      <c r="AY68" s="2818"/>
      <c r="AZ68" s="2818"/>
      <c r="BA68" s="2818"/>
      <c r="BB68" s="2818"/>
      <c r="BC68" s="2819"/>
      <c r="BD68" s="1529"/>
      <c r="BE68" s="1535"/>
    </row>
    <row r="69" spans="1:57" ht="15.75" customHeight="1" thickBot="1">
      <c r="A69" s="1818"/>
      <c r="B69" s="2820" t="s">
        <v>2081</v>
      </c>
      <c r="C69" s="2821"/>
      <c r="D69" s="2821"/>
      <c r="E69" s="2821"/>
      <c r="F69" s="2821"/>
      <c r="G69" s="2821"/>
      <c r="H69" s="2821"/>
      <c r="I69" s="2821"/>
      <c r="J69" s="2821"/>
      <c r="K69" s="2821"/>
      <c r="L69" s="2821"/>
      <c r="M69" s="2821"/>
      <c r="N69" s="2821"/>
      <c r="O69" s="2759" t="s">
        <v>2082</v>
      </c>
      <c r="P69" s="2658"/>
      <c r="Q69" s="2658"/>
      <c r="R69" s="2658"/>
      <c r="S69" s="2658"/>
      <c r="T69" s="2658"/>
      <c r="U69" s="2658"/>
      <c r="V69" s="2658"/>
      <c r="W69" s="2658"/>
      <c r="X69" s="2658"/>
      <c r="Y69" s="2658"/>
      <c r="Z69" s="2658"/>
      <c r="AA69" s="2659"/>
      <c r="AB69" s="1529"/>
      <c r="AC69" s="2601" t="s">
        <v>2083</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9"/>
      <c r="BE69" s="1535"/>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9"/>
      <c r="AC70" s="2811" t="s">
        <v>2084</v>
      </c>
      <c r="AD70" s="2812"/>
      <c r="AE70" s="2812"/>
      <c r="AF70" s="2780"/>
      <c r="AG70" s="2780"/>
      <c r="AH70" s="2780"/>
      <c r="AI70" s="2780"/>
      <c r="AJ70" s="2780"/>
      <c r="AK70" s="2780"/>
      <c r="AL70" s="2780"/>
      <c r="AM70" s="2780"/>
      <c r="AN70" s="2780"/>
      <c r="AO70" s="2780"/>
      <c r="AP70" s="2780"/>
      <c r="AQ70" s="2780"/>
      <c r="AR70" s="2780"/>
      <c r="AS70" s="2780"/>
      <c r="AT70" s="2780"/>
      <c r="AU70" s="2781"/>
      <c r="AV70" s="1529"/>
      <c r="AW70" s="1529"/>
      <c r="AX70" s="1529"/>
      <c r="AY70" s="1529"/>
      <c r="AZ70" s="1529"/>
      <c r="BA70" s="1529"/>
      <c r="BB70" s="1529"/>
      <c r="BC70" s="1529"/>
      <c r="BD70" s="1529"/>
      <c r="BE70" s="1535"/>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9"/>
      <c r="AC71" s="2813" t="s">
        <v>2085</v>
      </c>
      <c r="AD71" s="2814"/>
      <c r="AE71" s="2814"/>
      <c r="AF71" s="2785"/>
      <c r="AG71" s="2785"/>
      <c r="AH71" s="2785"/>
      <c r="AI71" s="2785"/>
      <c r="AJ71" s="2785"/>
      <c r="AK71" s="2785"/>
      <c r="AL71" s="2785"/>
      <c r="AM71" s="2785"/>
      <c r="AN71" s="2785"/>
      <c r="AO71" s="2785"/>
      <c r="AP71" s="2785"/>
      <c r="AQ71" s="2785"/>
      <c r="AR71" s="2785"/>
      <c r="AS71" s="2785"/>
      <c r="AT71" s="2785"/>
      <c r="AU71" s="2786"/>
      <c r="AV71" s="1529"/>
      <c r="AW71" s="1529"/>
      <c r="AX71" s="1529"/>
      <c r="AY71" s="1529"/>
      <c r="AZ71" s="1529"/>
      <c r="BA71" s="1529"/>
      <c r="BB71" s="1529"/>
      <c r="BC71" s="1529"/>
      <c r="BD71" s="1529"/>
      <c r="BE71" s="1535"/>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9"/>
      <c r="AC72" s="2797" t="s">
        <v>2086</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9"/>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9"/>
      <c r="BE73" s="1535"/>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9"/>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4" t="s">
        <v>2088</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4"/>
      <c r="C80" s="2685"/>
      <c r="D80" s="2685"/>
      <c r="E80" s="2685"/>
      <c r="F80" s="2685"/>
      <c r="G80" s="2685"/>
      <c r="H80" s="2686"/>
      <c r="I80" s="2774" t="s">
        <v>2089</v>
      </c>
      <c r="J80" s="2775"/>
      <c r="K80" s="2775"/>
      <c r="L80" s="2775"/>
      <c r="M80" s="2775"/>
      <c r="N80" s="2776"/>
      <c r="O80" s="2774" t="s">
        <v>2090</v>
      </c>
      <c r="P80" s="2775"/>
      <c r="Q80" s="2775"/>
      <c r="R80" s="2775"/>
      <c r="S80" s="2775"/>
      <c r="T80" s="2775"/>
      <c r="U80" s="2776"/>
      <c r="V80" s="2774" t="s">
        <v>2091</v>
      </c>
      <c r="W80" s="2775"/>
      <c r="X80" s="2775"/>
      <c r="Y80" s="2775"/>
      <c r="Z80" s="2775"/>
      <c r="AA80" s="2776"/>
      <c r="AB80" s="2774" t="s">
        <v>2092</v>
      </c>
      <c r="AC80" s="2775"/>
      <c r="AD80" s="2775"/>
      <c r="AE80" s="2775"/>
      <c r="AF80" s="2775"/>
      <c r="AG80" s="277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4" t="s">
        <v>2093</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4" t="s">
        <v>2094</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0" t="s">
        <v>2096</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4"/>
      <c r="C87" s="2685"/>
      <c r="D87" s="2685"/>
      <c r="E87" s="2685"/>
      <c r="F87" s="2685"/>
      <c r="G87" s="2685"/>
      <c r="H87" s="2686"/>
      <c r="I87" s="2774" t="s">
        <v>2089</v>
      </c>
      <c r="J87" s="2775"/>
      <c r="K87" s="2775"/>
      <c r="L87" s="2775"/>
      <c r="M87" s="2775"/>
      <c r="N87" s="2776"/>
      <c r="O87" s="2774" t="s">
        <v>2090</v>
      </c>
      <c r="P87" s="2775"/>
      <c r="Q87" s="2775"/>
      <c r="R87" s="2775"/>
      <c r="S87" s="2775"/>
      <c r="T87" s="2775"/>
      <c r="U87" s="2776"/>
      <c r="V87" s="2774" t="s">
        <v>2091</v>
      </c>
      <c r="W87" s="2775"/>
      <c r="X87" s="2775"/>
      <c r="Y87" s="2775"/>
      <c r="Z87" s="2775"/>
      <c r="AA87" s="2776"/>
      <c r="AB87" s="2787" t="s">
        <v>2092</v>
      </c>
      <c r="AC87" s="2788"/>
      <c r="AD87" s="2788"/>
      <c r="AE87" s="2788"/>
      <c r="AF87" s="2788"/>
      <c r="AG87" s="2788"/>
      <c r="AH87" s="278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4" t="s">
        <v>2093</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4" t="s">
        <v>2094</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4" t="s">
        <v>2098</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4"/>
      <c r="C94" s="2685"/>
      <c r="D94" s="2685"/>
      <c r="E94" s="2685"/>
      <c r="F94" s="2685"/>
      <c r="G94" s="2685"/>
      <c r="H94" s="2686"/>
      <c r="I94" s="2774" t="s">
        <v>2089</v>
      </c>
      <c r="J94" s="2775"/>
      <c r="K94" s="2775"/>
      <c r="L94" s="2775"/>
      <c r="M94" s="2775"/>
      <c r="N94" s="2776"/>
      <c r="O94" s="2774" t="s">
        <v>2090</v>
      </c>
      <c r="P94" s="2775"/>
      <c r="Q94" s="2775"/>
      <c r="R94" s="2775"/>
      <c r="S94" s="2775"/>
      <c r="T94" s="2775"/>
      <c r="U94" s="2776"/>
      <c r="V94" s="2774" t="s">
        <v>2091</v>
      </c>
      <c r="W94" s="2775"/>
      <c r="X94" s="2775"/>
      <c r="Y94" s="2775"/>
      <c r="Z94" s="2775"/>
      <c r="AA94" s="2776"/>
      <c r="AB94" s="2787" t="s">
        <v>2092</v>
      </c>
      <c r="AC94" s="2788"/>
      <c r="AD94" s="2788"/>
      <c r="AE94" s="2788"/>
      <c r="AF94" s="2788"/>
      <c r="AG94" s="2788"/>
      <c r="AH94" s="2789"/>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4" t="s">
        <v>2093</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4" t="s">
        <v>2094</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3" t="s">
        <v>2100</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6"/>
      <c r="C101" s="2757"/>
      <c r="D101" s="2757"/>
      <c r="E101" s="2757"/>
      <c r="F101" s="2757"/>
      <c r="G101" s="2757"/>
      <c r="H101" s="2758"/>
      <c r="I101" s="2759" t="s">
        <v>2090</v>
      </c>
      <c r="J101" s="2658"/>
      <c r="K101" s="2658"/>
      <c r="L101" s="2658"/>
      <c r="M101" s="2658"/>
      <c r="N101" s="2658"/>
      <c r="O101" s="2760"/>
      <c r="P101" s="2759" t="s">
        <v>2101</v>
      </c>
      <c r="Q101" s="2658"/>
      <c r="R101" s="2658"/>
      <c r="S101" s="2658"/>
      <c r="T101" s="2658"/>
      <c r="U101" s="2760"/>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1" t="s">
        <v>2093</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2094</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3" t="s">
        <v>2102</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2036</v>
      </c>
      <c r="AH105" s="2766"/>
      <c r="AI105" s="2766"/>
      <c r="AJ105" s="276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8" t="s">
        <v>2103</v>
      </c>
      <c r="C106" s="2769"/>
      <c r="D106" s="2769"/>
      <c r="E106" s="2769"/>
      <c r="F106" s="2769"/>
      <c r="G106" s="2769"/>
      <c r="H106" s="2769"/>
      <c r="I106" s="2769"/>
      <c r="J106" s="2769"/>
      <c r="K106" s="2769"/>
      <c r="L106" s="2769"/>
      <c r="M106" s="2769"/>
      <c r="N106" s="2769"/>
      <c r="O106" s="2769"/>
      <c r="P106" s="2769"/>
      <c r="Q106" s="2770"/>
      <c r="R106" s="2771" t="s">
        <v>2104</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9"/>
      <c r="AZ106" s="1529"/>
      <c r="BA106" s="1529"/>
      <c r="BB106" s="1529"/>
      <c r="BC106" s="1529"/>
      <c r="BD106" s="1529"/>
      <c r="BE106" s="1535"/>
    </row>
    <row r="107" spans="1:57" ht="15.75" customHeight="1">
      <c r="A107" s="1818"/>
      <c r="B107" s="2744" t="s">
        <v>2105</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9"/>
      <c r="AZ107" s="1529"/>
      <c r="BA107" s="1529"/>
      <c r="BB107" s="1529"/>
      <c r="BC107" s="1529"/>
      <c r="BD107" s="1529"/>
      <c r="BE107" s="1535"/>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9"/>
      <c r="AZ108" s="1529"/>
      <c r="BA108" s="1529"/>
      <c r="BB108" s="1529"/>
      <c r="BC108" s="1529"/>
      <c r="BD108" s="1529"/>
      <c r="BE108" s="1535"/>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9"/>
      <c r="AZ109" s="1529"/>
      <c r="BA109" s="1529"/>
      <c r="BB109" s="1529"/>
      <c r="BC109" s="1529"/>
      <c r="BD109" s="1529"/>
      <c r="BE109" s="1535"/>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9"/>
      <c r="AZ110" s="1529"/>
      <c r="BA110" s="1529"/>
      <c r="BB110" s="1529"/>
      <c r="BC110" s="1529"/>
      <c r="BD110" s="1529"/>
      <c r="BE110" s="1535"/>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9"/>
      <c r="AZ111" s="1529"/>
      <c r="BA111" s="1529"/>
      <c r="BB111" s="1529"/>
      <c r="BC111" s="1529"/>
      <c r="BD111" s="1529"/>
      <c r="BE111" s="1535"/>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9"/>
      <c r="AZ112" s="1529"/>
      <c r="BA112" s="1529"/>
      <c r="BB112" s="1529"/>
      <c r="BC112" s="1529"/>
      <c r="BD112" s="1529"/>
      <c r="BE112" s="1535"/>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9"/>
      <c r="AZ113" s="1529"/>
      <c r="BA113" s="1529"/>
      <c r="BB113" s="1529"/>
      <c r="BC113" s="1529"/>
      <c r="BD113" s="1529"/>
      <c r="BE113" s="1535"/>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9"/>
      <c r="AZ114" s="1529"/>
      <c r="BA114" s="1529"/>
      <c r="BB114" s="1529"/>
      <c r="BC114" s="1529"/>
      <c r="BD114" s="1529"/>
      <c r="BE114" s="1535"/>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9"/>
      <c r="AZ115" s="1529"/>
      <c r="BA115" s="1529"/>
      <c r="BB115" s="1529"/>
      <c r="BC115" s="1529"/>
      <c r="BD115" s="1529"/>
      <c r="BE115" s="1535"/>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3" t="s">
        <v>2107</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6"/>
      <c r="C121" s="2757"/>
      <c r="D121" s="2757"/>
      <c r="E121" s="2757"/>
      <c r="F121" s="2757"/>
      <c r="G121" s="2757"/>
      <c r="H121" s="2758"/>
      <c r="I121" s="2759" t="s">
        <v>2090</v>
      </c>
      <c r="J121" s="2658"/>
      <c r="K121" s="2658"/>
      <c r="L121" s="2658"/>
      <c r="M121" s="2658"/>
      <c r="N121" s="2658"/>
      <c r="O121" s="2760"/>
      <c r="P121" s="2759" t="s">
        <v>2101</v>
      </c>
      <c r="Q121" s="2658"/>
      <c r="R121" s="2658"/>
      <c r="S121" s="2658"/>
      <c r="T121" s="2658"/>
      <c r="U121" s="2760"/>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1" t="s">
        <v>2093</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2094</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3" t="s">
        <v>2108</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9" t="s">
        <v>2109</v>
      </c>
      <c r="D126" s="2650"/>
      <c r="E126" s="2650"/>
      <c r="F126" s="2650"/>
      <c r="G126" s="2650"/>
      <c r="H126" s="2650"/>
      <c r="I126" s="2650"/>
      <c r="J126" s="2650"/>
      <c r="K126" s="2650"/>
      <c r="L126" s="2650"/>
      <c r="M126" s="2650"/>
      <c r="N126" s="2650"/>
      <c r="O126" s="2650"/>
      <c r="P126" s="2736"/>
      <c r="Q126" s="2737" t="s">
        <v>2110</v>
      </c>
      <c r="R126" s="2650"/>
      <c r="S126" s="2736"/>
      <c r="T126" s="2738" t="s">
        <v>2111</v>
      </c>
      <c r="U126" s="2739"/>
      <c r="V126" s="2739"/>
      <c r="W126" s="2739"/>
      <c r="X126" s="2739"/>
      <c r="Y126" s="2739"/>
      <c r="Z126" s="2739"/>
      <c r="AA126" s="2740"/>
      <c r="AB126" s="2741" t="s">
        <v>2112</v>
      </c>
      <c r="AC126" s="2742"/>
      <c r="AD126" s="2742"/>
      <c r="AE126" s="2742"/>
      <c r="AF126" s="2742"/>
      <c r="AG126" s="274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2113</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429</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8/2021</v>
      </c>
      <c r="U128" s="2729"/>
      <c r="V128" s="2729"/>
      <c r="W128" s="2729"/>
      <c r="X128" s="2729"/>
      <c r="Y128" s="2729"/>
      <c r="Z128" s="2729"/>
      <c r="AA128" s="272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2114</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2115</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2068</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9" t="s">
        <v>174</v>
      </c>
      <c r="D132" s="2700"/>
      <c r="E132" s="2700"/>
      <c r="F132" s="2631" t="s">
        <v>2116</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9" t="s">
        <v>174</v>
      </c>
      <c r="D133" s="2700"/>
      <c r="E133" s="2700"/>
      <c r="F133" s="2631" t="s">
        <v>2116</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9" t="s">
        <v>174</v>
      </c>
      <c r="D134" s="2700"/>
      <c r="E134" s="2700"/>
      <c r="F134" s="2616" t="s">
        <v>2116</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4" t="s">
        <v>2117</v>
      </c>
      <c r="D136" s="2685"/>
      <c r="E136" s="2685"/>
      <c r="F136" s="2685"/>
      <c r="G136" s="2685"/>
      <c r="H136" s="2685"/>
      <c r="I136" s="2685"/>
      <c r="J136" s="2685"/>
      <c r="K136" s="2685"/>
      <c r="L136" s="2685"/>
      <c r="M136" s="2685"/>
      <c r="N136" s="2686"/>
      <c r="O136" s="1529"/>
      <c r="P136" s="2687" t="s">
        <v>2118</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0" t="s">
        <v>2119</v>
      </c>
      <c r="D137" s="2691"/>
      <c r="E137" s="2691"/>
      <c r="F137" s="2691"/>
      <c r="G137" s="2691"/>
      <c r="H137" s="2692"/>
      <c r="I137" s="2690" t="s">
        <v>2120</v>
      </c>
      <c r="J137" s="2691"/>
      <c r="K137" s="2691"/>
      <c r="L137" s="2691"/>
      <c r="M137" s="2691"/>
      <c r="N137" s="2692"/>
      <c r="O137" s="1529"/>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2"/>
      <c r="D138" s="2672"/>
      <c r="E138" s="2672"/>
      <c r="F138" s="2672"/>
      <c r="G138" s="2672"/>
      <c r="H138" s="2672"/>
      <c r="I138" s="2673"/>
      <c r="J138" s="2673"/>
      <c r="K138" s="2673"/>
      <c r="L138" s="2673"/>
      <c r="M138" s="2673"/>
      <c r="N138" s="2673"/>
      <c r="O138" s="1529"/>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2"/>
      <c r="D139" s="2672"/>
      <c r="E139" s="2672"/>
      <c r="F139" s="2672"/>
      <c r="G139" s="2672"/>
      <c r="H139" s="2672"/>
      <c r="I139" s="2673"/>
      <c r="J139" s="2673"/>
      <c r="K139" s="2673"/>
      <c r="L139" s="2673"/>
      <c r="M139" s="2673"/>
      <c r="N139" s="2673"/>
      <c r="O139" s="1529"/>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2"/>
      <c r="D140" s="2672"/>
      <c r="E140" s="2672"/>
      <c r="F140" s="2672"/>
      <c r="G140" s="2672"/>
      <c r="H140" s="2672"/>
      <c r="I140" s="2673"/>
      <c r="J140" s="2673"/>
      <c r="K140" s="2673"/>
      <c r="L140" s="2673"/>
      <c r="M140" s="2673"/>
      <c r="N140" s="2673"/>
      <c r="O140" s="1529"/>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2"/>
      <c r="D141" s="2672"/>
      <c r="E141" s="2672"/>
      <c r="F141" s="2672"/>
      <c r="G141" s="2672"/>
      <c r="H141" s="2672"/>
      <c r="I141" s="2673"/>
      <c r="J141" s="2673"/>
      <c r="K141" s="2673"/>
      <c r="L141" s="2673"/>
      <c r="M141" s="2673"/>
      <c r="N141" s="2673"/>
      <c r="O141" s="1529"/>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2"/>
      <c r="D142" s="2672"/>
      <c r="E142" s="2672"/>
      <c r="F142" s="2672"/>
      <c r="G142" s="2672"/>
      <c r="H142" s="2672"/>
      <c r="I142" s="2673"/>
      <c r="J142" s="2673"/>
      <c r="K142" s="2673"/>
      <c r="L142" s="2673"/>
      <c r="M142" s="2673"/>
      <c r="N142" s="2673"/>
      <c r="O142" s="1529"/>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2"/>
      <c r="D143" s="2672"/>
      <c r="E143" s="2672"/>
      <c r="F143" s="2672"/>
      <c r="G143" s="2672"/>
      <c r="H143" s="2672"/>
      <c r="I143" s="2673"/>
      <c r="J143" s="2673"/>
      <c r="K143" s="2673"/>
      <c r="L143" s="2673"/>
      <c r="M143" s="2673"/>
      <c r="N143" s="2673"/>
      <c r="O143" s="1529"/>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2"/>
      <c r="D144" s="2672"/>
      <c r="E144" s="2672"/>
      <c r="F144" s="2672"/>
      <c r="G144" s="2672"/>
      <c r="H144" s="2672"/>
      <c r="I144" s="2673"/>
      <c r="J144" s="2673"/>
      <c r="K144" s="2673"/>
      <c r="L144" s="2673"/>
      <c r="M144" s="2673"/>
      <c r="N144" s="2673"/>
      <c r="O144" s="1529"/>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4"/>
      <c r="D149" s="2675"/>
      <c r="E149" s="2675"/>
      <c r="F149" s="2675"/>
      <c r="G149" s="2675"/>
      <c r="H149" s="2675"/>
      <c r="I149" s="2675"/>
      <c r="J149" s="2675"/>
      <c r="K149" s="2675"/>
      <c r="L149" s="2675"/>
      <c r="M149" s="2676"/>
      <c r="N149" s="2677" t="s">
        <v>2123</v>
      </c>
      <c r="O149" s="2677"/>
      <c r="P149" s="2677"/>
      <c r="Q149" s="2677"/>
      <c r="R149" s="2677"/>
      <c r="S149" s="2677"/>
      <c r="T149" s="2678"/>
      <c r="U149" s="2679" t="s">
        <v>2109</v>
      </c>
      <c r="V149" s="2680"/>
      <c r="W149" s="2680"/>
      <c r="X149" s="2680"/>
      <c r="Y149" s="2680"/>
      <c r="Z149" s="2680"/>
      <c r="AA149" s="2680"/>
      <c r="AB149" s="2680"/>
      <c r="AC149" s="2680"/>
      <c r="AD149" s="2680"/>
      <c r="AE149" s="2681"/>
      <c r="AF149" s="1529"/>
      <c r="AG149" s="1529"/>
      <c r="AH149" s="2682" t="s">
        <v>2124</v>
      </c>
      <c r="AI149" s="2683"/>
      <c r="AJ149" s="2683"/>
      <c r="AK149" s="2683"/>
      <c r="AL149" s="2683"/>
      <c r="AM149" s="2683"/>
      <c r="AN149" s="2683"/>
      <c r="AO149" s="2683"/>
      <c r="AP149" s="2683"/>
      <c r="AQ149" s="2683"/>
      <c r="AR149" s="2683"/>
      <c r="AS149" s="2655"/>
      <c r="AT149" s="2656"/>
      <c r="AU149" s="2656"/>
      <c r="AV149" s="2656"/>
      <c r="AW149" s="2656"/>
      <c r="AX149" s="1529"/>
      <c r="AY149" s="1529"/>
      <c r="AZ149" s="1529"/>
      <c r="BA149" s="1529"/>
      <c r="BB149" s="1529"/>
      <c r="BC149" s="1529"/>
      <c r="BD149" s="1529"/>
      <c r="BE149" s="1535"/>
    </row>
    <row r="150" spans="1:57" ht="15.75" customHeight="1">
      <c r="A150" s="1818"/>
      <c r="B150" s="1529"/>
      <c r="C150" s="2649" t="s">
        <v>2125</v>
      </c>
      <c r="D150" s="2650"/>
      <c r="E150" s="2650"/>
      <c r="F150" s="2650"/>
      <c r="G150" s="2650"/>
      <c r="H150" s="2650"/>
      <c r="I150" s="2650"/>
      <c r="J150" s="2650"/>
      <c r="K150" s="2650"/>
      <c r="L150" s="2650"/>
      <c r="M150" s="2651"/>
      <c r="N150" s="2652">
        <f>'Sources and Uses Budget'!B104</f>
        <v>9968112</v>
      </c>
      <c r="O150" s="2652"/>
      <c r="P150" s="2652"/>
      <c r="Q150" s="2652"/>
      <c r="R150" s="2652"/>
      <c r="S150" s="2652"/>
      <c r="T150" s="2653"/>
      <c r="U150" s="2662"/>
      <c r="V150" s="2663"/>
      <c r="W150" s="2663"/>
      <c r="X150" s="2663"/>
      <c r="Y150" s="2663"/>
      <c r="Z150" s="2663"/>
      <c r="AA150" s="2663"/>
      <c r="AB150" s="2663"/>
      <c r="AC150" s="2663"/>
      <c r="AD150" s="2663"/>
      <c r="AE150" s="2669"/>
      <c r="AF150" s="1529"/>
      <c r="AG150" s="1529"/>
      <c r="AH150" s="2670" t="s">
        <v>2126</v>
      </c>
      <c r="AI150" s="2671"/>
      <c r="AJ150" s="2671"/>
      <c r="AK150" s="2671"/>
      <c r="AL150" s="2671"/>
      <c r="AM150" s="2671"/>
      <c r="AN150" s="2671"/>
      <c r="AO150" s="2671"/>
      <c r="AP150" s="2671"/>
      <c r="AQ150" s="2671"/>
      <c r="AR150" s="2671"/>
      <c r="AS150" s="2655"/>
      <c r="AT150" s="2656"/>
      <c r="AU150" s="2656"/>
      <c r="AV150" s="2656"/>
      <c r="AW150" s="2656"/>
      <c r="AX150" s="1529"/>
      <c r="AY150" s="1529"/>
      <c r="AZ150" s="1529"/>
      <c r="BA150" s="1529"/>
      <c r="BB150" s="1529"/>
      <c r="BC150" s="1529"/>
      <c r="BD150" s="1529"/>
      <c r="BE150" s="1535"/>
    </row>
    <row r="151" spans="1:57" ht="15.75" customHeight="1">
      <c r="A151" s="1818"/>
      <c r="B151" s="1529"/>
      <c r="C151" s="2649" t="s">
        <v>2127</v>
      </c>
      <c r="D151" s="2650"/>
      <c r="E151" s="2650"/>
      <c r="F151" s="2650"/>
      <c r="G151" s="2650"/>
      <c r="H151" s="2650"/>
      <c r="I151" s="2650"/>
      <c r="J151" s="2650"/>
      <c r="K151" s="2650"/>
      <c r="L151" s="2650"/>
      <c r="M151" s="2651"/>
      <c r="N151" s="2652">
        <f>N150/J29</f>
        <v>73294.941176470587</v>
      </c>
      <c r="O151" s="2652"/>
      <c r="P151" s="2652"/>
      <c r="Q151" s="2652"/>
      <c r="R151" s="2652"/>
      <c r="S151" s="2652"/>
      <c r="T151" s="2653"/>
      <c r="U151" s="1553"/>
      <c r="V151" s="1553"/>
      <c r="W151" s="1553"/>
      <c r="X151" s="1553"/>
      <c r="Y151" s="1553"/>
      <c r="Z151" s="1553"/>
      <c r="AA151" s="1553"/>
      <c r="AB151" s="1553"/>
      <c r="AC151" s="1553"/>
      <c r="AD151" s="1553"/>
      <c r="AE151" s="1554"/>
      <c r="AF151" s="1529"/>
      <c r="AG151" s="1529"/>
      <c r="AH151" s="2640" t="s">
        <v>2128</v>
      </c>
      <c r="AI151" s="2641"/>
      <c r="AJ151" s="2641"/>
      <c r="AK151" s="2641"/>
      <c r="AL151" s="2641"/>
      <c r="AM151" s="2641"/>
      <c r="AN151" s="2641"/>
      <c r="AO151" s="2641"/>
      <c r="AP151" s="2641"/>
      <c r="AQ151" s="2641"/>
      <c r="AR151" s="2654"/>
      <c r="AS151" s="2655"/>
      <c r="AT151" s="2656"/>
      <c r="AU151" s="2656"/>
      <c r="AV151" s="2656"/>
      <c r="AW151" s="2656"/>
      <c r="AX151" s="1529"/>
      <c r="AY151" s="1529"/>
      <c r="AZ151" s="1529"/>
      <c r="BA151" s="1529"/>
      <c r="BB151" s="1529"/>
      <c r="BC151" s="1529"/>
      <c r="BD151" s="1529"/>
      <c r="BE151" s="1535"/>
    </row>
    <row r="152" spans="1:57" ht="15.75" customHeight="1">
      <c r="A152" s="1818"/>
      <c r="B152" s="1529"/>
      <c r="C152" s="2657" t="s">
        <v>2129</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9"/>
      <c r="AG152" s="1529"/>
      <c r="AH152" s="2662"/>
      <c r="AI152" s="2663"/>
      <c r="AJ152" s="2663"/>
      <c r="AK152" s="2663"/>
      <c r="AL152" s="2663"/>
      <c r="AM152" s="2663"/>
      <c r="AN152" s="2663"/>
      <c r="AO152" s="2663"/>
      <c r="AP152" s="2663"/>
      <c r="AQ152" s="2663"/>
      <c r="AR152" s="2664"/>
      <c r="AS152" s="2665"/>
      <c r="AT152" s="2666"/>
      <c r="AU152" s="2666"/>
      <c r="AV152" s="2666"/>
      <c r="AW152" s="2667"/>
      <c r="AX152" s="1529"/>
      <c r="AY152" s="1529"/>
      <c r="AZ152" s="1529"/>
      <c r="BA152" s="1529"/>
      <c r="BB152" s="1529"/>
      <c r="BC152" s="1529"/>
      <c r="BD152" s="1529"/>
      <c r="BE152" s="1535"/>
    </row>
    <row r="153" spans="1:57" ht="15.75" customHeight="1" thickBot="1">
      <c r="A153" s="1818"/>
      <c r="B153" s="1529"/>
      <c r="C153" s="2640" t="s">
        <v>2130</v>
      </c>
      <c r="D153" s="2641"/>
      <c r="E153" s="2641"/>
      <c r="F153" s="2641"/>
      <c r="G153" s="2641"/>
      <c r="H153" s="2641"/>
      <c r="I153" s="2641"/>
      <c r="J153" s="2641"/>
      <c r="K153" s="2641"/>
      <c r="L153" s="2641"/>
      <c r="M153" s="2642"/>
      <c r="N153" s="2643">
        <f>SUM('Sources and Uses Budget'!B85:B86)</f>
        <v>4889908</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2131</v>
      </c>
      <c r="AI153" s="2646"/>
      <c r="AJ153" s="2646"/>
      <c r="AK153" s="2646"/>
      <c r="AL153" s="2646"/>
      <c r="AM153" s="2646"/>
      <c r="AN153" s="2646"/>
      <c r="AO153" s="2646"/>
      <c r="AP153" s="2646"/>
      <c r="AQ153" s="2646"/>
      <c r="AR153" s="2646"/>
      <c r="AS153" s="2647">
        <f>SUM(AS149:AW151)</f>
        <v>0</v>
      </c>
      <c r="AT153" s="2648"/>
      <c r="AU153" s="2648"/>
      <c r="AV153" s="2648"/>
      <c r="AW153" s="2648"/>
      <c r="AX153" s="1529"/>
      <c r="AY153" s="1529"/>
      <c r="AZ153" s="1529"/>
      <c r="BA153" s="1529"/>
      <c r="BB153" s="1529"/>
      <c r="BC153" s="1529"/>
      <c r="BD153" s="1529"/>
      <c r="BE153" s="1535"/>
    </row>
    <row r="154" spans="1:57" ht="15.75" customHeight="1">
      <c r="A154" s="1818"/>
      <c r="B154" s="1529"/>
      <c r="C154" s="2640" t="s">
        <v>2132</v>
      </c>
      <c r="D154" s="2641"/>
      <c r="E154" s="2641"/>
      <c r="F154" s="2641"/>
      <c r="G154" s="2641"/>
      <c r="H154" s="2641"/>
      <c r="I154" s="2641"/>
      <c r="J154" s="2641"/>
      <c r="K154" s="2641"/>
      <c r="L154" s="2641"/>
      <c r="M154" s="2642"/>
      <c r="N154" s="2643">
        <f>'Sources and Uses Budget'!B8</f>
        <v>4500000</v>
      </c>
      <c r="O154" s="2643"/>
      <c r="P154" s="2643"/>
      <c r="Q154" s="2643"/>
      <c r="R154" s="2643"/>
      <c r="S154" s="2643"/>
      <c r="T154" s="2644"/>
      <c r="U154" s="2635"/>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2133</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2126</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307</v>
      </c>
      <c r="D157" s="2630"/>
      <c r="E157" s="2631" t="s">
        <v>2116</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307</v>
      </c>
      <c r="D158" s="2639"/>
      <c r="E158" s="2631" t="s">
        <v>2116</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307</v>
      </c>
      <c r="D159" s="2615"/>
      <c r="E159" s="2616" t="s">
        <v>2116</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2134</v>
      </c>
      <c r="D160" s="2624"/>
      <c r="E160" s="2624"/>
      <c r="F160" s="2624"/>
      <c r="G160" s="2624"/>
      <c r="H160" s="2624"/>
      <c r="I160" s="2624"/>
      <c r="J160" s="2624"/>
      <c r="K160" s="2624"/>
      <c r="L160" s="2624"/>
      <c r="M160" s="2625"/>
      <c r="N160" s="2626">
        <f>SUM(N152:T159)</f>
        <v>9389908</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2135</v>
      </c>
      <c r="D161" s="2602"/>
      <c r="E161" s="2602"/>
      <c r="F161" s="2602"/>
      <c r="G161" s="2602"/>
      <c r="H161" s="2602"/>
      <c r="I161" s="2602"/>
      <c r="J161" s="2602"/>
      <c r="K161" s="2602"/>
      <c r="L161" s="2602"/>
      <c r="M161" s="2602"/>
      <c r="N161" s="2603">
        <f>(N150-N160)/J29</f>
        <v>4251.5</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2136</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2137</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2138</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5" t="s">
        <v>2139</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8" t="s">
        <v>2141</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9" t="s">
        <v>2142</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5"/>
      <c r="BB175" s="1555"/>
      <c r="BC175" s="1555"/>
      <c r="BD175" s="1535"/>
      <c r="BE175" s="1535"/>
    </row>
    <row r="176" spans="1:57" ht="15.75" customHeight="1">
      <c r="A176" s="1818"/>
      <c r="B176" s="1528"/>
      <c r="C176" s="1555"/>
      <c r="D176" s="1555"/>
      <c r="E176" s="1555"/>
      <c r="F176" s="1555"/>
      <c r="G176" s="1555"/>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5"/>
      <c r="BB176" s="1555"/>
      <c r="BC176" s="1555"/>
      <c r="BD176" s="1535"/>
      <c r="BE176" s="1535"/>
    </row>
    <row r="177" spans="1:57" ht="15.75" customHeight="1">
      <c r="A177" s="1818"/>
      <c r="B177" s="1528"/>
      <c r="C177" s="1555"/>
      <c r="D177" s="1555"/>
      <c r="E177" s="1555"/>
      <c r="F177" s="1555"/>
      <c r="G177" s="1555"/>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0" t="s">
        <v>2143</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3" t="s">
        <v>2144</v>
      </c>
      <c r="I182" s="2593"/>
      <c r="J182" s="2593"/>
      <c r="K182" s="2593"/>
      <c r="L182" s="1564"/>
      <c r="M182" s="1564"/>
      <c r="N182" s="1564"/>
      <c r="O182" s="1564"/>
      <c r="P182" s="1564"/>
      <c r="Q182" s="1564"/>
      <c r="R182" s="1564"/>
      <c r="S182" s="2590"/>
      <c r="T182" s="2591"/>
      <c r="U182" s="2591"/>
      <c r="V182" s="2591"/>
      <c r="W182" s="2591"/>
      <c r="X182" s="2591"/>
      <c r="Y182" s="2591"/>
      <c r="Z182" s="2591"/>
      <c r="AA182" s="2591"/>
      <c r="AB182" s="2591"/>
      <c r="AC182" s="2591"/>
      <c r="AD182" s="2591"/>
      <c r="AE182" s="2591"/>
      <c r="AF182" s="2591"/>
      <c r="AG182" s="2591"/>
      <c r="AH182" s="2591"/>
      <c r="AI182" s="2591"/>
      <c r="AJ182" s="25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3" t="s">
        <v>2145</v>
      </c>
      <c r="I184" s="2593"/>
      <c r="J184" s="2593"/>
      <c r="K184" s="1566"/>
      <c r="L184" s="1564"/>
      <c r="M184" s="1564"/>
      <c r="N184" s="1564"/>
      <c r="O184" s="1564"/>
      <c r="P184" s="1564"/>
      <c r="Q184" s="1564"/>
      <c r="R184" s="1564"/>
      <c r="S184" s="2590"/>
      <c r="T184" s="2591"/>
      <c r="U184" s="2591"/>
      <c r="V184" s="2591"/>
      <c r="W184" s="2591"/>
      <c r="X184" s="2591"/>
      <c r="Y184" s="2591"/>
      <c r="Z184" s="2591"/>
      <c r="AA184" s="2591"/>
      <c r="AB184" s="2591"/>
      <c r="AC184" s="2591"/>
      <c r="AD184" s="2591"/>
      <c r="AE184" s="2591"/>
      <c r="AF184" s="2591"/>
      <c r="AG184" s="2591"/>
      <c r="AH184" s="2591"/>
      <c r="AI184" s="2591"/>
      <c r="AJ184" s="25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3" t="s">
        <v>462</v>
      </c>
      <c r="I186" s="2593"/>
      <c r="J186" s="1566"/>
      <c r="K186" s="1566"/>
      <c r="L186" s="1564"/>
      <c r="M186" s="1564"/>
      <c r="N186" s="1564"/>
      <c r="O186" s="1564"/>
      <c r="P186" s="1564"/>
      <c r="Q186" s="1564"/>
      <c r="R186" s="1564"/>
      <c r="S186" s="2590"/>
      <c r="T186" s="2591"/>
      <c r="U186" s="2591"/>
      <c r="V186" s="2591"/>
      <c r="W186" s="2591"/>
      <c r="X186" s="2591"/>
      <c r="Y186" s="2591"/>
      <c r="Z186" s="2591"/>
      <c r="AA186" s="2591"/>
      <c r="AB186" s="2591"/>
      <c r="AC186" s="2591"/>
      <c r="AD186" s="2591"/>
      <c r="AE186" s="2591"/>
      <c r="AF186" s="2591"/>
      <c r="AG186" s="2591"/>
      <c r="AH186" s="2591"/>
      <c r="AI186" s="2591"/>
      <c r="AJ186" s="25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4" t="s">
        <v>2146</v>
      </c>
      <c r="I188" s="2594"/>
      <c r="J188" s="2594"/>
      <c r="K188" s="2594"/>
      <c r="L188" s="2594"/>
      <c r="M188" s="2594"/>
      <c r="N188" s="2594"/>
      <c r="O188" s="2594"/>
      <c r="P188" s="1564"/>
      <c r="Q188" s="1564"/>
      <c r="R188" s="1564"/>
      <c r="S188" s="2590"/>
      <c r="T188" s="2591"/>
      <c r="U188" s="2591"/>
      <c r="V188" s="2591"/>
      <c r="W188" s="2591"/>
      <c r="X188" s="2591"/>
      <c r="Y188" s="2591"/>
      <c r="Z188" s="2591"/>
      <c r="AA188" s="2591"/>
      <c r="AB188" s="2591"/>
      <c r="AC188" s="2591"/>
      <c r="AD188" s="2591"/>
      <c r="AE188" s="2591"/>
      <c r="AF188" s="2591"/>
      <c r="AG188" s="2591"/>
      <c r="AH188" s="2591"/>
      <c r="AI188" s="2591"/>
      <c r="AJ188" s="25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9" t="s">
        <v>2147</v>
      </c>
      <c r="I190" s="2589"/>
      <c r="J190" s="1564"/>
      <c r="K190" s="1564"/>
      <c r="L190" s="1564"/>
      <c r="M190" s="1564"/>
      <c r="N190" s="1564"/>
      <c r="O190" s="1564"/>
      <c r="P190" s="1564"/>
      <c r="Q190" s="1564"/>
      <c r="R190" s="1564"/>
      <c r="S190" s="2590"/>
      <c r="T190" s="2591"/>
      <c r="U190" s="2591"/>
      <c r="V190" s="2591"/>
      <c r="W190" s="2591"/>
      <c r="X190" s="2591"/>
      <c r="Y190" s="2591"/>
      <c r="Z190" s="2591"/>
      <c r="AA190" s="2591"/>
      <c r="AB190" s="2591"/>
      <c r="AC190" s="2591"/>
      <c r="AD190" s="2591"/>
      <c r="AE190" s="2591"/>
      <c r="AF190" s="2591"/>
      <c r="AG190" s="2591"/>
      <c r="AH190" s="2591"/>
      <c r="AI190" s="2591"/>
      <c r="AJ190" s="25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E19" sqref="E19:AJ1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3" t="s">
        <v>1556</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7" customFormat="1" ht="12.8"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2" t="s">
        <v>1561</v>
      </c>
      <c r="AF7" s="3012"/>
      <c r="AG7" s="3012"/>
      <c r="AH7" s="3012"/>
      <c r="AI7" s="3012"/>
      <c r="AJ7" s="3012"/>
      <c r="AK7" s="3012"/>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6" t="s">
        <v>624</v>
      </c>
      <c r="C12" s="2996"/>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5"/>
      <c r="AH12" s="3025"/>
      <c r="AI12" s="3025"/>
      <c r="AJ12" s="3026"/>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6" t="s">
        <v>624</v>
      </c>
      <c r="C15" s="2996"/>
      <c r="D15" s="940"/>
      <c r="E15" s="3013" t="s">
        <v>1564</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3"/>
      <c r="AL15" s="933"/>
      <c r="AM15" s="933"/>
      <c r="AN15" s="929"/>
      <c r="AO15" s="943">
        <f>IF($B24="yes",20,0)</f>
        <v>0</v>
      </c>
      <c r="AP15" s="51"/>
    </row>
    <row r="16" spans="1:42" s="930" customFormat="1" ht="12.8" customHeight="1">
      <c r="A16" s="933"/>
      <c r="B16" s="933"/>
      <c r="C16" s="933"/>
      <c r="D16" s="944"/>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3"/>
      <c r="AL16" s="933"/>
      <c r="AM16" s="933"/>
      <c r="AN16" s="929"/>
      <c r="AO16" s="930">
        <f>IF(SUM(AO12:AO15)&gt;20,20,(SUM(AO12:AO15)))</f>
        <v>0</v>
      </c>
      <c r="AP16" s="930" t="s">
        <v>1565</v>
      </c>
    </row>
    <row r="17" spans="1:42" s="930" customFormat="1" ht="12.8" customHeight="1">
      <c r="A17" s="933"/>
      <c r="B17" s="933"/>
      <c r="C17" s="933"/>
      <c r="D17" s="944"/>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6" t="s">
        <v>624</v>
      </c>
      <c r="C21" s="2996"/>
      <c r="D21" s="940"/>
      <c r="E21" s="2997" t="s">
        <v>1567</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3"/>
      <c r="AL21" s="933"/>
      <c r="AM21" s="933"/>
      <c r="AN21" s="929"/>
      <c r="AO21" s="930">
        <f>SUM(AO20)</f>
        <v>0</v>
      </c>
      <c r="AP21" s="930" t="s">
        <v>1565</v>
      </c>
    </row>
    <row r="22" spans="1:42" s="930" customFormat="1" ht="12.8" customHeight="1">
      <c r="A22" s="933"/>
      <c r="B22" s="933"/>
      <c r="C22" s="933"/>
      <c r="D22" s="943"/>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6" t="s">
        <v>624</v>
      </c>
      <c r="C24" s="2996"/>
      <c r="D24" s="940"/>
      <c r="E24" s="3003" t="s">
        <v>1568</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3"/>
      <c r="AL24" s="933"/>
      <c r="AM24" s="933"/>
      <c r="AN24" s="929"/>
      <c r="AO24" s="943">
        <f>IF($B39="yes",6,0)</f>
        <v>0</v>
      </c>
    </row>
    <row r="25" spans="1:42" s="930" customFormat="1" ht="12.8" customHeight="1">
      <c r="A25" s="933"/>
      <c r="B25" s="933"/>
      <c r="C25" s="933"/>
      <c r="D25" s="943"/>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6" t="s">
        <v>624</v>
      </c>
      <c r="C29" s="2996"/>
      <c r="D29" s="940"/>
      <c r="E29" s="3003" t="s">
        <v>1570</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3"/>
      <c r="AL29" s="933"/>
      <c r="AM29" s="933"/>
      <c r="AN29" s="929"/>
      <c r="AO29" s="943">
        <f>IF($B49="yes",6,0)</f>
        <v>0</v>
      </c>
    </row>
    <row r="30" spans="1:42" s="930" customFormat="1" ht="12.8" customHeight="1">
      <c r="A30" s="933"/>
      <c r="B30" s="933"/>
      <c r="C30" s="933"/>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3"/>
      <c r="AL30" s="933"/>
      <c r="AM30" s="933"/>
      <c r="AN30" s="929"/>
      <c r="AO30" s="930">
        <f>IF(SUM(AO23:AO29)&gt;6,6,(SUM(AO23:AO29)))</f>
        <v>0</v>
      </c>
      <c r="AP30" s="930" t="s">
        <v>1565</v>
      </c>
    </row>
    <row r="31" spans="1:42" s="930" customFormat="1" ht="12.8" customHeight="1">
      <c r="A31" s="933"/>
      <c r="B31" s="933"/>
      <c r="C31" s="933"/>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30" t="s">
        <v>2397</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3"/>
      <c r="AM34" s="933"/>
      <c r="AN34" s="929"/>
    </row>
    <row r="35" spans="1:41" s="930" customFormat="1" ht="12.8" customHeight="1">
      <c r="A35" s="933"/>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6" t="s">
        <v>624</v>
      </c>
      <c r="C37" s="2996"/>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6" t="s">
        <v>624</v>
      </c>
      <c r="C39" s="2996"/>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6" t="s">
        <v>624</v>
      </c>
      <c r="C41" s="2996"/>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6" t="s">
        <v>624</v>
      </c>
      <c r="C43" s="2996"/>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6" t="s">
        <v>624</v>
      </c>
      <c r="C45" s="2996"/>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6" t="s">
        <v>624</v>
      </c>
      <c r="C47" s="2996"/>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6" t="s">
        <v>624</v>
      </c>
      <c r="C49" s="2996"/>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7">
        <f>AO32</f>
        <v>0</v>
      </c>
      <c r="AL51" s="3028"/>
      <c r="AM51" s="3029"/>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2" t="s">
        <v>1582</v>
      </c>
      <c r="AF54" s="3012"/>
      <c r="AG54" s="3012"/>
      <c r="AH54" s="3012"/>
      <c r="AI54" s="3012"/>
      <c r="AJ54" s="3012"/>
      <c r="AK54" s="3012"/>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6" t="s">
        <v>624</v>
      </c>
      <c r="C57" s="2996"/>
      <c r="D57" s="940" t="s">
        <v>1583</v>
      </c>
      <c r="E57" s="3013" t="s">
        <v>2236</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6"/>
      <c r="AL57" s="933"/>
      <c r="AM57" s="933"/>
      <c r="AN57" s="929"/>
      <c r="AO57" s="943">
        <f>IF($B57="yes",10,0)</f>
        <v>0</v>
      </c>
    </row>
    <row r="58" spans="1:50" s="930" customFormat="1" ht="12.8" customHeight="1">
      <c r="A58" s="931"/>
      <c r="B58" s="933"/>
      <c r="C58" s="933"/>
      <c r="D58" s="944"/>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6"/>
      <c r="AL58" s="933"/>
      <c r="AM58" s="933"/>
      <c r="AN58" s="929"/>
      <c r="AO58" s="943">
        <f>IF($B62="yes",10,0)</f>
        <v>10</v>
      </c>
    </row>
    <row r="59" spans="1:50" s="930" customFormat="1" ht="12.8" customHeight="1">
      <c r="A59" s="931"/>
      <c r="B59" s="933"/>
      <c r="C59" s="933"/>
      <c r="D59" s="944"/>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6"/>
      <c r="AL59" s="933"/>
      <c r="AM59" s="933"/>
      <c r="AN59" s="929"/>
      <c r="AO59" s="943">
        <f>IF($B69="yes",10,0)</f>
        <v>0</v>
      </c>
    </row>
    <row r="60" spans="1:50" s="930" customFormat="1" ht="12.8" customHeight="1">
      <c r="A60" s="931"/>
      <c r="B60" s="933"/>
      <c r="C60" s="933"/>
      <c r="D60" s="944"/>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6" t="s">
        <v>576</v>
      </c>
      <c r="C62" s="2996"/>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2" t="s">
        <v>624</v>
      </c>
      <c r="F63" s="2996"/>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1" t="s">
        <v>624</v>
      </c>
      <c r="F64" s="2992"/>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1" t="s">
        <v>624</v>
      </c>
      <c r="F65" s="2992"/>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2" t="s">
        <v>576</v>
      </c>
      <c r="F67" s="2996"/>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6" t="s">
        <v>624</v>
      </c>
      <c r="C69" s="2996"/>
      <c r="D69" s="940" t="s">
        <v>1588</v>
      </c>
      <c r="E69" s="3003" t="s">
        <v>2237</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6"/>
      <c r="AL69" s="933"/>
      <c r="AM69" s="933"/>
      <c r="AN69" s="929"/>
    </row>
    <row r="70" spans="1:40" s="930" customFormat="1" ht="12.8" customHeight="1">
      <c r="A70" s="931"/>
      <c r="B70" s="933"/>
      <c r="C70" s="933"/>
      <c r="D70" s="943"/>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7">
        <f>IF(AK51&gt;0,0,AO60)</f>
        <v>10</v>
      </c>
      <c r="AL72" s="3028"/>
      <c r="AM72" s="3029"/>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2" t="s">
        <v>1561</v>
      </c>
      <c r="AF75" s="3012"/>
      <c r="AG75" s="3012"/>
      <c r="AH75" s="3012"/>
      <c r="AI75" s="3012"/>
      <c r="AJ75" s="3012"/>
      <c r="AK75" s="3012"/>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6" t="s">
        <v>624</v>
      </c>
      <c r="C78" s="2996"/>
      <c r="D78" s="940" t="s">
        <v>1583</v>
      </c>
      <c r="E78" s="3035" t="s">
        <v>1593</v>
      </c>
      <c r="F78" s="3036"/>
      <c r="G78" s="3036"/>
      <c r="H78" s="3036"/>
      <c r="I78" s="3036"/>
      <c r="J78" s="3036"/>
      <c r="K78" s="3036"/>
      <c r="L78" s="3036"/>
      <c r="M78" s="3036"/>
      <c r="N78" s="3036"/>
      <c r="O78" s="3036"/>
      <c r="P78" s="3036"/>
      <c r="Q78" s="3036"/>
      <c r="R78" s="3036"/>
      <c r="S78" s="3036"/>
      <c r="T78" s="3036"/>
      <c r="U78" s="3036"/>
      <c r="V78" s="3036"/>
      <c r="W78" s="3036"/>
      <c r="X78" s="3036"/>
      <c r="Y78" s="3036"/>
      <c r="Z78" s="3036"/>
      <c r="AA78" s="3036"/>
      <c r="AB78" s="3036"/>
      <c r="AC78" s="3036"/>
      <c r="AD78" s="3036"/>
      <c r="AE78" s="3036"/>
      <c r="AF78" s="3036"/>
      <c r="AG78" s="3036"/>
      <c r="AH78" s="3036"/>
      <c r="AI78" s="3036"/>
      <c r="AJ78" s="3037"/>
      <c r="AK78" s="936"/>
      <c r="AL78" s="933"/>
      <c r="AM78" s="933"/>
      <c r="AN78" s="929"/>
    </row>
    <row r="79" spans="1:40" s="930" customFormat="1" ht="12.8" customHeight="1">
      <c r="A79" s="931"/>
      <c r="B79" s="932"/>
      <c r="C79" s="932"/>
      <c r="D79" s="932"/>
      <c r="E79" s="3038"/>
      <c r="F79" s="3039"/>
      <c r="G79" s="3039"/>
      <c r="H79" s="3039"/>
      <c r="I79" s="3039"/>
      <c r="J79" s="3039"/>
      <c r="K79" s="3039"/>
      <c r="L79" s="3039"/>
      <c r="M79" s="3039"/>
      <c r="N79" s="3039"/>
      <c r="O79" s="3039"/>
      <c r="P79" s="3039"/>
      <c r="Q79" s="3039"/>
      <c r="R79" s="3039"/>
      <c r="S79" s="3039"/>
      <c r="T79" s="3039"/>
      <c r="U79" s="3039"/>
      <c r="V79" s="3039"/>
      <c r="W79" s="3039"/>
      <c r="X79" s="3039"/>
      <c r="Y79" s="3039"/>
      <c r="Z79" s="3039"/>
      <c r="AA79" s="3039"/>
      <c r="AB79" s="3039"/>
      <c r="AC79" s="3039"/>
      <c r="AD79" s="3039"/>
      <c r="AE79" s="3039"/>
      <c r="AF79" s="3039"/>
      <c r="AG79" s="3039"/>
      <c r="AH79" s="3039"/>
      <c r="AI79" s="3039"/>
      <c r="AJ79" s="3040"/>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1">
        <f>Application!AH753</f>
        <v>0.54274436090225575</v>
      </c>
      <c r="F81" s="3042"/>
      <c r="G81" s="3042"/>
      <c r="H81" s="3042"/>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3">
        <f>0.6-ROUNDUP(E81,2)</f>
        <v>4.9999999999999933E-2</v>
      </c>
      <c r="F82" s="3044"/>
      <c r="G82" s="3044"/>
      <c r="H82" s="3044"/>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3">
        <f>IF(E82*200&gt;20,20,E82*200)</f>
        <v>9.9999999999999858</v>
      </c>
      <c r="F83" s="3034"/>
      <c r="G83" s="3034"/>
      <c r="H83" s="3034"/>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6" t="s">
        <v>576</v>
      </c>
      <c r="C86" s="2996"/>
      <c r="D86" s="940" t="s">
        <v>1585</v>
      </c>
      <c r="E86" s="3035" t="s">
        <v>2221</v>
      </c>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7"/>
      <c r="AK86" s="936"/>
      <c r="AL86" s="933"/>
      <c r="AM86" s="933"/>
      <c r="AN86" s="929"/>
    </row>
    <row r="87" spans="1:47" s="930" customFormat="1" ht="12.8" customHeight="1">
      <c r="A87" s="931"/>
      <c r="B87" s="932"/>
      <c r="C87" s="932"/>
      <c r="D87" s="932"/>
      <c r="E87" s="3038"/>
      <c r="F87" s="3039"/>
      <c r="G87" s="3039"/>
      <c r="H87" s="3039"/>
      <c r="I87" s="3039"/>
      <c r="J87" s="3039"/>
      <c r="K87" s="3039"/>
      <c r="L87" s="3039"/>
      <c r="M87" s="3039"/>
      <c r="N87" s="3039"/>
      <c r="O87" s="3039"/>
      <c r="P87" s="3039"/>
      <c r="Q87" s="3039"/>
      <c r="R87" s="3039"/>
      <c r="S87" s="3039"/>
      <c r="T87" s="3039"/>
      <c r="U87" s="3039"/>
      <c r="V87" s="3039"/>
      <c r="W87" s="3039"/>
      <c r="X87" s="3039"/>
      <c r="Y87" s="3039"/>
      <c r="Z87" s="3039"/>
      <c r="AA87" s="3039"/>
      <c r="AB87" s="3039"/>
      <c r="AC87" s="3039"/>
      <c r="AD87" s="3039"/>
      <c r="AE87" s="3039"/>
      <c r="AF87" s="3039"/>
      <c r="AG87" s="3039"/>
      <c r="AH87" s="3039"/>
      <c r="AI87" s="3039"/>
      <c r="AJ87" s="3040"/>
      <c r="AK87" s="936"/>
      <c r="AL87" s="933"/>
      <c r="AM87" s="933"/>
      <c r="AN87" s="929"/>
    </row>
    <row r="88" spans="1:47" s="930" customFormat="1" ht="12.8" customHeight="1">
      <c r="A88" s="931"/>
      <c r="B88" s="932"/>
      <c r="C88" s="932"/>
      <c r="D88" s="932"/>
      <c r="E88" s="3038"/>
      <c r="F88" s="3039"/>
      <c r="G88" s="3039"/>
      <c r="H88" s="3039"/>
      <c r="I88" s="3039"/>
      <c r="J88" s="3039"/>
      <c r="K88" s="3039"/>
      <c r="L88" s="3039"/>
      <c r="M88" s="3039"/>
      <c r="N88" s="3039"/>
      <c r="O88" s="3039"/>
      <c r="P88" s="3039"/>
      <c r="Q88" s="3039"/>
      <c r="R88" s="3039"/>
      <c r="S88" s="3039"/>
      <c r="T88" s="3039"/>
      <c r="U88" s="3039"/>
      <c r="V88" s="3039"/>
      <c r="W88" s="3039"/>
      <c r="X88" s="3039"/>
      <c r="Y88" s="3039"/>
      <c r="Z88" s="3039"/>
      <c r="AA88" s="3039"/>
      <c r="AB88" s="3039"/>
      <c r="AC88" s="3039"/>
      <c r="AD88" s="3039"/>
      <c r="AE88" s="3039"/>
      <c r="AF88" s="3039"/>
      <c r="AG88" s="3039"/>
      <c r="AH88" s="3039"/>
      <c r="AI88" s="3039"/>
      <c r="AJ88" s="3040"/>
      <c r="AK88" s="936"/>
      <c r="AL88" s="933"/>
      <c r="AM88" s="933"/>
      <c r="AN88" s="929"/>
    </row>
    <row r="89" spans="1:47" s="930" customFormat="1" ht="12.8" customHeight="1">
      <c r="A89" s="931"/>
      <c r="B89" s="932"/>
      <c r="C89" s="932"/>
      <c r="D89" s="932"/>
      <c r="E89" s="3038"/>
      <c r="F89" s="3039"/>
      <c r="G89" s="3039"/>
      <c r="H89" s="3039"/>
      <c r="I89" s="3039"/>
      <c r="J89" s="3039"/>
      <c r="K89" s="3039"/>
      <c r="L89" s="3039"/>
      <c r="M89" s="3039"/>
      <c r="N89" s="3039"/>
      <c r="O89" s="3039"/>
      <c r="P89" s="3039"/>
      <c r="Q89" s="3039"/>
      <c r="R89" s="3039"/>
      <c r="S89" s="3039"/>
      <c r="T89" s="3039"/>
      <c r="U89" s="3039"/>
      <c r="V89" s="3039"/>
      <c r="W89" s="3039"/>
      <c r="X89" s="3039"/>
      <c r="Y89" s="3039"/>
      <c r="Z89" s="3039"/>
      <c r="AA89" s="3039"/>
      <c r="AB89" s="3039"/>
      <c r="AC89" s="3039"/>
      <c r="AD89" s="3039"/>
      <c r="AE89" s="3039"/>
      <c r="AF89" s="3039"/>
      <c r="AG89" s="3039"/>
      <c r="AH89" s="3039"/>
      <c r="AI89" s="3039"/>
      <c r="AJ89" s="3040"/>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1">
        <f>Application!AH753</f>
        <v>0.54274436090225575</v>
      </c>
      <c r="F91" s="3042"/>
      <c r="G91" s="3042"/>
      <c r="H91" s="3042"/>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1">
        <f ca="1">SUMIF(Application!AH728:AL752,0.2,Application!G728:J752)/Application!G753+SUMIF(Application!AH728:AL752,0.25,Application!G728:J752)/Application!G753+SUMIF(Application!AH728:AL752,0.3,Application!G728:J752)/Application!G753</f>
        <v>0.30451127819548873</v>
      </c>
      <c r="F92" s="3042"/>
      <c r="G92" s="3042"/>
      <c r="H92" s="3042"/>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1">
        <f ca="1">SUMIF(Application!AH728:AL752,0.35,Application!G728:J752)/Application!G753+SUMIF(Application!AH728:AL752,0.4,Application!G728:J752)/Application!G753+SUMIF(Application!AH728:AL752,0.45,Application!G728:J752)/Application!G753+SUMIF(Application!AH728:AL752,0.5,Application!G728:J752)/Application!G753</f>
        <v>0</v>
      </c>
      <c r="F93" s="3042"/>
      <c r="G93" s="3042"/>
      <c r="H93" s="3042"/>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2">
        <f ca="1">IF(AND(E91&lt;=0.6,E92&gt;=0.1,OR(E93&gt;=0.1,E92=1)),20,0)</f>
        <v>0</v>
      </c>
      <c r="F94" s="3053"/>
      <c r="G94" s="3053"/>
      <c r="H94" s="3053"/>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7">
        <v>20</v>
      </c>
      <c r="AL97" s="3028"/>
      <c r="AM97" s="3029"/>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2" t="s">
        <v>1582</v>
      </c>
      <c r="AF100" s="3012"/>
      <c r="AG100" s="3012"/>
      <c r="AH100" s="3012"/>
      <c r="AI100" s="3012"/>
      <c r="AJ100" s="3012"/>
      <c r="AK100" s="3012"/>
      <c r="AL100" s="933"/>
      <c r="AM100" s="933"/>
      <c r="AN100" s="929"/>
      <c r="AO100" s="930" t="str">
        <f>Application!B728</f>
        <v>1 Bedroom</v>
      </c>
      <c r="AQ100" s="930">
        <f>Application!O728</f>
        <v>365</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801</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1092</v>
      </c>
    </row>
    <row r="103" spans="1:49" s="930" customFormat="1" ht="12.8" customHeight="1">
      <c r="A103" s="933"/>
      <c r="B103" s="2996" t="s">
        <v>576</v>
      </c>
      <c r="C103" s="2996"/>
      <c r="D103" s="940" t="s">
        <v>1583</v>
      </c>
      <c r="E103" s="3035" t="s">
        <v>2383</v>
      </c>
      <c r="F103" s="3036"/>
      <c r="G103" s="3036"/>
      <c r="H103" s="3036"/>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36"/>
      <c r="AD103" s="3036"/>
      <c r="AE103" s="3036"/>
      <c r="AF103" s="3036"/>
      <c r="AG103" s="3036"/>
      <c r="AH103" s="3036"/>
      <c r="AI103" s="3036"/>
      <c r="AJ103" s="3037"/>
      <c r="AK103" s="933"/>
      <c r="AL103" s="933"/>
      <c r="AM103" s="933"/>
      <c r="AN103" s="929"/>
      <c r="AO103" s="930" t="str">
        <f>Application!B731</f>
        <v>2 Bedrooms</v>
      </c>
      <c r="AQ103" s="930">
        <f>Application!O731</f>
        <v>436</v>
      </c>
      <c r="AU103" s="930" t="s">
        <v>2361</v>
      </c>
      <c r="AV103" s="1765" t="s">
        <v>2362</v>
      </c>
      <c r="AW103" s="930" t="s">
        <v>2363</v>
      </c>
    </row>
    <row r="104" spans="1:49" s="930" customFormat="1" ht="12.8" customHeight="1">
      <c r="A104" s="933"/>
      <c r="B104" s="932"/>
      <c r="C104" s="932"/>
      <c r="D104" s="932"/>
      <c r="E104" s="3038"/>
      <c r="F104" s="3039"/>
      <c r="G104" s="3039"/>
      <c r="H104" s="3039"/>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39"/>
      <c r="AD104" s="3039"/>
      <c r="AE104" s="3039"/>
      <c r="AF104" s="3039"/>
      <c r="AG104" s="3039"/>
      <c r="AH104" s="3039"/>
      <c r="AI104" s="3039"/>
      <c r="AJ104" s="3040"/>
      <c r="AK104" s="933"/>
      <c r="AL104" s="933"/>
      <c r="AM104" s="933"/>
      <c r="AN104" s="929"/>
      <c r="AO104" s="930" t="str">
        <f>Application!B732</f>
        <v>2 Bedrooms</v>
      </c>
      <c r="AQ104" s="930">
        <f>Application!O732</f>
        <v>959</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8"/>
      <c r="F105" s="3039"/>
      <c r="G105" s="3039"/>
      <c r="H105" s="3039"/>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39"/>
      <c r="AD105" s="3039"/>
      <c r="AE105" s="3039"/>
      <c r="AF105" s="3039"/>
      <c r="AG105" s="3039"/>
      <c r="AH105" s="3039"/>
      <c r="AI105" s="3039"/>
      <c r="AJ105" s="3040"/>
      <c r="AK105" s="933"/>
      <c r="AL105" s="933"/>
      <c r="AM105" s="933"/>
      <c r="AN105" s="929"/>
      <c r="AO105" s="930" t="str">
        <f>Application!B733</f>
        <v>2 Bedrooms</v>
      </c>
      <c r="AQ105" s="930">
        <f>Application!O733</f>
        <v>1308</v>
      </c>
      <c r="AU105" s="1768" t="str">
        <f>J112</f>
        <v>1-bedroom</v>
      </c>
      <c r="AV105" s="930">
        <f t="array" ref="AV105">SUM(IF(Application!B728:F752="1 Bedroom",Application!G728:J752))</f>
        <v>131</v>
      </c>
      <c r="AW105" s="1803">
        <f>AV105/AV110</f>
        <v>0.4924812030075188</v>
      </c>
    </row>
    <row r="106" spans="1:49" s="930" customFormat="1" ht="12.8" customHeight="1">
      <c r="A106" s="933"/>
      <c r="B106" s="932"/>
      <c r="C106" s="932"/>
      <c r="D106" s="932"/>
      <c r="E106" s="3038"/>
      <c r="F106" s="3039"/>
      <c r="G106" s="3039"/>
      <c r="H106" s="3039"/>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39"/>
      <c r="AD106" s="3039"/>
      <c r="AE106" s="3039"/>
      <c r="AF106" s="3039"/>
      <c r="AG106" s="3039"/>
      <c r="AH106" s="3039"/>
      <c r="AI106" s="3039"/>
      <c r="AJ106" s="3040"/>
      <c r="AK106" s="933"/>
      <c r="AL106" s="933"/>
      <c r="AM106" s="933"/>
      <c r="AN106" s="929"/>
      <c r="AO106" s="930" t="str">
        <f>Application!B734</f>
        <v>3 Bedrooms</v>
      </c>
      <c r="AQ106" s="930">
        <f>Application!O734</f>
        <v>501</v>
      </c>
      <c r="AU106" s="1768" t="str">
        <f>O112</f>
        <v>2-bedroom</v>
      </c>
      <c r="AV106" s="930">
        <f t="array" ref="AV106">SUM(IF(Application!B728:F752="2 Bedrooms",Application!G728:J752))</f>
        <v>67</v>
      </c>
      <c r="AW106" s="1803">
        <f>AV106/AV110</f>
        <v>0.25187969924812031</v>
      </c>
    </row>
    <row r="107" spans="1:49" s="930" customFormat="1" ht="12.8" customHeight="1">
      <c r="A107" s="933"/>
      <c r="B107" s="932"/>
      <c r="C107" s="932"/>
      <c r="D107" s="932"/>
      <c r="E107" s="3038"/>
      <c r="F107" s="3039"/>
      <c r="G107" s="3039"/>
      <c r="H107" s="3039"/>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39"/>
      <c r="AD107" s="3039"/>
      <c r="AE107" s="3039"/>
      <c r="AF107" s="3039"/>
      <c r="AG107" s="3039"/>
      <c r="AH107" s="3039"/>
      <c r="AI107" s="3039"/>
      <c r="AJ107" s="3040"/>
      <c r="AK107" s="933"/>
      <c r="AL107" s="933"/>
      <c r="AM107" s="933"/>
      <c r="AN107" s="929"/>
      <c r="AO107" s="930" t="str">
        <f>Application!B735</f>
        <v>3 Bedrooms</v>
      </c>
      <c r="AQ107" s="930">
        <f>Application!O735</f>
        <v>1105</v>
      </c>
      <c r="AU107" s="1768" t="str">
        <f>T112</f>
        <v>3-bedroom</v>
      </c>
      <c r="AV107" s="930">
        <f t="array" ref="AV107">SUM(IF(Application!B728:F752="3 Bedrooms",Application!G728:J752))</f>
        <v>68</v>
      </c>
      <c r="AW107" s="1803">
        <f>AV107/AV110</f>
        <v>0.25563909774436089</v>
      </c>
    </row>
    <row r="108" spans="1:49" s="930" customFormat="1" ht="12.8" customHeight="1">
      <c r="A108" s="933"/>
      <c r="B108" s="932"/>
      <c r="C108" s="932"/>
      <c r="D108" s="932"/>
      <c r="E108" s="3038"/>
      <c r="F108" s="3039"/>
      <c r="G108" s="3039"/>
      <c r="H108" s="3039"/>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39"/>
      <c r="AD108" s="3039"/>
      <c r="AE108" s="3039"/>
      <c r="AF108" s="3039"/>
      <c r="AG108" s="3039"/>
      <c r="AH108" s="3039"/>
      <c r="AI108" s="3039"/>
      <c r="AJ108" s="3040"/>
      <c r="AK108" s="933"/>
      <c r="AL108" s="933"/>
      <c r="AM108" s="933"/>
      <c r="AN108" s="929"/>
      <c r="AO108" s="930" t="str">
        <f>Application!B736</f>
        <v>3 Bedrooms</v>
      </c>
      <c r="AQ108" s="930">
        <f>Application!O736</f>
        <v>1508</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8"/>
      <c r="F109" s="3039"/>
      <c r="G109" s="3039"/>
      <c r="H109" s="3039"/>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39"/>
      <c r="AD109" s="3039"/>
      <c r="AE109" s="3039"/>
      <c r="AF109" s="3039"/>
      <c r="AG109" s="3039"/>
      <c r="AH109" s="3039"/>
      <c r="AI109" s="3039"/>
      <c r="AJ109" s="304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8"/>
      <c r="F110" s="3039"/>
      <c r="G110" s="3039"/>
      <c r="H110" s="3039"/>
      <c r="I110" s="3039"/>
      <c r="J110" s="3039"/>
      <c r="K110" s="3039"/>
      <c r="L110" s="3039"/>
      <c r="M110" s="3039"/>
      <c r="N110" s="3039"/>
      <c r="O110" s="3039"/>
      <c r="P110" s="3039"/>
      <c r="Q110" s="3039"/>
      <c r="R110" s="3039"/>
      <c r="S110" s="3039"/>
      <c r="T110" s="3039"/>
      <c r="U110" s="3039"/>
      <c r="V110" s="3039"/>
      <c r="W110" s="3039"/>
      <c r="X110" s="3039"/>
      <c r="Y110" s="3039"/>
      <c r="Z110" s="3039"/>
      <c r="AA110" s="3039"/>
      <c r="AB110" s="3039"/>
      <c r="AC110" s="3039"/>
      <c r="AD110" s="3039"/>
      <c r="AE110" s="3039"/>
      <c r="AF110" s="3039"/>
      <c r="AG110" s="3039"/>
      <c r="AH110" s="3039"/>
      <c r="AI110" s="3039"/>
      <c r="AJ110" s="3040"/>
      <c r="AK110" s="933"/>
      <c r="AL110" s="933"/>
      <c r="AM110" s="933"/>
      <c r="AN110" s="929"/>
      <c r="AO110" s="930">
        <f>Application!B738</f>
        <v>0</v>
      </c>
      <c r="AQ110" s="930">
        <f>Application!O738</f>
        <v>0</v>
      </c>
      <c r="AV110" s="930">
        <f>SUM(AV104:AV109)</f>
        <v>266</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41" t="s">
        <v>1884</v>
      </c>
      <c r="F112" s="3042"/>
      <c r="G112" s="3042"/>
      <c r="H112" s="3042"/>
      <c r="I112" s="1473"/>
      <c r="J112" s="3042" t="s">
        <v>1977</v>
      </c>
      <c r="K112" s="3042"/>
      <c r="L112" s="3042"/>
      <c r="M112" s="3042"/>
      <c r="N112" s="1473"/>
      <c r="O112" s="3042" t="s">
        <v>1978</v>
      </c>
      <c r="P112" s="3042"/>
      <c r="Q112" s="3042"/>
      <c r="R112" s="3042"/>
      <c r="S112" s="1473"/>
      <c r="T112" s="3042" t="s">
        <v>1602</v>
      </c>
      <c r="U112" s="3042"/>
      <c r="V112" s="3042"/>
      <c r="W112" s="3042"/>
      <c r="X112" s="1473"/>
      <c r="Y112" s="3042" t="s">
        <v>1979</v>
      </c>
      <c r="Z112" s="3042"/>
      <c r="AA112" s="3042"/>
      <c r="AB112" s="3042"/>
      <c r="AC112" s="1473"/>
      <c r="AD112" s="3042" t="s">
        <v>1980</v>
      </c>
      <c r="AE112" s="3042"/>
      <c r="AF112" s="3042"/>
      <c r="AG112" s="3042"/>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4"/>
      <c r="F115" s="3031"/>
      <c r="G115" s="3031"/>
      <c r="H115" s="3031"/>
      <c r="I115" s="1475"/>
      <c r="J115" s="3031">
        <v>1860</v>
      </c>
      <c r="K115" s="3031"/>
      <c r="L115" s="3031"/>
      <c r="M115" s="3031"/>
      <c r="N115" s="1475"/>
      <c r="O115" s="3031">
        <v>2272</v>
      </c>
      <c r="P115" s="3031"/>
      <c r="Q115" s="3031"/>
      <c r="R115" s="3031"/>
      <c r="S115" s="1475"/>
      <c r="T115" s="3031">
        <v>2739</v>
      </c>
      <c r="U115" s="3031"/>
      <c r="V115" s="3031"/>
      <c r="W115" s="3031"/>
      <c r="X115" s="1475"/>
      <c r="Y115" s="3031"/>
      <c r="Z115" s="3031"/>
      <c r="AA115" s="3031"/>
      <c r="AB115" s="3031"/>
      <c r="AC115" s="1475"/>
      <c r="AD115" s="3031"/>
      <c r="AE115" s="3031"/>
      <c r="AF115" s="3031"/>
      <c r="AG115" s="3031"/>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2">
        <f>Application!DX663</f>
        <v>0</v>
      </c>
      <c r="F118" s="2990"/>
      <c r="G118" s="2990"/>
      <c r="H118" s="2990"/>
      <c r="I118" s="1475"/>
      <c r="J118" s="2990">
        <f>Application!EC663</f>
        <v>731.17557251908397</v>
      </c>
      <c r="K118" s="2990"/>
      <c r="L118" s="2990"/>
      <c r="M118" s="2990"/>
      <c r="N118" s="1475"/>
      <c r="O118" s="2990">
        <f>Application!EH663</f>
        <v>857.58208955223881</v>
      </c>
      <c r="P118" s="2990"/>
      <c r="Q118" s="2990"/>
      <c r="R118" s="2990"/>
      <c r="S118" s="1479"/>
      <c r="T118" s="2990">
        <f>Application!EM663</f>
        <v>995.51470588235293</v>
      </c>
      <c r="U118" s="2990"/>
      <c r="V118" s="2990"/>
      <c r="W118" s="2990"/>
      <c r="X118" s="1479"/>
      <c r="Y118" s="2990">
        <f>Application!ER663</f>
        <v>0</v>
      </c>
      <c r="Z118" s="2990"/>
      <c r="AA118" s="2990"/>
      <c r="AB118" s="2990"/>
      <c r="AC118" s="1479"/>
      <c r="AD118" s="2990">
        <f>Application!EW663</f>
        <v>0</v>
      </c>
      <c r="AE118" s="2990"/>
      <c r="AF118" s="2990"/>
      <c r="AG118" s="299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4" t="e">
        <f>(E115-E118)/E115</f>
        <v>#DIV/0!</v>
      </c>
      <c r="F121" s="3255"/>
      <c r="G121" s="3255"/>
      <c r="H121" s="3256"/>
      <c r="I121" s="971"/>
      <c r="J121" s="3254">
        <f>(J115-J118)/J115</f>
        <v>0.60689485348436345</v>
      </c>
      <c r="K121" s="3255"/>
      <c r="L121" s="3255"/>
      <c r="M121" s="3256"/>
      <c r="N121" s="971"/>
      <c r="O121" s="3254">
        <f>(O115-O118)/O115</f>
        <v>0.62254309438721889</v>
      </c>
      <c r="P121" s="3255"/>
      <c r="Q121" s="3255"/>
      <c r="R121" s="3256"/>
      <c r="S121" s="971"/>
      <c r="T121" s="3254">
        <f>(T115-T118)/T115</f>
        <v>0.63654081566909348</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7" t="e">
        <f>IF(((E121-0.1)*AW104)&gt;0,((E121-0.1)*AW104),0)</f>
        <v>#DIV/0!</v>
      </c>
      <c r="F124" s="2988"/>
      <c r="G124" s="2988"/>
      <c r="H124" s="2989"/>
      <c r="I124" s="971"/>
      <c r="J124" s="2987">
        <f>IF(((J121-0.1)*AW105)&gt;0,((J121-0.1)*AW105),0)</f>
        <v>0.2496361872422993</v>
      </c>
      <c r="K124" s="2988"/>
      <c r="L124" s="2988"/>
      <c r="M124" s="2989"/>
      <c r="N124" s="971"/>
      <c r="O124" s="2987">
        <f>IF(((O121-0.1)*AW106)&gt;0,((O121-0.1)*AW106),0)</f>
        <v>0.13161799745843483</v>
      </c>
      <c r="P124" s="2988"/>
      <c r="Q124" s="2988"/>
      <c r="R124" s="2989"/>
      <c r="S124" s="971"/>
      <c r="T124" s="2987">
        <f>IF(((T121-0.1)*AW107)&gt;0,((T121-0.1)*AW107),0)</f>
        <v>0.13716081002067051</v>
      </c>
      <c r="U124" s="2988"/>
      <c r="V124" s="2988"/>
      <c r="W124" s="2989"/>
      <c r="X124" s="971"/>
      <c r="Y124" s="2987" t="e">
        <f>IF(((Y121-0.1)*AW108)&gt;0,((Y121-0.1)*AW108),0)</f>
        <v>#DIV/0!</v>
      </c>
      <c r="Z124" s="2988"/>
      <c r="AA124" s="2988"/>
      <c r="AB124" s="2989"/>
      <c r="AC124" s="971"/>
      <c r="AD124" s="2987" t="e">
        <f>IF(((AD121-0.1)*AW109)&gt;0,((AD121-0.1)*AW109),0)</f>
        <v>#DIV/0!</v>
      </c>
      <c r="AE124" s="2988"/>
      <c r="AF124" s="2988"/>
      <c r="AG124" s="298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4">
        <f>ROUNDDOWN(SUMIF(E124:AG124,"&gt;0"),2)</f>
        <v>0.51</v>
      </c>
      <c r="F126" s="3255"/>
      <c r="G126" s="3255"/>
      <c r="H126" s="3256"/>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7">
        <f>IF((E126*100)&gt;10,10,E126*100)</f>
        <v>10</v>
      </c>
      <c r="F127" s="3028"/>
      <c r="G127" s="3028"/>
      <c r="H127" s="3029"/>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7">
        <f>E127</f>
        <v>10</v>
      </c>
      <c r="AL131" s="3028"/>
      <c r="AM131" s="3029"/>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012" t="s">
        <v>1582</v>
      </c>
      <c r="AF134" s="3012"/>
      <c r="AG134" s="3012"/>
      <c r="AH134" s="3012"/>
      <c r="AI134" s="3012"/>
      <c r="AJ134" s="3012"/>
      <c r="AK134" s="3012"/>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0" t="s">
        <v>1606</v>
      </c>
      <c r="AG136" s="3050"/>
      <c r="AH136" s="3050"/>
      <c r="AI136" s="3050"/>
      <c r="AJ136" s="3050"/>
      <c r="AK136" s="3050"/>
      <c r="AL136" s="3050"/>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1" t="s">
        <v>2530</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067" t="s">
        <v>1609</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068" t="s">
        <v>624</v>
      </c>
      <c r="AC143" s="30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067" t="s">
        <v>1611</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70">
        <f>IF($AB$143="N/A",VLOOKUP($B$141,$AO$139:$AP$142,2,FALSE),VLOOKUP($B$146,$AO$144:$AP$147,2,FALSE))</f>
        <v>7</v>
      </c>
      <c r="AK149" s="3070"/>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0" t="s">
        <v>1620</v>
      </c>
      <c r="AG151" s="3050"/>
      <c r="AH151" s="3050"/>
      <c r="AI151" s="3050"/>
      <c r="AJ151" s="3050"/>
      <c r="AK151" s="3050"/>
      <c r="AL151" s="3050"/>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7" t="s">
        <v>1618</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8" t="s">
        <v>624</v>
      </c>
      <c r="AD155" s="3068"/>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067" t="s">
        <v>1611</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051" t="s">
        <v>2624</v>
      </c>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9">
        <f>IF($AC$155="N/A",VLOOKUP($C$153,$AO$153:$AP$156,2,FALSE),VLOOKUP($C$157,$AO$160:$AP$162,2,FALSE))</f>
        <v>3</v>
      </c>
      <c r="AK163" s="3069"/>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7">
        <f>$AJ$149+$AJ$163</f>
        <v>10</v>
      </c>
      <c r="AL166" s="3028"/>
      <c r="AM166" s="3029"/>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4" t="s">
        <v>1582</v>
      </c>
      <c r="AF169" s="3064"/>
      <c r="AG169" s="3064"/>
      <c r="AH169" s="3064"/>
      <c r="AI169" s="3064"/>
      <c r="AJ169" s="3064"/>
      <c r="AK169" s="3064"/>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065" t="s">
        <v>1152</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3"/>
      <c r="AE171" s="1023"/>
      <c r="AF171" s="3050" t="s">
        <v>1631</v>
      </c>
      <c r="AG171" s="3050"/>
      <c r="AH171" s="3050"/>
      <c r="AI171" s="3050"/>
      <c r="AJ171" s="3050"/>
      <c r="AK171" s="3050"/>
      <c r="AL171" s="3050"/>
      <c r="AN171" s="1000"/>
      <c r="AP171" s="943" t="s">
        <v>1154</v>
      </c>
      <c r="AQ171" s="943">
        <v>10</v>
      </c>
    </row>
    <row r="172" spans="1:81" s="943" customFormat="1" ht="12.8" customHeight="1">
      <c r="A172" s="927"/>
      <c r="B172" s="3066" t="s">
        <v>2222</v>
      </c>
      <c r="C172" s="3066"/>
      <c r="D172" s="3066"/>
      <c r="E172" s="3066"/>
      <c r="F172" s="3066"/>
      <c r="G172" s="3066"/>
      <c r="H172" s="3066"/>
      <c r="I172" s="3066"/>
      <c r="J172" s="3066"/>
      <c r="K172" s="3066"/>
      <c r="L172" s="3066"/>
      <c r="M172" s="3066"/>
      <c r="N172" s="3066"/>
      <c r="O172" s="3066"/>
      <c r="P172" s="3066"/>
      <c r="Q172" s="3066"/>
      <c r="R172" s="3066"/>
      <c r="S172" s="3066"/>
      <c r="T172" s="3051" t="s">
        <v>624</v>
      </c>
      <c r="U172" s="3051"/>
      <c r="V172" s="3051"/>
      <c r="W172" s="3051"/>
      <c r="X172" s="3051"/>
      <c r="Y172" s="3051"/>
      <c r="Z172" s="3051"/>
      <c r="AA172" s="3051"/>
      <c r="AB172" s="3051"/>
      <c r="AC172" s="3051"/>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4">
        <f>IF(AK72&gt;0,VLOOKUP($B$171,AP168:AQ175,2,FALSE),0)</f>
        <v>10</v>
      </c>
      <c r="AL174" s="3075"/>
      <c r="AM174" s="3076"/>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4" t="s">
        <v>1640</v>
      </c>
      <c r="AF177" s="3064"/>
      <c r="AG177" s="3064"/>
      <c r="AH177" s="3064"/>
      <c r="AI177" s="3064"/>
      <c r="AJ177" s="3064"/>
      <c r="AK177" s="306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6" t="s">
        <v>2677</v>
      </c>
      <c r="C182" s="3056"/>
      <c r="D182" s="3056"/>
      <c r="E182" s="3056"/>
      <c r="F182" s="3056"/>
      <c r="G182" s="3056"/>
      <c r="H182" s="3056"/>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1397"/>
      <c r="AD182" s="3059">
        <v>6030000</v>
      </c>
      <c r="AE182" s="3059"/>
      <c r="AF182" s="3059"/>
      <c r="AG182" s="3059"/>
      <c r="AH182" s="3059"/>
      <c r="AI182" s="3059"/>
      <c r="AJ182" s="3059"/>
      <c r="AK182" s="1024"/>
    </row>
    <row r="183" spans="1:37">
      <c r="A183" s="1016"/>
      <c r="B183" s="3056" t="s">
        <v>2669</v>
      </c>
      <c r="C183" s="3056"/>
      <c r="D183" s="3056"/>
      <c r="E183" s="3056"/>
      <c r="F183" s="3056"/>
      <c r="G183" s="3056"/>
      <c r="H183" s="3056"/>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1397"/>
      <c r="AD183" s="3059">
        <v>361228</v>
      </c>
      <c r="AE183" s="3059"/>
      <c r="AF183" s="3059"/>
      <c r="AG183" s="3059"/>
      <c r="AH183" s="3059"/>
      <c r="AI183" s="3059"/>
      <c r="AJ183" s="3059"/>
      <c r="AK183" s="1024"/>
    </row>
    <row r="184" spans="1:37">
      <c r="A184" s="1016"/>
      <c r="B184" s="3056"/>
      <c r="C184" s="3056"/>
      <c r="D184" s="3056"/>
      <c r="E184" s="3056"/>
      <c r="F184" s="3056"/>
      <c r="G184" s="3056"/>
      <c r="H184" s="3056"/>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1397"/>
      <c r="AD184" s="3059"/>
      <c r="AE184" s="3059"/>
      <c r="AF184" s="3059"/>
      <c r="AG184" s="3059"/>
      <c r="AH184" s="3059"/>
      <c r="AI184" s="3059"/>
      <c r="AJ184" s="3059"/>
      <c r="AK184" s="1024"/>
    </row>
    <row r="185" spans="1:37">
      <c r="A185" s="1016"/>
      <c r="B185" s="3056"/>
      <c r="C185" s="3056"/>
      <c r="D185" s="3056"/>
      <c r="E185" s="3056"/>
      <c r="F185" s="3056"/>
      <c r="G185" s="3056"/>
      <c r="H185" s="3056"/>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1397"/>
      <c r="AD185" s="3059"/>
      <c r="AE185" s="3059"/>
      <c r="AF185" s="3059"/>
      <c r="AG185" s="3059"/>
      <c r="AH185" s="3059"/>
      <c r="AI185" s="3059"/>
      <c r="AJ185" s="3059"/>
      <c r="AK185" s="1024"/>
    </row>
    <row r="186" spans="1:37">
      <c r="A186" s="1016"/>
      <c r="B186" s="3056"/>
      <c r="C186" s="3056"/>
      <c r="D186" s="3056"/>
      <c r="E186" s="3056"/>
      <c r="F186" s="3056"/>
      <c r="G186" s="3056"/>
      <c r="H186" s="3056"/>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1397"/>
      <c r="AD186" s="3059"/>
      <c r="AE186" s="3059"/>
      <c r="AF186" s="3059"/>
      <c r="AG186" s="3059"/>
      <c r="AH186" s="3059"/>
      <c r="AI186" s="3059"/>
      <c r="AJ186" s="3059"/>
      <c r="AK186" s="1024"/>
    </row>
    <row r="187" spans="1:37">
      <c r="A187" s="1016"/>
      <c r="B187" s="3056"/>
      <c r="C187" s="3056"/>
      <c r="D187" s="3056"/>
      <c r="E187" s="3056"/>
      <c r="F187" s="3056"/>
      <c r="G187" s="3056"/>
      <c r="H187" s="3056"/>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1397"/>
      <c r="AD187" s="3059"/>
      <c r="AE187" s="3059"/>
      <c r="AF187" s="3059"/>
      <c r="AG187" s="3059"/>
      <c r="AH187" s="3059"/>
      <c r="AI187" s="3059"/>
      <c r="AJ187" s="3059"/>
      <c r="AK187" s="1024"/>
    </row>
    <row r="188" spans="1:37">
      <c r="A188" s="1016"/>
      <c r="B188" s="3056"/>
      <c r="C188" s="3056"/>
      <c r="D188" s="3056"/>
      <c r="E188" s="3056"/>
      <c r="F188" s="3056"/>
      <c r="G188" s="3056"/>
      <c r="H188" s="3056"/>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1397"/>
      <c r="AD188" s="3059"/>
      <c r="AE188" s="3059"/>
      <c r="AF188" s="3059"/>
      <c r="AG188" s="3059"/>
      <c r="AH188" s="3059"/>
      <c r="AI188" s="3059"/>
      <c r="AJ188" s="3059"/>
      <c r="AK188" s="1024"/>
    </row>
    <row r="189" spans="1:37">
      <c r="A189" s="1016"/>
      <c r="B189" s="3056"/>
      <c r="C189" s="3056"/>
      <c r="D189" s="3056"/>
      <c r="E189" s="3056"/>
      <c r="F189" s="3056"/>
      <c r="G189" s="3056"/>
      <c r="H189" s="3056"/>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1397"/>
      <c r="AD189" s="3059"/>
      <c r="AE189" s="3059"/>
      <c r="AF189" s="3059"/>
      <c r="AG189" s="3059"/>
      <c r="AH189" s="3059"/>
      <c r="AI189" s="3059"/>
      <c r="AJ189" s="3059"/>
      <c r="AK189" s="1024"/>
    </row>
    <row r="190" spans="1:37">
      <c r="A190" s="1016"/>
      <c r="B190" s="3056"/>
      <c r="C190" s="3056"/>
      <c r="D190" s="3056"/>
      <c r="E190" s="3056"/>
      <c r="F190" s="3056"/>
      <c r="G190" s="3056"/>
      <c r="H190" s="3056"/>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1397"/>
      <c r="AD190" s="3059"/>
      <c r="AE190" s="3059"/>
      <c r="AF190" s="3059"/>
      <c r="AG190" s="3059"/>
      <c r="AH190" s="3059"/>
      <c r="AI190" s="3059"/>
      <c r="AJ190" s="3059"/>
      <c r="AK190" s="1024"/>
    </row>
    <row r="191" spans="1:37">
      <c r="A191" s="1016"/>
      <c r="B191" s="3056"/>
      <c r="C191" s="3056"/>
      <c r="D191" s="3056"/>
      <c r="E191" s="3056"/>
      <c r="F191" s="3056"/>
      <c r="G191" s="3056"/>
      <c r="H191" s="3056"/>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1397"/>
      <c r="AD191" s="3059"/>
      <c r="AE191" s="3059"/>
      <c r="AF191" s="3059"/>
      <c r="AG191" s="3059"/>
      <c r="AH191" s="3059"/>
      <c r="AI191" s="3059"/>
      <c r="AJ191" s="3059"/>
      <c r="AK191" s="1024"/>
    </row>
    <row r="192" spans="1:37">
      <c r="A192" s="1016"/>
      <c r="B192" s="3224" t="s">
        <v>1928</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1">
        <f>AB243</f>
        <v>0</v>
      </c>
      <c r="AE192" s="3081"/>
      <c r="AF192" s="3081"/>
      <c r="AG192" s="3081"/>
      <c r="AH192" s="3081"/>
      <c r="AI192" s="3081"/>
      <c r="AJ192" s="3081"/>
      <c r="AK192" s="1024"/>
    </row>
    <row r="193" spans="1:37">
      <c r="A193" s="1016"/>
      <c r="B193" s="3222" t="s">
        <v>1891</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6">
        <f>SUM(AD182:AJ192)-AD193</f>
        <v>6391228</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2" t="s">
        <v>1908</v>
      </c>
      <c r="J205" s="3062"/>
      <c r="K205" s="3062"/>
      <c r="L205" s="991"/>
      <c r="M205" s="991"/>
      <c r="N205" s="991"/>
      <c r="O205" s="991"/>
      <c r="P205" s="991"/>
      <c r="Q205" s="991"/>
      <c r="R205" s="991"/>
      <c r="S205" s="991"/>
      <c r="T205" s="3258" t="s">
        <v>1902</v>
      </c>
      <c r="U205" s="3258"/>
      <c r="V205" s="3258"/>
      <c r="W205" s="3258"/>
      <c r="X205" s="3258"/>
      <c r="Y205" s="3258"/>
      <c r="Z205" s="1401"/>
      <c r="AA205" s="1402"/>
      <c r="AB205" s="3055" t="s">
        <v>1903</v>
      </c>
      <c r="AC205" s="3055"/>
      <c r="AD205" s="3055"/>
      <c r="AE205" s="3055"/>
      <c r="AF205" s="3055"/>
      <c r="AG205" s="3055"/>
      <c r="AH205" s="1371"/>
      <c r="AI205" s="1371"/>
      <c r="AJ205" s="1371"/>
      <c r="AK205" s="1024"/>
    </row>
    <row r="206" spans="1:37">
      <c r="A206" s="1016"/>
      <c r="B206" s="3060" t="s">
        <v>1881</v>
      </c>
      <c r="C206" s="3060"/>
      <c r="D206" s="3060"/>
      <c r="E206" s="3060"/>
      <c r="F206" s="3060"/>
      <c r="G206" s="3060"/>
      <c r="I206" s="3061" t="s">
        <v>1909</v>
      </c>
      <c r="J206" s="3061"/>
      <c r="K206" s="3061"/>
      <c r="L206" s="1799"/>
      <c r="N206" s="3048" t="s">
        <v>1904</v>
      </c>
      <c r="O206" s="3048"/>
      <c r="P206" s="3048"/>
      <c r="Q206" s="3048"/>
      <c r="R206" s="3048"/>
      <c r="T206" s="3048" t="s">
        <v>1905</v>
      </c>
      <c r="U206" s="3048"/>
      <c r="V206" s="3048"/>
      <c r="W206" s="3048"/>
      <c r="X206" s="3048"/>
      <c r="Y206" s="3048"/>
      <c r="Z206" s="1403"/>
      <c r="AA206" s="1402"/>
      <c r="AB206" s="3225" t="s">
        <v>1906</v>
      </c>
      <c r="AC206" s="3225"/>
      <c r="AD206" s="3225"/>
      <c r="AE206" s="3225"/>
      <c r="AF206" s="3225"/>
      <c r="AG206" s="3225"/>
      <c r="AH206" s="1371"/>
      <c r="AI206" s="1371"/>
      <c r="AJ206" s="1371"/>
      <c r="AK206" s="1024"/>
    </row>
    <row r="207" spans="1:37">
      <c r="A207" s="1016"/>
      <c r="B207" s="3063" t="s">
        <v>1381</v>
      </c>
      <c r="C207" s="3063"/>
      <c r="D207" s="3063"/>
      <c r="E207" s="3063"/>
      <c r="F207" s="3063"/>
      <c r="G207" s="3063"/>
      <c r="H207" s="1405"/>
      <c r="I207" s="3046"/>
      <c r="J207" s="3046"/>
      <c r="K207" s="3046"/>
      <c r="L207" s="1799"/>
      <c r="N207" s="3049"/>
      <c r="O207" s="3049"/>
      <c r="P207" s="3049"/>
      <c r="Q207" s="3049"/>
      <c r="R207" s="3049"/>
      <c r="T207" s="3223"/>
      <c r="U207" s="3223"/>
      <c r="V207" s="3223"/>
      <c r="W207" s="3223"/>
      <c r="X207" s="3223"/>
      <c r="Y207" s="3223"/>
      <c r="Z207" s="1404"/>
      <c r="AA207" s="1404"/>
      <c r="AB207" s="3045">
        <f t="shared" ref="AB207:AB216" si="0">MAX(($T207-$N207)*$I207*12,0)</f>
        <v>0</v>
      </c>
      <c r="AC207" s="3045"/>
      <c r="AD207" s="3045"/>
      <c r="AE207" s="3045"/>
      <c r="AF207" s="3045"/>
      <c r="AG207" s="3045"/>
      <c r="AH207" s="1371"/>
      <c r="AI207" s="1371"/>
      <c r="AJ207" s="1371"/>
      <c r="AK207" s="1024"/>
    </row>
    <row r="208" spans="1:37">
      <c r="A208" s="1016"/>
      <c r="B208" s="3063" t="s">
        <v>1381</v>
      </c>
      <c r="C208" s="3063"/>
      <c r="D208" s="3063"/>
      <c r="E208" s="3063"/>
      <c r="F208" s="3063"/>
      <c r="G208" s="3063"/>
      <c r="I208" s="3046"/>
      <c r="J208" s="3046"/>
      <c r="K208" s="3046"/>
      <c r="L208" s="1799"/>
      <c r="N208" s="3049"/>
      <c r="O208" s="3049"/>
      <c r="P208" s="3049"/>
      <c r="Q208" s="3049"/>
      <c r="R208" s="3049"/>
      <c r="T208" s="3223"/>
      <c r="U208" s="3223"/>
      <c r="V208" s="3223"/>
      <c r="W208" s="3223"/>
      <c r="X208" s="3223"/>
      <c r="Y208" s="3223"/>
      <c r="Z208" s="1404"/>
      <c r="AA208" s="1404"/>
      <c r="AB208" s="3045">
        <f t="shared" si="0"/>
        <v>0</v>
      </c>
      <c r="AC208" s="3045"/>
      <c r="AD208" s="3045"/>
      <c r="AE208" s="3045"/>
      <c r="AF208" s="3045"/>
      <c r="AG208" s="3045"/>
      <c r="AH208" s="1371"/>
      <c r="AI208" s="1371"/>
      <c r="AJ208" s="1371"/>
      <c r="AK208" s="1024"/>
    </row>
    <row r="209" spans="1:37">
      <c r="A209" s="1016"/>
      <c r="B209" s="3063" t="s">
        <v>1381</v>
      </c>
      <c r="C209" s="3063"/>
      <c r="D209" s="3063"/>
      <c r="E209" s="3063"/>
      <c r="F209" s="3063"/>
      <c r="G209" s="3063"/>
      <c r="I209" s="3046"/>
      <c r="J209" s="3046"/>
      <c r="K209" s="3046"/>
      <c r="L209" s="1799"/>
      <c r="N209" s="3049"/>
      <c r="O209" s="3049"/>
      <c r="P209" s="3049"/>
      <c r="Q209" s="3049"/>
      <c r="R209" s="3049"/>
      <c r="T209" s="3223"/>
      <c r="U209" s="3223"/>
      <c r="V209" s="3223"/>
      <c r="W209" s="3223"/>
      <c r="X209" s="3223"/>
      <c r="Y209" s="3223"/>
      <c r="Z209" s="1404"/>
      <c r="AA209" s="1404"/>
      <c r="AB209" s="3045">
        <f t="shared" si="0"/>
        <v>0</v>
      </c>
      <c r="AC209" s="3045"/>
      <c r="AD209" s="3045"/>
      <c r="AE209" s="3045"/>
      <c r="AF209" s="3045"/>
      <c r="AG209" s="3045"/>
      <c r="AH209" s="1371"/>
      <c r="AI209" s="1371"/>
      <c r="AJ209" s="1371"/>
      <c r="AK209" s="1024"/>
    </row>
    <row r="210" spans="1:37">
      <c r="A210" s="1016"/>
      <c r="B210" s="3063" t="s">
        <v>1381</v>
      </c>
      <c r="C210" s="3063"/>
      <c r="D210" s="3063"/>
      <c r="E210" s="3063"/>
      <c r="F210" s="3063"/>
      <c r="G210" s="3063"/>
      <c r="I210" s="3046"/>
      <c r="J210" s="3046"/>
      <c r="K210" s="3046"/>
      <c r="L210" s="1799"/>
      <c r="N210" s="3049"/>
      <c r="O210" s="3049"/>
      <c r="P210" s="3049"/>
      <c r="Q210" s="3049"/>
      <c r="R210" s="3049"/>
      <c r="T210" s="3223"/>
      <c r="U210" s="3223"/>
      <c r="V210" s="3223"/>
      <c r="W210" s="3223"/>
      <c r="X210" s="3223"/>
      <c r="Y210" s="3223"/>
      <c r="Z210" s="1404"/>
      <c r="AA210" s="1404"/>
      <c r="AB210" s="3045">
        <f t="shared" si="0"/>
        <v>0</v>
      </c>
      <c r="AC210" s="3045"/>
      <c r="AD210" s="3045"/>
      <c r="AE210" s="3045"/>
      <c r="AF210" s="3045"/>
      <c r="AG210" s="3045"/>
      <c r="AH210" s="1371"/>
      <c r="AI210" s="1371"/>
      <c r="AJ210" s="1371"/>
      <c r="AK210" s="1024"/>
    </row>
    <row r="211" spans="1:37">
      <c r="A211" s="1016"/>
      <c r="B211" s="3063" t="s">
        <v>1381</v>
      </c>
      <c r="C211" s="3063"/>
      <c r="D211" s="3063"/>
      <c r="E211" s="3063"/>
      <c r="F211" s="3063"/>
      <c r="G211" s="3063"/>
      <c r="I211" s="3046"/>
      <c r="J211" s="3046"/>
      <c r="K211" s="3046"/>
      <c r="L211" s="1811"/>
      <c r="N211" s="3049"/>
      <c r="O211" s="3049"/>
      <c r="P211" s="3049"/>
      <c r="Q211" s="3049"/>
      <c r="R211" s="3049"/>
      <c r="T211" s="3223"/>
      <c r="U211" s="3223"/>
      <c r="V211" s="3223"/>
      <c r="W211" s="3223"/>
      <c r="X211" s="3223"/>
      <c r="Y211" s="3223"/>
      <c r="Z211" s="1404"/>
      <c r="AA211" s="1404"/>
      <c r="AB211" s="3045">
        <f t="shared" si="0"/>
        <v>0</v>
      </c>
      <c r="AC211" s="3045"/>
      <c r="AD211" s="3045"/>
      <c r="AE211" s="3045"/>
      <c r="AF211" s="3045"/>
      <c r="AG211" s="3045"/>
      <c r="AH211" s="1371"/>
      <c r="AI211" s="1371"/>
      <c r="AJ211" s="1371"/>
      <c r="AK211" s="1024"/>
    </row>
    <row r="212" spans="1:37">
      <c r="A212" s="1016"/>
      <c r="B212" s="3063" t="s">
        <v>1381</v>
      </c>
      <c r="C212" s="3063"/>
      <c r="D212" s="3063"/>
      <c r="E212" s="3063"/>
      <c r="F212" s="3063"/>
      <c r="G212" s="3063"/>
      <c r="I212" s="3046"/>
      <c r="J212" s="3046"/>
      <c r="K212" s="3046"/>
      <c r="L212" s="1811"/>
      <c r="N212" s="3049"/>
      <c r="O212" s="3049"/>
      <c r="P212" s="3049"/>
      <c r="Q212" s="3049"/>
      <c r="R212" s="3049"/>
      <c r="T212" s="3223"/>
      <c r="U212" s="3223"/>
      <c r="V212" s="3223"/>
      <c r="W212" s="3223"/>
      <c r="X212" s="3223"/>
      <c r="Y212" s="3223"/>
      <c r="Z212" s="1404"/>
      <c r="AA212" s="1404"/>
      <c r="AB212" s="3045">
        <f t="shared" si="0"/>
        <v>0</v>
      </c>
      <c r="AC212" s="3045"/>
      <c r="AD212" s="3045"/>
      <c r="AE212" s="3045"/>
      <c r="AF212" s="3045"/>
      <c r="AG212" s="3045"/>
      <c r="AH212" s="1371"/>
      <c r="AI212" s="1371"/>
      <c r="AJ212" s="1371"/>
      <c r="AK212" s="1024"/>
    </row>
    <row r="213" spans="1:37">
      <c r="A213" s="1016"/>
      <c r="B213" s="3063" t="s">
        <v>1381</v>
      </c>
      <c r="C213" s="3063"/>
      <c r="D213" s="3063"/>
      <c r="E213" s="3063"/>
      <c r="F213" s="3063"/>
      <c r="G213" s="3063"/>
      <c r="I213" s="3046"/>
      <c r="J213" s="3046"/>
      <c r="K213" s="3046"/>
      <c r="L213" s="1811"/>
      <c r="N213" s="3049"/>
      <c r="O213" s="3049"/>
      <c r="P213" s="3049"/>
      <c r="Q213" s="3049"/>
      <c r="R213" s="3049"/>
      <c r="T213" s="3223"/>
      <c r="U213" s="3223"/>
      <c r="V213" s="3223"/>
      <c r="W213" s="3223"/>
      <c r="X213" s="3223"/>
      <c r="Y213" s="3223"/>
      <c r="Z213" s="1404"/>
      <c r="AA213" s="1404"/>
      <c r="AB213" s="3045">
        <f t="shared" si="0"/>
        <v>0</v>
      </c>
      <c r="AC213" s="3045"/>
      <c r="AD213" s="3045"/>
      <c r="AE213" s="3045"/>
      <c r="AF213" s="3045"/>
      <c r="AG213" s="3045"/>
      <c r="AH213" s="1371"/>
      <c r="AI213" s="1371"/>
      <c r="AJ213" s="1371"/>
      <c r="AK213" s="1024"/>
    </row>
    <row r="214" spans="1:37">
      <c r="A214" s="1016"/>
      <c r="B214" s="3063" t="s">
        <v>1381</v>
      </c>
      <c r="C214" s="3063"/>
      <c r="D214" s="3063"/>
      <c r="E214" s="3063"/>
      <c r="F214" s="3063"/>
      <c r="G214" s="3063"/>
      <c r="I214" s="3046"/>
      <c r="J214" s="3046"/>
      <c r="K214" s="3046"/>
      <c r="L214" s="1811"/>
      <c r="N214" s="3049"/>
      <c r="O214" s="3049"/>
      <c r="P214" s="3049"/>
      <c r="Q214" s="3049"/>
      <c r="R214" s="3049"/>
      <c r="T214" s="3223"/>
      <c r="U214" s="3223"/>
      <c r="V214" s="3223"/>
      <c r="W214" s="3223"/>
      <c r="X214" s="3223"/>
      <c r="Y214" s="3223"/>
      <c r="Z214" s="1404"/>
      <c r="AA214" s="1404"/>
      <c r="AB214" s="3045">
        <f t="shared" si="0"/>
        <v>0</v>
      </c>
      <c r="AC214" s="3045"/>
      <c r="AD214" s="3045"/>
      <c r="AE214" s="3045"/>
      <c r="AF214" s="3045"/>
      <c r="AG214" s="3045"/>
      <c r="AH214" s="1371"/>
      <c r="AI214" s="1371"/>
      <c r="AJ214" s="1371"/>
      <c r="AK214" s="1024"/>
    </row>
    <row r="215" spans="1:37">
      <c r="A215" s="1016"/>
      <c r="B215" s="3063" t="s">
        <v>1381</v>
      </c>
      <c r="C215" s="3063"/>
      <c r="D215" s="3063"/>
      <c r="E215" s="3063"/>
      <c r="F215" s="3063"/>
      <c r="G215" s="3063"/>
      <c r="I215" s="3046"/>
      <c r="J215" s="3046"/>
      <c r="K215" s="3046"/>
      <c r="L215" s="1811"/>
      <c r="N215" s="3049"/>
      <c r="O215" s="3049"/>
      <c r="P215" s="3049"/>
      <c r="Q215" s="3049"/>
      <c r="R215" s="3049"/>
      <c r="T215" s="3223"/>
      <c r="U215" s="3223"/>
      <c r="V215" s="3223"/>
      <c r="W215" s="3223"/>
      <c r="X215" s="3223"/>
      <c r="Y215" s="3223"/>
      <c r="Z215" s="1404"/>
      <c r="AA215" s="1404"/>
      <c r="AB215" s="3045">
        <f t="shared" si="0"/>
        <v>0</v>
      </c>
      <c r="AC215" s="3045"/>
      <c r="AD215" s="3045"/>
      <c r="AE215" s="3045"/>
      <c r="AF215" s="3045"/>
      <c r="AG215" s="3045"/>
      <c r="AH215" s="1371"/>
      <c r="AI215" s="1371"/>
      <c r="AJ215" s="1371"/>
      <c r="AK215" s="1024"/>
    </row>
    <row r="216" spans="1:37">
      <c r="A216" s="1016"/>
      <c r="B216" s="3063" t="s">
        <v>1381</v>
      </c>
      <c r="C216" s="3063"/>
      <c r="D216" s="3063"/>
      <c r="E216" s="3063"/>
      <c r="F216" s="3063"/>
      <c r="G216" s="3063"/>
      <c r="I216" s="3047"/>
      <c r="J216" s="3047"/>
      <c r="K216" s="3047"/>
      <c r="L216" s="1811"/>
      <c r="N216" s="3049"/>
      <c r="O216" s="3049"/>
      <c r="P216" s="3049"/>
      <c r="Q216" s="3049"/>
      <c r="R216" s="3049"/>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5">
        <f>SUM(AB207:AB216)</f>
        <v>0</v>
      </c>
      <c r="AC217" s="3045"/>
      <c r="AD217" s="3045"/>
      <c r="AE217" s="3045"/>
      <c r="AF217" s="3045"/>
      <c r="AG217" s="304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7">
        <f>AB217+AB230</f>
        <v>0</v>
      </c>
      <c r="AC233" s="3057"/>
      <c r="AD233" s="3057"/>
      <c r="AE233" s="3057"/>
      <c r="AF233" s="3057"/>
      <c r="AG233" s="3057"/>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0</v>
      </c>
      <c r="AC235" s="3091"/>
      <c r="AD235" s="3091"/>
      <c r="AE235" s="3091"/>
      <c r="AF235" s="3091"/>
      <c r="AG235" s="3091"/>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7">
        <f>AB235/AB241</f>
        <v>0</v>
      </c>
      <c r="AC237" s="3057"/>
      <c r="AD237" s="3057"/>
      <c r="AE237" s="3057"/>
      <c r="AF237" s="3057"/>
      <c r="AG237" s="305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8">
        <v>15</v>
      </c>
      <c r="AC239" s="3058"/>
      <c r="AD239" s="3058"/>
      <c r="AE239" s="3058"/>
      <c r="AF239" s="3058"/>
      <c r="AG239" s="3058"/>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0</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0</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6391228</v>
      </c>
      <c r="AH251" s="3077"/>
      <c r="AI251" s="3077"/>
      <c r="AJ251" s="3077"/>
      <c r="AK251" s="3077"/>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82320460</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0.15</v>
      </c>
      <c r="AH253" s="3078"/>
      <c r="AI253" s="3078"/>
      <c r="AJ253" s="3078"/>
      <c r="AK253" s="3078"/>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79">
        <f>IF(AG253=0,0,IF((AG253*100)&gt;8,8,(AG253*100)))</f>
        <v>8</v>
      </c>
      <c r="AL256" s="3079"/>
      <c r="AM256" s="3080"/>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1" t="s">
        <v>576</v>
      </c>
      <c r="D261" s="3071"/>
      <c r="E261" s="940"/>
      <c r="F261" s="3242" t="s">
        <v>2412</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1631</v>
      </c>
      <c r="AH261" s="3072"/>
      <c r="AI261" s="3072"/>
      <c r="AJ261" s="3072"/>
      <c r="AK261" s="1026"/>
      <c r="AL261" s="1026"/>
      <c r="AM261" s="1026"/>
      <c r="AN261" s="1061"/>
      <c r="AO261" s="943"/>
      <c r="AS261" s="21"/>
      <c r="AT261" s="21"/>
    </row>
    <row r="262" spans="1:81" ht="13.7"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79">
        <f>IF($C$261="yes",10,0)</f>
        <v>10</v>
      </c>
      <c r="AL267" s="3079"/>
      <c r="AM267" s="3080"/>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00" t="s">
        <v>1650</v>
      </c>
      <c r="B274" s="3100"/>
      <c r="C274" s="3071" t="s">
        <v>576</v>
      </c>
      <c r="D274" s="3071"/>
      <c r="E274" s="940"/>
      <c r="F274" s="3101" t="s">
        <v>1651</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4" t="s">
        <v>1653</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4" t="s">
        <v>1654</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20</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4" t="s">
        <v>1655</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00" t="s">
        <v>1656</v>
      </c>
      <c r="B284" s="3100"/>
      <c r="C284" s="3071" t="s">
        <v>624</v>
      </c>
      <c r="D284" s="3071"/>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4" t="s">
        <v>1659</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0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1654</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1660</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1661</v>
      </c>
      <c r="B292" s="3100"/>
      <c r="C292" s="3071" t="s">
        <v>624</v>
      </c>
      <c r="D292" s="3071"/>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4" t="s">
        <v>1662</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1381</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4" t="s">
        <v>1381</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10" t="s">
        <v>1381</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10" t="s">
        <v>1381</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100" t="s">
        <v>1665</v>
      </c>
      <c r="B315" s="3100"/>
      <c r="C315" s="3071" t="s">
        <v>624</v>
      </c>
      <c r="D315" s="3071"/>
      <c r="E315" s="940"/>
      <c r="F315" s="3003" t="s">
        <v>1666</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4"/>
      <c r="AF316" s="944"/>
      <c r="AG316" s="944"/>
      <c r="AH316" s="944"/>
      <c r="AI316" s="944"/>
      <c r="AJ316" s="943"/>
      <c r="AK316" s="1026"/>
      <c r="AL316" s="1026"/>
      <c r="AM316" s="1026"/>
      <c r="AN316" s="110"/>
      <c r="AO316" s="51"/>
    </row>
    <row r="317" spans="1:60" ht="15.05" customHeight="1">
      <c r="A317" s="1060"/>
      <c r="B317" s="944"/>
      <c r="C317" s="944"/>
      <c r="D317" s="944"/>
      <c r="E317" s="944"/>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4">
        <f>AP279</f>
        <v>20</v>
      </c>
      <c r="AL320" s="3075"/>
      <c r="AM320" s="3076"/>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4" t="s">
        <v>1582</v>
      </c>
      <c r="AF323" s="3064"/>
      <c r="AG323" s="3064"/>
      <c r="AH323" s="3064"/>
      <c r="AI323" s="3064"/>
      <c r="AJ323" s="3064"/>
      <c r="AK323" s="3064"/>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5" t="s">
        <v>2189</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8"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8"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8"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8"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8"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8"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8"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8"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0" t="s">
        <v>1606</v>
      </c>
      <c r="AG339" s="3050"/>
      <c r="AH339" s="3050"/>
      <c r="AI339" s="3050"/>
      <c r="AJ339" s="3050"/>
      <c r="AK339" s="3050"/>
      <c r="AL339" s="3050"/>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0" t="s">
        <v>1672</v>
      </c>
      <c r="AG346" s="3050"/>
      <c r="AH346" s="3050"/>
      <c r="AI346" s="3050"/>
      <c r="AJ346" s="3050"/>
      <c r="AK346" s="3050"/>
      <c r="AL346" s="3050"/>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0" t="s">
        <v>1646</v>
      </c>
      <c r="AG352" s="3050"/>
      <c r="AH352" s="3050"/>
      <c r="AI352" s="3050"/>
      <c r="AJ352" s="3050"/>
      <c r="AK352" s="3050"/>
      <c r="AL352" s="3050"/>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0" t="s">
        <v>1675</v>
      </c>
      <c r="AG358" s="3050"/>
      <c r="AH358" s="3050"/>
      <c r="AI358" s="3050"/>
      <c r="AJ358" s="3050"/>
      <c r="AK358" s="3050"/>
      <c r="AL358" s="3050"/>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17" t="s">
        <v>1381</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0" t="s">
        <v>1620</v>
      </c>
      <c r="AG364" s="3050"/>
      <c r="AH364" s="3050"/>
      <c r="AI364" s="3050"/>
      <c r="AJ364" s="3050"/>
      <c r="AK364" s="3050"/>
      <c r="AL364" s="3050"/>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114" t="s">
        <v>624</v>
      </c>
      <c r="I367" s="311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16" t="s">
        <v>624</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068" t="s">
        <v>624</v>
      </c>
      <c r="C377" s="3068"/>
      <c r="D377" s="1644"/>
      <c r="E377" s="3095" t="s">
        <v>1679</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4"/>
      <c r="AI377" s="1644"/>
      <c r="AJ377" s="1644"/>
      <c r="AK377" s="1644"/>
      <c r="AL377" s="1644"/>
      <c r="AN377" s="1000"/>
    </row>
    <row r="378" spans="1:46" s="943" customFormat="1" ht="12.8" customHeight="1">
      <c r="A378" s="1060"/>
      <c r="B378" s="1023"/>
      <c r="C378" s="1639"/>
      <c r="D378" s="1644"/>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4"/>
      <c r="AI378" s="1644"/>
      <c r="AJ378" s="1644"/>
      <c r="AK378" s="1644"/>
      <c r="AL378" s="1644"/>
      <c r="AN378" s="1000"/>
    </row>
    <row r="379" spans="1:46" s="943" customFormat="1" ht="12.8" customHeight="1">
      <c r="A379" s="1060"/>
      <c r="B379" s="1023"/>
      <c r="C379" s="1639"/>
      <c r="D379" s="1644"/>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4"/>
      <c r="AI379" s="1644"/>
      <c r="AJ379" s="1644"/>
      <c r="AK379" s="1644"/>
      <c r="AL379" s="1644"/>
      <c r="AN379" s="1000"/>
    </row>
    <row r="380" spans="1:46" s="943" customFormat="1" ht="12.8" customHeight="1">
      <c r="A380" s="1060"/>
      <c r="B380" s="1023"/>
      <c r="C380" s="1639"/>
      <c r="D380" s="1646"/>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4">
        <f>VLOOKUP($H$367,$AO$347:$AP$352,2,FALSE)+VLOOKUP($I$375,$AO$374:$AP$376,2,FALSE)</f>
        <v>0</v>
      </c>
      <c r="AK382" s="3076"/>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15" t="s">
        <v>2190</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50" t="s">
        <v>1620</v>
      </c>
      <c r="AG386" s="3050"/>
      <c r="AH386" s="3050"/>
      <c r="AI386" s="3050"/>
      <c r="AJ386" s="3050"/>
      <c r="AK386" s="3050"/>
      <c r="AL386" s="3050"/>
      <c r="AM386" s="1026"/>
      <c r="AN386" s="1125"/>
    </row>
    <row r="387" spans="1:42" s="943" customFormat="1" ht="12.8" customHeight="1">
      <c r="A387" s="1126"/>
      <c r="B387" s="1023"/>
      <c r="C387" s="1639"/>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8" t="s">
        <v>624</v>
      </c>
      <c r="Y395" s="3068"/>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0" t="s">
        <v>1684</v>
      </c>
      <c r="AG397" s="3050"/>
      <c r="AH397" s="3050"/>
      <c r="AI397" s="3050"/>
      <c r="AJ397" s="3050"/>
      <c r="AK397" s="3050"/>
      <c r="AL397" s="3050"/>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114" t="s">
        <v>624</v>
      </c>
      <c r="I399" s="311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4">
        <f>VLOOKUP($H$399,$AO$366:$AP$368,2,FALSE)</f>
        <v>0</v>
      </c>
      <c r="AK401" s="3076"/>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0" t="s">
        <v>1620</v>
      </c>
      <c r="AG405" s="3050"/>
      <c r="AH405" s="3050"/>
      <c r="AI405" s="3050"/>
      <c r="AJ405" s="3050"/>
      <c r="AK405" s="3050"/>
      <c r="AL405" s="3050"/>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0" t="s">
        <v>1684</v>
      </c>
      <c r="AG408" s="3050"/>
      <c r="AH408" s="3050"/>
      <c r="AI408" s="3050"/>
      <c r="AJ408" s="3050"/>
      <c r="AK408" s="3050"/>
      <c r="AL408" s="3050"/>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114" t="s">
        <v>624</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4">
        <f>VLOOKUP(H411,AT366:AU368,2,FALSE)</f>
        <v>0</v>
      </c>
      <c r="AK413" s="3076"/>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95" t="s">
        <v>1696</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50" t="s">
        <v>1646</v>
      </c>
      <c r="AG418" s="3050"/>
      <c r="AH418" s="3050"/>
      <c r="AI418" s="3050"/>
      <c r="AJ418" s="3050"/>
      <c r="AK418" s="3050"/>
      <c r="AL418" s="3050"/>
      <c r="AN418" s="1000"/>
    </row>
    <row r="419" spans="1:42" s="943" customFormat="1" ht="12.8"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8"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95" t="s">
        <v>1697</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50" t="s">
        <v>1675</v>
      </c>
      <c r="AG422" s="3050"/>
      <c r="AH422" s="3050"/>
      <c r="AI422" s="3050"/>
      <c r="AJ422" s="3050"/>
      <c r="AK422" s="3050"/>
      <c r="AL422" s="3050"/>
      <c r="AN422" s="1000"/>
    </row>
    <row r="423" spans="1:42" s="943" customFormat="1" ht="12.8"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0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95" t="s">
        <v>1698</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50" t="s">
        <v>1620</v>
      </c>
      <c r="AG426" s="3050"/>
      <c r="AH426" s="3050"/>
      <c r="AI426" s="3050"/>
      <c r="AJ426" s="3050"/>
      <c r="AK426" s="3050"/>
      <c r="AL426" s="3050"/>
      <c r="AN426" s="1000"/>
    </row>
    <row r="427" spans="1:42" s="943" customFormat="1" ht="12.8" customHeight="1">
      <c r="A427" s="1060"/>
      <c r="B427" s="1023"/>
      <c r="C427" s="1640"/>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50"/>
      <c r="AF427" s="3050"/>
      <c r="AG427" s="3050"/>
      <c r="AH427" s="3050"/>
      <c r="AI427" s="3050"/>
      <c r="AJ427" s="3050"/>
      <c r="AK427" s="3050"/>
      <c r="AL427" s="1596"/>
      <c r="AM427" s="1026"/>
      <c r="AN427" s="1000"/>
      <c r="AO427" s="943" t="s">
        <v>624</v>
      </c>
      <c r="AP427" s="1120">
        <v>0</v>
      </c>
    </row>
    <row r="428" spans="1:42" s="943" customFormat="1" ht="12.8"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95" t="s">
        <v>1699</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50" t="s">
        <v>1675</v>
      </c>
      <c r="AG430" s="3050"/>
      <c r="AH430" s="3050"/>
      <c r="AI430" s="3050"/>
      <c r="AJ430" s="3050"/>
      <c r="AK430" s="3050"/>
      <c r="AL430" s="3050"/>
      <c r="AN430" s="1000"/>
    </row>
    <row r="431" spans="1:42" s="943" customFormat="1" ht="12.8" customHeight="1">
      <c r="A431" s="1115"/>
      <c r="B431" s="1023"/>
      <c r="C431" s="1656"/>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95" t="s">
        <v>1700</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50" t="s">
        <v>1620</v>
      </c>
      <c r="AG434" s="3050"/>
      <c r="AH434" s="3050"/>
      <c r="AI434" s="3050"/>
      <c r="AJ434" s="3050"/>
      <c r="AK434" s="3050"/>
      <c r="AL434" s="3050"/>
      <c r="AM434" s="1065"/>
      <c r="AN434" s="1000"/>
    </row>
    <row r="435" spans="1:42" s="943" customFormat="1" ht="12.8" customHeight="1">
      <c r="A435" s="1060"/>
      <c r="B435" s="1023"/>
      <c r="C435" s="1640"/>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95" t="s">
        <v>1701</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50" t="s">
        <v>1684</v>
      </c>
      <c r="AG438" s="3050"/>
      <c r="AH438" s="3050"/>
      <c r="AI438" s="3050"/>
      <c r="AJ438" s="3050"/>
      <c r="AK438" s="3050"/>
      <c r="AL438" s="3050"/>
      <c r="AM438" s="1065"/>
      <c r="AN438" s="1000"/>
    </row>
    <row r="439" spans="1:42" s="943" customFormat="1" ht="12.8" customHeight="1">
      <c r="A439" s="1599"/>
      <c r="B439" s="1006"/>
      <c r="C439" s="1637"/>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95" t="s">
        <v>1702</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50" t="s">
        <v>1703</v>
      </c>
      <c r="AG442" s="3050"/>
      <c r="AH442" s="3050"/>
      <c r="AI442" s="3050"/>
      <c r="AJ442" s="3050"/>
      <c r="AK442" s="3050"/>
      <c r="AL442" s="3050"/>
      <c r="AM442" s="1065"/>
      <c r="AN442" s="1000"/>
      <c r="AO442" s="1118" t="s">
        <v>723</v>
      </c>
      <c r="AP442" s="943">
        <v>3</v>
      </c>
    </row>
    <row r="443" spans="1:42" s="943" customFormat="1" ht="12.8" customHeight="1">
      <c r="A443" s="1599"/>
      <c r="B443" s="1006"/>
      <c r="C443" s="1637"/>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114" t="s">
        <v>624</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4">
        <f>VLOOKUP($H$446,$AO$394:$AP$401,2,FALSE)</f>
        <v>0</v>
      </c>
      <c r="AK448" s="3076"/>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95" t="s">
        <v>2186</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50" t="s">
        <v>1620</v>
      </c>
      <c r="AG452" s="3050"/>
      <c r="AH452" s="3050"/>
      <c r="AI452" s="3050"/>
      <c r="AJ452" s="3050"/>
      <c r="AK452" s="3050"/>
      <c r="AL452" s="3050"/>
      <c r="AM452" s="1026"/>
      <c r="AN452" s="1001"/>
    </row>
    <row r="453" spans="1:42" s="1002" customFormat="1" ht="12.8" customHeight="1">
      <c r="A453" s="1060"/>
      <c r="B453" s="1023"/>
      <c r="C453" s="1649"/>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8" customHeight="1">
      <c r="A454" s="1060"/>
      <c r="B454" s="1023"/>
      <c r="C454" s="1649"/>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95" t="s">
        <v>2188</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50" t="s">
        <v>1684</v>
      </c>
      <c r="AG457" s="3050"/>
      <c r="AH457" s="3050"/>
      <c r="AI457" s="3050"/>
      <c r="AJ457" s="3050"/>
      <c r="AK457" s="3050"/>
      <c r="AL457" s="3050"/>
      <c r="AM457" s="1026"/>
      <c r="AN457" s="1000"/>
      <c r="AO457" s="1118" t="s">
        <v>540</v>
      </c>
      <c r="AP457" s="943">
        <v>1</v>
      </c>
    </row>
    <row r="458" spans="1:42" s="943" customFormat="1" ht="11.95" customHeight="1">
      <c r="A458" s="1026"/>
      <c r="B458" s="927"/>
      <c r="C458" s="1657"/>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5" t="s">
        <v>2187</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114" t="s">
        <v>624</v>
      </c>
      <c r="I466" s="311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4">
        <f>VLOOKUP($H$466,$AO$413:$AP$415,2,FALSE)</f>
        <v>0</v>
      </c>
      <c r="AK468" s="3076"/>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19" t="s">
        <v>2191</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50" t="s">
        <v>1620</v>
      </c>
      <c r="AG472" s="3050"/>
      <c r="AH472" s="3050"/>
      <c r="AI472" s="3050"/>
      <c r="AJ472" s="3050"/>
      <c r="AK472" s="3050"/>
      <c r="AL472" s="3050"/>
      <c r="AM472" s="1026"/>
      <c r="AN472" s="1133"/>
      <c r="AP472" s="1135" t="s">
        <v>1712</v>
      </c>
    </row>
    <row r="473" spans="1:43" s="1134" customFormat="1" ht="11.85" customHeight="1">
      <c r="A473" s="1060"/>
      <c r="B473" s="1023"/>
      <c r="C473" s="1639"/>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20" t="s">
        <v>1715</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50" t="s">
        <v>1684</v>
      </c>
      <c r="AG476" s="3050"/>
      <c r="AH476" s="3050"/>
      <c r="AI476" s="3050"/>
      <c r="AJ476" s="3050"/>
      <c r="AK476" s="3050"/>
      <c r="AL476" s="3050"/>
      <c r="AM476" s="1026"/>
      <c r="AN476" s="1136"/>
    </row>
    <row r="477" spans="1:43" s="1134" customFormat="1" ht="12.8" customHeight="1">
      <c r="A477" s="1060"/>
      <c r="B477" s="1023"/>
      <c r="C477" s="1639"/>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114" t="s">
        <v>624</v>
      </c>
      <c r="I480" s="311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4">
        <f>VLOOKUP($H$480,$AO$413:$AP$415,2,FALSE)</f>
        <v>0</v>
      </c>
      <c r="AK482" s="3076"/>
      <c r="AL482" s="1005"/>
      <c r="AM482" s="1002"/>
      <c r="AN482" s="1138"/>
      <c r="AP482" s="3074"/>
      <c r="AQ482" s="307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5" t="s">
        <v>2192</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50" t="s">
        <v>1620</v>
      </c>
      <c r="AG486" s="3050"/>
      <c r="AH486" s="3050"/>
      <c r="AI486" s="3050"/>
      <c r="AJ486" s="3050"/>
      <c r="AK486" s="3050"/>
      <c r="AL486" s="3050"/>
      <c r="AM486" s="1026"/>
      <c r="AN486" s="1133"/>
      <c r="AT486" s="51"/>
      <c r="AU486" s="51"/>
      <c r="AV486" s="51"/>
      <c r="AW486" s="51"/>
      <c r="AX486" s="51"/>
      <c r="AY486" s="51"/>
      <c r="AZ486" s="51"/>
    </row>
    <row r="487" spans="1:81" s="1134" customFormat="1" ht="13.45">
      <c r="A487" s="1060"/>
      <c r="B487" s="1023"/>
      <c r="C487" s="1639"/>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95" t="s">
        <v>1719</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50" t="s">
        <v>1684</v>
      </c>
      <c r="AG489" s="3050"/>
      <c r="AH489" s="3050"/>
      <c r="AI489" s="3050"/>
      <c r="AJ489" s="3050"/>
      <c r="AK489" s="3050"/>
      <c r="AL489" s="3050"/>
      <c r="AM489" s="1026"/>
      <c r="AN489" s="1133"/>
      <c r="AT489" s="51"/>
      <c r="AU489" s="51"/>
      <c r="AV489" s="51"/>
      <c r="AW489" s="51"/>
      <c r="AX489" s="51"/>
      <c r="AY489" s="51"/>
      <c r="AZ489" s="51"/>
    </row>
    <row r="490" spans="1:81" s="1134" customFormat="1" ht="13.45">
      <c r="A490" s="1060"/>
      <c r="B490" s="1023"/>
      <c r="C490" s="1639"/>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114" t="s">
        <v>624</v>
      </c>
      <c r="I492" s="311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5" t="s">
        <v>1722</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50" t="s">
        <v>1620</v>
      </c>
      <c r="AG498" s="3050"/>
      <c r="AH498" s="3050"/>
      <c r="AI498" s="3050"/>
      <c r="AJ498" s="3050"/>
      <c r="AK498" s="3050"/>
      <c r="AL498" s="3050"/>
      <c r="AM498" s="1026"/>
      <c r="AN498" s="1133"/>
      <c r="AT498" s="51"/>
      <c r="AU498" s="51"/>
      <c r="AV498" s="51"/>
      <c r="AW498" s="51"/>
      <c r="AX498" s="51"/>
      <c r="AY498" s="51"/>
      <c r="AZ498" s="51"/>
    </row>
    <row r="499" spans="1:81" s="1134" customFormat="1">
      <c r="A499" s="1060"/>
      <c r="B499" s="927"/>
      <c r="C499" s="1637"/>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5" t="s">
        <v>1723</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50" t="s">
        <v>1684</v>
      </c>
      <c r="AG503" s="3050"/>
      <c r="AH503" s="3050"/>
      <c r="AI503" s="3050"/>
      <c r="AJ503" s="3050"/>
      <c r="AK503" s="3050"/>
      <c r="AL503" s="3050"/>
      <c r="AM503" s="1026"/>
      <c r="AN503" s="1133"/>
      <c r="AO503" s="126"/>
      <c r="AP503" s="51"/>
    </row>
    <row r="504" spans="1:81" s="1134" customFormat="1">
      <c r="A504" s="1060"/>
      <c r="B504" s="1006"/>
      <c r="C504" s="1637"/>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114" t="s">
        <v>624</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4">
        <f>VLOOKUP($H$508,$AO$441:$AP$443,2,FALSE)</f>
        <v>0</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5" t="s">
        <v>1725</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50" t="s">
        <v>1684</v>
      </c>
      <c r="AG514" s="3050"/>
      <c r="AH514" s="3050"/>
      <c r="AI514" s="3050"/>
      <c r="AJ514" s="3050"/>
      <c r="AK514" s="3050"/>
      <c r="AL514" s="30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5" t="s">
        <v>1726</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50" t="s">
        <v>1703</v>
      </c>
      <c r="AG517" s="3050"/>
      <c r="AH517" s="3050"/>
      <c r="AI517" s="3050"/>
      <c r="AJ517" s="3050"/>
      <c r="AK517" s="3050"/>
      <c r="AL517" s="30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114" t="s">
        <v>624</v>
      </c>
      <c r="I520" s="311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4">
        <f>VLOOKUP($H$520,$AO$455:$AP$457,2,FALSE)</f>
        <v>0</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5" t="s">
        <v>2185</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50" t="s">
        <v>1684</v>
      </c>
      <c r="AG526" s="3050"/>
      <c r="AH526" s="3050"/>
      <c r="AI526" s="3050"/>
      <c r="AJ526" s="3050"/>
      <c r="AK526" s="3050"/>
      <c r="AL526" s="3050"/>
      <c r="AM526" s="1031"/>
      <c r="AN526" s="1133"/>
    </row>
    <row r="527" spans="1:74" s="1134" customFormat="1" ht="13.7" customHeight="1">
      <c r="A527" s="1060"/>
      <c r="B527" s="1035"/>
      <c r="C527" s="1649"/>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6"/>
      <c r="AG527" s="1596"/>
      <c r="AH527" s="1596"/>
      <c r="AI527" s="1596"/>
      <c r="AJ527" s="1596"/>
      <c r="AK527" s="1596"/>
      <c r="AL527" s="1596"/>
      <c r="AM527" s="1031"/>
      <c r="AN527" s="1133"/>
    </row>
    <row r="528" spans="1:74" s="1134" customFormat="1">
      <c r="A528" s="1060"/>
      <c r="B528" s="1035"/>
      <c r="C528" s="1649"/>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22" t="s">
        <v>2193</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50" t="s">
        <v>1620</v>
      </c>
      <c r="AG531" s="3050"/>
      <c r="AH531" s="3050"/>
      <c r="AI531" s="3050"/>
      <c r="AJ531" s="3050"/>
      <c r="AK531" s="3050"/>
      <c r="AL531" s="3050"/>
      <c r="AM531" s="1031"/>
      <c r="AN531" s="1000"/>
    </row>
    <row r="532" spans="1:81" s="943" customFormat="1" ht="12.8" customHeight="1">
      <c r="A532" s="1060"/>
      <c r="B532" s="1035"/>
      <c r="C532" s="1649"/>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114" t="s">
        <v>624</v>
      </c>
      <c r="I536" s="311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4">
        <f>VLOOKUP($H$536,$AP$477:$AQ$479,2,FALSE)</f>
        <v>0</v>
      </c>
      <c r="AK538" s="307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5" t="s">
        <v>2184</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50" t="s">
        <v>1730</v>
      </c>
      <c r="AG542" s="3050"/>
      <c r="AH542" s="3050"/>
      <c r="AI542" s="3050"/>
      <c r="AJ542" s="3050"/>
      <c r="AK542" s="3050"/>
      <c r="AL542" s="3050"/>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4" t="s">
        <v>624</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4">
        <f>VLOOKUP($H$547,$AO$541:$AP$542,2,FALSE)</f>
        <v>0</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4">
        <f>IF(($AJ$382+$AJ$401+$AJ$413+$AJ$448+$AJ$468+$AJ$482+$AJ$494+$AJ$510+$AJ$522+$AJ$538+AJ549)&gt;10,10,($AJ$382+$AJ$401+$AJ$413+$AJ$448+$AJ$468+$AJ$482+$AJ$494+$AJ$510+$AJ$522+$AJ$538+AJ549))</f>
        <v>0</v>
      </c>
      <c r="AL551" s="3075"/>
      <c r="AM551" s="3076"/>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4">
        <f>IF((AK320+AK551)&gt;20,20,(AK320+AK551))</f>
        <v>20</v>
      </c>
      <c r="AL553" s="3075"/>
      <c r="AM553" s="3076"/>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4" t="s">
        <v>1582</v>
      </c>
      <c r="AF556" s="3064"/>
      <c r="AG556" s="3064"/>
      <c r="AH556" s="3064"/>
      <c r="AI556" s="3064"/>
      <c r="AJ556" s="3064"/>
      <c r="AK556" s="3064"/>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1" t="s">
        <v>1735</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8"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8"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8"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4"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5" customHeight="1">
      <c r="A563" s="1027"/>
      <c r="B563" s="1118"/>
      <c r="C563" s="3121" t="s">
        <v>1736</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1" t="s">
        <v>2390</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29.95"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8"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8" customHeight="1">
      <c r="A568" s="1027"/>
      <c r="B568" s="1118"/>
      <c r="C568" s="3121" t="s">
        <v>1737</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8"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2"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8"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8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0</v>
      </c>
      <c r="AQ572" s="1002"/>
      <c r="AR572" s="1002"/>
      <c r="AS572" s="932" t="s">
        <v>1738</v>
      </c>
    </row>
    <row r="573" spans="1:46" s="943" customFormat="1" ht="12.8"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8"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7</v>
      </c>
      <c r="AS574" s="932" t="s">
        <v>1739</v>
      </c>
    </row>
    <row r="575" spans="1:46" s="943" customFormat="1" ht="12.8"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0</v>
      </c>
      <c r="AS575" s="3128">
        <f>IF(AND(AQ581&gt;0,AQ590&gt;0),(AQ581+AQ590)/2,0)</f>
        <v>0</v>
      </c>
      <c r="AT575" s="3128"/>
    </row>
    <row r="576" spans="1:46" s="943" customFormat="1" ht="12.8"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614</v>
      </c>
      <c r="AP576" s="1152">
        <f>IF(C622="Yes",5,0)</f>
        <v>0</v>
      </c>
      <c r="AQ576" s="1002"/>
      <c r="AR576" s="1002"/>
      <c r="AS576" s="932" t="s">
        <v>2413</v>
      </c>
    </row>
    <row r="577" spans="1:81" s="943" customFormat="1" ht="12.8" customHeight="1">
      <c r="A577" s="1027"/>
      <c r="B577" s="1118"/>
      <c r="C577" s="3129" t="s">
        <v>1740</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3</v>
      </c>
      <c r="AS577" s="3128">
        <f>IF(AQ581=0,AQ590,AQ581)</f>
        <v>10</v>
      </c>
      <c r="AT577" s="3128"/>
    </row>
    <row r="578" spans="1:81" s="943" customFormat="1" ht="12.8"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819</v>
      </c>
      <c r="AP578" s="1152">
        <f>IF(C627="Yes",5,0)</f>
        <v>0</v>
      </c>
    </row>
    <row r="579" spans="1:81" s="943" customFormat="1" ht="12.8"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617</v>
      </c>
      <c r="AP579" s="1152">
        <f>IF(C636="Yes",5,0)</f>
        <v>0</v>
      </c>
    </row>
    <row r="580" spans="1:81" s="943" customFormat="1" ht="11.8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4"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232</v>
      </c>
      <c r="AP581" s="1156">
        <f>SUM(AP572:AP580)</f>
        <v>10</v>
      </c>
      <c r="AQ581" s="3130">
        <f>IF(AP581&gt;0,AP581,0)</f>
        <v>10</v>
      </c>
      <c r="AR581" s="3130"/>
    </row>
    <row r="582" spans="1:81" s="943" customFormat="1" ht="12.8"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121" t="s">
        <v>1741</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486</v>
      </c>
      <c r="AP584" s="1152">
        <f>IF(C657="Yes",5,0)</f>
        <v>0</v>
      </c>
    </row>
    <row r="585" spans="1:81" s="943" customFormat="1" ht="12.8"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492</v>
      </c>
      <c r="AP585" s="1152">
        <f>IF(C664="Yes",5,0)</f>
        <v>0</v>
      </c>
    </row>
    <row r="586" spans="1:81" s="943" customFormat="1" ht="68.099999999999994"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469</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30">
        <f>IF(AP590&gt;0,AP590,0)</f>
        <v>0</v>
      </c>
      <c r="AR590" s="3130"/>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126" t="s">
        <v>1746</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3" t="s">
        <v>624</v>
      </c>
      <c r="D596" s="3071"/>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1748</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126" t="s">
        <v>1749</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3" t="s">
        <v>624</v>
      </c>
      <c r="D604" s="3071"/>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1748</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126" t="s">
        <v>1751</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3" t="s">
        <v>576</v>
      </c>
      <c r="D612" s="3071"/>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1753</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3" t="s">
        <v>624</v>
      </c>
      <c r="D614" s="3071"/>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1748</v>
      </c>
      <c r="AG614" s="3124"/>
      <c r="AH614" s="3124"/>
      <c r="AI614" s="3124"/>
      <c r="AJ614" s="3124"/>
      <c r="AK614" s="3124"/>
      <c r="AL614" s="3125"/>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126" t="s">
        <v>1757</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3" t="s">
        <v>624</v>
      </c>
      <c r="D622" s="3071"/>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1748</v>
      </c>
      <c r="AG622" s="3124"/>
      <c r="AH622" s="3124"/>
      <c r="AI622" s="3124"/>
      <c r="AJ622" s="3124"/>
      <c r="AK622" s="3124"/>
      <c r="AL622" s="3125"/>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3" t="s">
        <v>576</v>
      </c>
      <c r="D624" s="3071"/>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1760</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3" t="s">
        <v>624</v>
      </c>
      <c r="D627" s="3071"/>
      <c r="E627" s="1174" t="s">
        <v>1761</v>
      </c>
      <c r="F627" s="3126" t="s">
        <v>1762</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1748</v>
      </c>
      <c r="AG628" s="3132"/>
      <c r="AH628" s="3132"/>
      <c r="AI628" s="3132"/>
      <c r="AJ628" s="3132"/>
      <c r="AK628" s="3132"/>
      <c r="AL628" s="3133"/>
      <c r="AM628" s="1134"/>
      <c r="AN628" s="1000"/>
      <c r="BS628" s="1134"/>
      <c r="BT628" s="1134"/>
      <c r="BY628" s="1134"/>
      <c r="BZ628" s="1134"/>
      <c r="CA628" s="1134"/>
      <c r="CB628" s="1134"/>
      <c r="CC628" s="1134"/>
    </row>
    <row r="629" spans="1:81" s="943" customFormat="1" ht="12.8"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4" t="s">
        <v>1764</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8"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8"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8" customHeight="1">
      <c r="A636" s="927"/>
      <c r="B636" s="51"/>
      <c r="C636" s="3123" t="s">
        <v>624</v>
      </c>
      <c r="D636" s="3071"/>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1748</v>
      </c>
      <c r="AG636" s="3132"/>
      <c r="AH636" s="3132"/>
      <c r="AI636" s="3132"/>
      <c r="AJ636" s="3132"/>
      <c r="AK636" s="3132"/>
      <c r="AL636" s="313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3" t="s">
        <v>624</v>
      </c>
      <c r="D638" s="3071"/>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1760</v>
      </c>
      <c r="AG638" s="3132"/>
      <c r="AH638" s="3132"/>
      <c r="AI638" s="3132"/>
      <c r="AJ638" s="3132"/>
      <c r="AK638" s="3132"/>
      <c r="AL638" s="313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126" t="s">
        <v>1769</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8" customHeight="1">
      <c r="A645" s="927"/>
      <c r="B645" s="51"/>
      <c r="C645" s="3123" t="s">
        <v>624</v>
      </c>
      <c r="D645" s="3071"/>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1748</v>
      </c>
      <c r="AG645" s="3132"/>
      <c r="AH645" s="3132"/>
      <c r="AI645" s="3132"/>
      <c r="AJ645" s="3132"/>
      <c r="AK645" s="3132"/>
      <c r="AL645" s="313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126" t="s">
        <v>1772</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8"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8"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8" customHeight="1">
      <c r="A657" s="927"/>
      <c r="B657" s="51"/>
      <c r="C657" s="3123" t="s">
        <v>624</v>
      </c>
      <c r="D657" s="3071"/>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1748</v>
      </c>
      <c r="AG657" s="3132"/>
      <c r="AH657" s="3132"/>
      <c r="AI657" s="3132"/>
      <c r="AJ657" s="3132"/>
      <c r="AK657" s="3132"/>
      <c r="AL657" s="313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126" t="s">
        <v>1775</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123" t="s">
        <v>624</v>
      </c>
      <c r="D664" s="3071"/>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1748</v>
      </c>
      <c r="AG664" s="3132"/>
      <c r="AH664" s="3132"/>
      <c r="AI664" s="3132"/>
      <c r="AJ664" s="3132"/>
      <c r="AK664" s="3132"/>
      <c r="AL664" s="3133"/>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6" t="s">
        <v>624</v>
      </c>
      <c r="D668" s="3137"/>
      <c r="E668" s="1174" t="s">
        <v>1784</v>
      </c>
      <c r="F668" s="3126" t="s">
        <v>1785</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1748</v>
      </c>
      <c r="AG668" s="3138"/>
      <c r="AH668" s="3138"/>
      <c r="AI668" s="3138"/>
      <c r="AJ668" s="3138"/>
      <c r="AK668" s="3138"/>
      <c r="AL668" s="3139"/>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123" t="s">
        <v>624</v>
      </c>
      <c r="D672" s="3071"/>
      <c r="E672" s="1174" t="s">
        <v>1790</v>
      </c>
      <c r="F672" s="3126" t="s">
        <v>1791</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1748</v>
      </c>
      <c r="AG672" s="3138"/>
      <c r="AH672" s="3138"/>
      <c r="AI672" s="3138"/>
      <c r="AJ672" s="3138"/>
      <c r="AK672" s="3138"/>
      <c r="AL672" s="3139"/>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4" t="s">
        <v>1794</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8"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8"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8"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8" customHeight="1">
      <c r="A681" s="927"/>
      <c r="B681" s="51"/>
      <c r="C681" s="3123" t="s">
        <v>624</v>
      </c>
      <c r="D681" s="3071"/>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1748</v>
      </c>
      <c r="AG681" s="3124"/>
      <c r="AH681" s="3124"/>
      <c r="AI681" s="3124"/>
      <c r="AJ681" s="3124"/>
      <c r="AK681" s="3124"/>
      <c r="AL681" s="3125"/>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4">
        <f>IF(Application!D213="N/A",AS573,AS575)</f>
        <v>10</v>
      </c>
      <c r="AL684" s="3075"/>
      <c r="AM684" s="3076"/>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1798</v>
      </c>
      <c r="AF687" s="3190"/>
      <c r="AG687" s="3190"/>
      <c r="AH687" s="3190"/>
      <c r="AI687" s="3190"/>
      <c r="AJ687" s="3190"/>
      <c r="AK687" s="3190"/>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40" t="s">
        <v>624</v>
      </c>
      <c r="D693" s="3141"/>
      <c r="E693" s="1248" t="s">
        <v>538</v>
      </c>
      <c r="F693" s="3142" t="s">
        <v>1804</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44" t="s">
        <v>624</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45" t="s">
        <v>576</v>
      </c>
      <c r="D697" s="3146"/>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2" t="s">
        <v>624</v>
      </c>
      <c r="W700" s="3152"/>
      <c r="X700" s="3152"/>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2" t="s">
        <v>624</v>
      </c>
      <c r="W702" s="3152"/>
      <c r="X702" s="3152"/>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2" t="s">
        <v>624</v>
      </c>
      <c r="W707" s="3152"/>
      <c r="X707" s="3152"/>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51"/>
      <c r="E710" s="3151"/>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2" t="s">
        <v>624</v>
      </c>
      <c r="W711" s="3152"/>
      <c r="X711" s="3152"/>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2" t="s">
        <v>624</v>
      </c>
      <c r="W713" s="3152"/>
      <c r="X713" s="3152"/>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40" t="s">
        <v>624</v>
      </c>
      <c r="D716" s="3141"/>
      <c r="E716" s="1248" t="s">
        <v>538</v>
      </c>
      <c r="F716" s="3142" t="s">
        <v>1804</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7" t="s">
        <v>624</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40" t="s">
        <v>624</v>
      </c>
      <c r="D720" s="3141"/>
      <c r="E720" s="1248" t="s">
        <v>796</v>
      </c>
      <c r="F720" s="3148" t="s">
        <v>1826</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50" t="s">
        <v>624</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40" t="s">
        <v>624</v>
      </c>
      <c r="D725" s="3141"/>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3"/>
      <c r="D727" s="3151"/>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4" t="s">
        <v>624</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5" t="s">
        <v>624</v>
      </c>
      <c r="D730" s="3166"/>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5" t="s">
        <v>624</v>
      </c>
      <c r="D734" s="3166"/>
      <c r="E734" s="1025"/>
      <c r="F734" s="1290" t="s">
        <v>1834</v>
      </c>
      <c r="G734" s="3167" t="s">
        <v>1835</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3" t="s">
        <v>624</v>
      </c>
      <c r="D738" s="3154"/>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5" t="s">
        <v>624</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4" t="s">
        <v>1849</v>
      </c>
      <c r="AF753" s="3064"/>
      <c r="AG753" s="3064"/>
      <c r="AH753" s="3064"/>
      <c r="AI753" s="3064"/>
      <c r="AJ753" s="3064"/>
      <c r="AK753" s="3064"/>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1" t="s">
        <v>624</v>
      </c>
      <c r="D756" s="3071"/>
      <c r="E756" s="944"/>
      <c r="F756" s="3157" t="s">
        <v>1850</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8"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1" t="s">
        <v>576</v>
      </c>
      <c r="D759" s="3071"/>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5" t="s">
        <v>1852</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8"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5" t="s">
        <v>1854</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8"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84579510</v>
      </c>
      <c r="AQ765" s="3228"/>
      <c r="AR765" s="3228"/>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76422192</v>
      </c>
      <c r="AG766" s="3077"/>
      <c r="AH766" s="3077"/>
      <c r="AI766" s="3077"/>
      <c r="AJ766" s="3077"/>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147863846</v>
      </c>
      <c r="AG767" s="3240"/>
      <c r="AH767" s="3240"/>
      <c r="AI767" s="3240"/>
      <c r="AJ767" s="3240"/>
      <c r="AK767" s="1005"/>
      <c r="AL767" s="1005"/>
      <c r="AM767" s="1005"/>
      <c r="AN767" s="1000"/>
      <c r="AP767" s="3228">
        <f>Application!AJ1024</f>
        <v>0</v>
      </c>
      <c r="AQ767" s="3228"/>
      <c r="AR767" s="3228"/>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0.96</v>
      </c>
      <c r="AG768" s="3241"/>
      <c r="AH768" s="3241"/>
      <c r="AI768" s="3241"/>
      <c r="AJ768" s="3241"/>
      <c r="AK768" s="1005"/>
      <c r="AL768" s="1005"/>
      <c r="AM768" s="1005"/>
      <c r="AN768" s="1000"/>
      <c r="AP768" s="3232">
        <f>Application!AJ1028</f>
        <v>50747706</v>
      </c>
      <c r="AQ768" s="3232"/>
      <c r="AR768" s="3232"/>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0.6</v>
      </c>
      <c r="AQ769" s="3227"/>
      <c r="AR769" s="3227"/>
    </row>
    <row r="770" spans="1:44" s="943" customFormat="1" ht="12.8" customHeight="1">
      <c r="A770" s="1048"/>
      <c r="B770" s="3176" t="s">
        <v>1857</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8"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97116140</v>
      </c>
      <c r="AQ771" s="3229"/>
      <c r="AR771" s="3229"/>
    </row>
    <row r="772" spans="1:44" s="943" customFormat="1" ht="12.8"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147863846</v>
      </c>
      <c r="AQ772" s="3228"/>
      <c r="AR772" s="3228"/>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5">
        <f>IF(AF768=0,0,IF((AF768*100)&gt;12,12,(AF768*100)))</f>
        <v>12</v>
      </c>
      <c r="AL774" s="3185"/>
      <c r="AM774" s="3186"/>
      <c r="AN774" s="1000"/>
      <c r="AP774" s="3251">
        <f>AP771+(AP765*AP769)</f>
        <v>147863846</v>
      </c>
      <c r="AQ774" s="3252"/>
      <c r="AR774" s="3253"/>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1859</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1860</v>
      </c>
      <c r="U782" s="3192"/>
      <c r="V782" s="3192"/>
      <c r="W782" s="3192"/>
      <c r="X782" s="3192"/>
      <c r="Y782" s="3193"/>
      <c r="Z782" s="3191" t="s">
        <v>1861</v>
      </c>
      <c r="AA782" s="3192"/>
      <c r="AB782" s="3192"/>
      <c r="AC782" s="3192"/>
      <c r="AD782" s="3192"/>
      <c r="AE782" s="3193"/>
      <c r="AF782" s="3191" t="s">
        <v>1862</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796</v>
      </c>
      <c r="B784" s="3169" t="s">
        <v>1560</v>
      </c>
      <c r="C784" s="3169"/>
      <c r="D784" s="3169"/>
      <c r="E784" s="3169"/>
      <c r="F784" s="3169"/>
      <c r="G784" s="3169"/>
      <c r="H784" s="3169"/>
      <c r="I784" s="3169"/>
      <c r="J784" s="3169"/>
      <c r="K784" s="3169"/>
      <c r="L784" s="3169"/>
      <c r="M784" s="3169"/>
      <c r="N784" s="3169"/>
      <c r="O784" s="3169"/>
      <c r="P784" s="3169"/>
      <c r="Q784" s="3169"/>
      <c r="R784" s="3169"/>
      <c r="S784" s="3170"/>
      <c r="T784" s="3171">
        <f>AK51</f>
        <v>0</v>
      </c>
      <c r="U784" s="3172"/>
      <c r="V784" s="3172"/>
      <c r="W784" s="3172"/>
      <c r="X784" s="3172"/>
      <c r="Y784" s="3173"/>
      <c r="Z784" s="3174">
        <v>20</v>
      </c>
      <c r="AA784" s="3172"/>
      <c r="AB784" s="3172"/>
      <c r="AC784" s="3172"/>
      <c r="AD784" s="3172"/>
      <c r="AE784" s="3173"/>
      <c r="AF784" s="3175">
        <f>IF(T784&gt;Z784,Z784,T784)</f>
        <v>0</v>
      </c>
      <c r="AG784" s="3175"/>
      <c r="AH784" s="3175"/>
      <c r="AI784" s="3175"/>
      <c r="AJ784" s="3175"/>
      <c r="AK784" s="3175"/>
      <c r="AL784" s="1322"/>
      <c r="AM784" s="1216"/>
      <c r="AO784" s="1319"/>
      <c r="AP784" s="1319"/>
      <c r="AQ784" s="1319"/>
    </row>
    <row r="785" spans="1:81">
      <c r="A785" s="1323" t="s">
        <v>1828</v>
      </c>
      <c r="B785" s="3169" t="s">
        <v>1581</v>
      </c>
      <c r="C785" s="3169"/>
      <c r="D785" s="3169"/>
      <c r="E785" s="3169"/>
      <c r="F785" s="3169"/>
      <c r="G785" s="3169"/>
      <c r="H785" s="3169"/>
      <c r="I785" s="3169"/>
      <c r="J785" s="3169"/>
      <c r="K785" s="3169"/>
      <c r="L785" s="3169"/>
      <c r="M785" s="3169"/>
      <c r="N785" s="3169"/>
      <c r="O785" s="3169"/>
      <c r="P785" s="3169"/>
      <c r="Q785" s="3169"/>
      <c r="R785" s="3169"/>
      <c r="S785" s="3170"/>
      <c r="T785" s="3171">
        <f>AK72</f>
        <v>10</v>
      </c>
      <c r="U785" s="3172"/>
      <c r="V785" s="3172"/>
      <c r="W785" s="3172"/>
      <c r="X785" s="3172"/>
      <c r="Y785" s="3173"/>
      <c r="Z785" s="3174">
        <v>10</v>
      </c>
      <c r="AA785" s="3172"/>
      <c r="AB785" s="3172"/>
      <c r="AC785" s="3172"/>
      <c r="AD785" s="3172"/>
      <c r="AE785" s="3173"/>
      <c r="AF785" s="3175">
        <f>IF(T785&gt;Z785,Z785,T785)</f>
        <v>10</v>
      </c>
      <c r="AG785" s="3175"/>
      <c r="AH785" s="3175"/>
      <c r="AI785" s="3175"/>
      <c r="AJ785" s="3175"/>
      <c r="AK785" s="3175"/>
      <c r="AL785" s="1322"/>
      <c r="AM785" s="1216"/>
      <c r="AO785" s="1319"/>
      <c r="AP785" s="1319"/>
      <c r="AQ785" s="1319"/>
    </row>
    <row r="786" spans="1:81">
      <c r="A786" s="1323" t="s">
        <v>1837</v>
      </c>
      <c r="B786" s="3169" t="s">
        <v>1591</v>
      </c>
      <c r="C786" s="3169"/>
      <c r="D786" s="3169"/>
      <c r="E786" s="3169"/>
      <c r="F786" s="3169"/>
      <c r="G786" s="3169"/>
      <c r="H786" s="3169"/>
      <c r="I786" s="3169"/>
      <c r="J786" s="3169"/>
      <c r="K786" s="3169"/>
      <c r="L786" s="3169"/>
      <c r="M786" s="3169"/>
      <c r="N786" s="3169"/>
      <c r="O786" s="3169"/>
      <c r="P786" s="3169"/>
      <c r="Q786" s="3169"/>
      <c r="R786" s="3169"/>
      <c r="S786" s="3170"/>
      <c r="T786" s="3171">
        <f>AK97</f>
        <v>20</v>
      </c>
      <c r="U786" s="3172"/>
      <c r="V786" s="3172"/>
      <c r="W786" s="3172"/>
      <c r="X786" s="3172"/>
      <c r="Y786" s="3173"/>
      <c r="Z786" s="3174">
        <v>20</v>
      </c>
      <c r="AA786" s="3172"/>
      <c r="AB786" s="3172"/>
      <c r="AC786" s="3172"/>
      <c r="AD786" s="3172"/>
      <c r="AE786" s="3173"/>
      <c r="AF786" s="3175">
        <f>IF(T786&gt;Z786,Z786,T786)</f>
        <v>20</v>
      </c>
      <c r="AG786" s="3175"/>
      <c r="AH786" s="3175"/>
      <c r="AI786" s="3175"/>
      <c r="AJ786" s="3175"/>
      <c r="AK786" s="3175"/>
      <c r="AL786" s="1322"/>
      <c r="AM786" s="1216"/>
      <c r="AO786" s="1319"/>
      <c r="AP786" s="1319"/>
      <c r="AQ786" s="1319"/>
    </row>
    <row r="787" spans="1:81">
      <c r="A787" s="1323" t="s">
        <v>1863</v>
      </c>
      <c r="B787" s="3169" t="s">
        <v>1601</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1864</v>
      </c>
      <c r="B788" s="3169" t="s">
        <v>1865</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1866</v>
      </c>
      <c r="D789" s="3198"/>
      <c r="E789" s="3198"/>
      <c r="F789" s="3198"/>
      <c r="G789" s="3198"/>
      <c r="H789" s="3198"/>
      <c r="I789" s="3198"/>
      <c r="J789" s="3198"/>
      <c r="K789" s="3198"/>
      <c r="L789" s="3198"/>
      <c r="M789" s="3198"/>
      <c r="N789" s="3198"/>
      <c r="O789" s="3198"/>
      <c r="P789" s="3198"/>
      <c r="Q789" s="3198"/>
      <c r="R789" s="3198"/>
      <c r="S789" s="3199"/>
      <c r="T789" s="3069">
        <f>AJ149</f>
        <v>7</v>
      </c>
      <c r="U789" s="3069"/>
      <c r="V789" s="3069"/>
      <c r="W789" s="3069"/>
      <c r="X789" s="3069"/>
      <c r="Y789" s="3069"/>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1867</v>
      </c>
      <c r="D790" s="3198"/>
      <c r="E790" s="3198"/>
      <c r="F790" s="3198"/>
      <c r="G790" s="3198"/>
      <c r="H790" s="3198"/>
      <c r="I790" s="3198"/>
      <c r="J790" s="3198"/>
      <c r="K790" s="3198"/>
      <c r="L790" s="3198"/>
      <c r="M790" s="3198"/>
      <c r="N790" s="3198"/>
      <c r="O790" s="3198"/>
      <c r="P790" s="3198"/>
      <c r="Q790" s="3198"/>
      <c r="R790" s="3198"/>
      <c r="S790" s="3199"/>
      <c r="T790" s="3069">
        <f>AJ163</f>
        <v>3</v>
      </c>
      <c r="U790" s="3069"/>
      <c r="V790" s="3069"/>
      <c r="W790" s="3069"/>
      <c r="X790" s="3069"/>
      <c r="Y790" s="3069"/>
      <c r="Z790" s="3200">
        <v>3</v>
      </c>
      <c r="AA790" s="3200"/>
      <c r="AB790" s="3200"/>
      <c r="AC790" s="3200"/>
      <c r="AD790" s="3200"/>
      <c r="AE790" s="3200"/>
      <c r="AF790" s="3201"/>
      <c r="AG790" s="3201"/>
      <c r="AH790" s="3201"/>
      <c r="AI790" s="3201"/>
      <c r="AJ790" s="3201"/>
      <c r="AK790" s="3201"/>
      <c r="AL790" s="1322"/>
      <c r="AM790" s="1216"/>
      <c r="AO790" s="943"/>
    </row>
    <row r="791" spans="1:81">
      <c r="A791" s="1325" t="s">
        <v>1629</v>
      </c>
      <c r="B791" s="3169" t="s">
        <v>1868</v>
      </c>
      <c r="C791" s="3169"/>
      <c r="D791" s="3169"/>
      <c r="E791" s="3169"/>
      <c r="F791" s="3169"/>
      <c r="G791" s="3169"/>
      <c r="H791" s="3169"/>
      <c r="I791" s="3169"/>
      <c r="J791" s="3169"/>
      <c r="K791" s="3169"/>
      <c r="L791" s="3169"/>
      <c r="M791" s="3169"/>
      <c r="N791" s="3169"/>
      <c r="O791" s="3169"/>
      <c r="P791" s="3169"/>
      <c r="Q791" s="3169"/>
      <c r="R791" s="3169"/>
      <c r="S791" s="3170"/>
      <c r="T791" s="3197">
        <f>AK174</f>
        <v>10</v>
      </c>
      <c r="U791" s="3197"/>
      <c r="V791" s="3197"/>
      <c r="W791" s="3197"/>
      <c r="X791" s="3197"/>
      <c r="Y791" s="3197"/>
      <c r="Z791" s="3175">
        <v>10</v>
      </c>
      <c r="AA791" s="3175"/>
      <c r="AB791" s="3175"/>
      <c r="AC791" s="3175"/>
      <c r="AD791" s="3175"/>
      <c r="AE791" s="3175"/>
      <c r="AF791" s="3175">
        <f>IF(T791&gt;Z791,Z791,T791)</f>
        <v>10</v>
      </c>
      <c r="AG791" s="3175"/>
      <c r="AH791" s="3175"/>
      <c r="AI791" s="3175"/>
      <c r="AJ791" s="3175"/>
      <c r="AK791" s="3175"/>
      <c r="AL791" s="1322"/>
      <c r="AM791" s="1216"/>
    </row>
    <row r="792" spans="1:81">
      <c r="A792" s="1323" t="s">
        <v>1638</v>
      </c>
      <c r="B792" s="3169" t="s">
        <v>1639</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622</v>
      </c>
      <c r="B793" s="3169" t="s">
        <v>1869</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69" t="s">
        <v>1870</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69" t="s">
        <v>1649</v>
      </c>
      <c r="C795" s="3169"/>
      <c r="D795" s="3169"/>
      <c r="E795" s="3169"/>
      <c r="F795" s="3169"/>
      <c r="G795" s="3169"/>
      <c r="H795" s="3169"/>
      <c r="I795" s="3169"/>
      <c r="J795" s="3169"/>
      <c r="K795" s="3169"/>
      <c r="L795" s="3169"/>
      <c r="M795" s="3169"/>
      <c r="N795" s="3169"/>
      <c r="O795" s="3169"/>
      <c r="P795" s="3169"/>
      <c r="Q795" s="3169"/>
      <c r="R795" s="3169"/>
      <c r="S795" s="3170"/>
      <c r="T795" s="3197">
        <f>AK553</f>
        <v>20</v>
      </c>
      <c r="U795" s="3197"/>
      <c r="V795" s="3197"/>
      <c r="W795" s="3197"/>
      <c r="X795" s="3197"/>
      <c r="Y795" s="3197"/>
      <c r="Z795" s="3204">
        <v>20</v>
      </c>
      <c r="AA795" s="3205"/>
      <c r="AB795" s="3205"/>
      <c r="AC795" s="3205"/>
      <c r="AD795" s="3205"/>
      <c r="AE795" s="3206"/>
      <c r="AF795" s="3204">
        <f>IF(T795&gt;Z795,Z795,T795)</f>
        <v>20</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9">
        <f>AK320</f>
        <v>20</v>
      </c>
      <c r="U796" s="3069"/>
      <c r="V796" s="3069"/>
      <c r="W796" s="3069"/>
      <c r="X796" s="3069"/>
      <c r="Y796" s="3069"/>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9">
        <f>AK551</f>
        <v>0</v>
      </c>
      <c r="U797" s="3069"/>
      <c r="V797" s="3069"/>
      <c r="W797" s="3069"/>
      <c r="X797" s="3069"/>
      <c r="Y797" s="3069"/>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69" t="s">
        <v>906</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69" t="s">
        <v>1848</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1873</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1874</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7" t="s">
        <v>1875</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SUM(AF784:AK799)-AF800</f>
        <v>120</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86HOtWrQperXbeiJG2hCjuaXvpSeXM48vCljQHBxO5PPDIqUQ3pT3kpOsH01ZuMV0lAkCIgTl04Jir29FbpDBw==" saltValue="st2YYNoIfuWbRhS46UfQ8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2021-09-04T20:22:49Z</cp:lastPrinted>
  <dcterms:created xsi:type="dcterms:W3CDTF">2007-12-27T18:26:28Z</dcterms:created>
  <dcterms:modified xsi:type="dcterms:W3CDTF">2021-09-06T18:33:37Z</dcterms:modified>
</cp:coreProperties>
</file>